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2.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3.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dst.local\lgc_home$\redir\lgc0075\My Documents\"/>
    </mc:Choice>
  </mc:AlternateContent>
  <xr:revisionPtr revIDLastSave="0" documentId="13_ncr:1_{78553AFE-E6C8-4504-9C62-7CFCAAE6CEF1}" xr6:coauthVersionLast="41" xr6:coauthVersionMax="41" xr10:uidLastSave="{00000000-0000-0000-0000-000000000000}"/>
  <bookViews>
    <workbookView xWindow="28680" yWindow="-120" windowWidth="29040" windowHeight="17640" xr2:uid="{5978E486-7701-420F-A1D3-6D24FD2C2248}"/>
  </bookViews>
  <sheets>
    <sheet name="Instructions" sheetId="16" r:id="rId1"/>
    <sheet name="Conversion Worksheet" sheetId="1" r:id="rId2"/>
    <sheet name="Beginning Capital Assets &amp; LTD" sheetId="24" r:id="rId3"/>
    <sheet name="A. Revenue by Function" sheetId="2" r:id="rId4"/>
    <sheet name="B. Depreciation" sheetId="5" r:id="rId5"/>
    <sheet name="C. Capital Outlay &amp; Donations" sheetId="3" r:id="rId6"/>
    <sheet name="D.  Capital Asset Disposal" sheetId="4" r:id="rId7"/>
    <sheet name="E. Debt Service" sheetId="12" r:id="rId8"/>
    <sheet name="F. Debt Issues" sheetId="13" r:id="rId9"/>
    <sheet name="G.  Other Asset Entries" sheetId="14" r:id="rId10"/>
    <sheet name="H. Other Liabilities &amp; Expenses" sheetId="15" r:id="rId11"/>
    <sheet name="I. Eliminations-Consolidations" sheetId="19" r:id="rId12"/>
    <sheet name="J. GASB 68 TSERS" sheetId="25" r:id="rId13"/>
    <sheet name="Ja. TSERS 2018 Summary" sheetId="36" state="hidden" r:id="rId14"/>
    <sheet name="Jb. TSERS 2019 Summary" sheetId="40" state="hidden" r:id="rId15"/>
    <sheet name="TSERS Contributions FY 2018" sheetId="42" state="hidden" r:id="rId16"/>
    <sheet name="Jb. TSERS 2017 Summary" sheetId="29" state="hidden" r:id="rId17"/>
    <sheet name="K. GASB 75 RHBF" sheetId="33" r:id="rId18"/>
    <sheet name="Ka. 2018 RHBF Summary" sheetId="32" state="hidden" r:id="rId19"/>
    <sheet name="2018 RHBF Summary" sheetId="45" state="hidden" r:id="rId20"/>
    <sheet name="Kb. 2019 RHBF Summary" sheetId="44" state="hidden" r:id="rId21"/>
    <sheet name="2018 Allocation %" sheetId="47" state="hidden" r:id="rId22"/>
    <sheet name="Contributions FY 2018" sheetId="50" state="hidden" r:id="rId23"/>
    <sheet name="Contributions FY 2017" sheetId="51" state="hidden" r:id="rId24"/>
    <sheet name="2017 Allocation %" sheetId="48" state="hidden" r:id="rId25"/>
    <sheet name="L. GASB 75 DIPNC" sheetId="34" r:id="rId26"/>
    <sheet name="La. 2018 DIPNC Summary" sheetId="35" state="hidden" r:id="rId27"/>
    <sheet name="Lb. 2019 DIPNC Summary" sheetId="37" state="hidden" r:id="rId28"/>
    <sheet name="DIPNC Contributions 2018" sheetId="38" state="hidden" r:id="rId29"/>
    <sheet name="DIPNC Contributions 2017" sheetId="52" state="hidden" r:id="rId30"/>
    <sheet name="Jb. TSERS Data PY" sheetId="27" state="hidden" r:id="rId31"/>
  </sheets>
  <externalReferences>
    <externalReference r:id="rId32"/>
    <externalReference r:id="rId33"/>
    <externalReference r:id="rId34"/>
  </externalReferences>
  <definedNames>
    <definedName name="_xlnm._FilterDatabase" localSheetId="24" hidden="1">'2017 Allocation %'!$A$5:$D$312</definedName>
    <definedName name="_xlnm._FilterDatabase" localSheetId="21" hidden="1">'2018 Allocation %'!$A$5:$BX$315</definedName>
    <definedName name="_xlnm._FilterDatabase" localSheetId="19" hidden="1">'2018 RHBF Summary'!$A$4:$AA$311</definedName>
    <definedName name="_xlnm._FilterDatabase" localSheetId="22" hidden="1">'Contributions FY 2018'!$B$1:$C$313</definedName>
    <definedName name="_xlnm._FilterDatabase" localSheetId="30" hidden="1">'Jb. TSERS Data PY'!$A$2:$U$295</definedName>
    <definedName name="_xlnm._FilterDatabase" localSheetId="18" hidden="1">'Ka. 2018 RHBF Summary'!$A$4:$AD$312</definedName>
    <definedName name="_xlnm._FilterDatabase" localSheetId="20" hidden="1">'Kb. 2019 RHBF Summary'!$A$4:$AA$314</definedName>
    <definedName name="_xlnm._FilterDatabase" localSheetId="26" hidden="1">'La. 2018 DIPNC Summary'!$A$2:$U$297</definedName>
    <definedName name="_xlnm._FilterDatabase" localSheetId="27" hidden="1">'Lb. 2019 DIPNC Summary'!$A$4:$G$302</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24">#REF!</definedName>
    <definedName name="AgencyCode" localSheetId="21">#REF!</definedName>
    <definedName name="AgencyCode" localSheetId="19">#REF!</definedName>
    <definedName name="AgencyCode" localSheetId="23">#REF!</definedName>
    <definedName name="AgencyCode" localSheetId="22">#REF!</definedName>
    <definedName name="AgencyCode" localSheetId="29">#REF!</definedName>
    <definedName name="AgencyCode" localSheetId="28">#REF!</definedName>
    <definedName name="AgencyCode" localSheetId="13">#REF!</definedName>
    <definedName name="AgencyCode" localSheetId="16">#REF!</definedName>
    <definedName name="AgencyCode" localSheetId="14">#REF!</definedName>
    <definedName name="AgencyCode" localSheetId="30">#REF!</definedName>
    <definedName name="AgencyCode" localSheetId="17">#REF!</definedName>
    <definedName name="AgencyCode" localSheetId="18">#REF!</definedName>
    <definedName name="AgencyCode" localSheetId="20">#REF!</definedName>
    <definedName name="AgencyCode" localSheetId="25">#REF!</definedName>
    <definedName name="AgencyCode" localSheetId="26">#REF!</definedName>
    <definedName name="AgencyCode" localSheetId="15">#REF!</definedName>
    <definedName name="AgencyCode">#REF!</definedName>
    <definedName name="AnalystGASB">[1]DeveloperInfo!$D$20</definedName>
    <definedName name="Annuity" localSheetId="24">#REF!</definedName>
    <definedName name="Annuity" localSheetId="21">#REF!</definedName>
    <definedName name="Annuity" localSheetId="19">#REF!</definedName>
    <definedName name="Annuity" localSheetId="23">#REF!</definedName>
    <definedName name="Annuity" localSheetId="22">#REF!</definedName>
    <definedName name="Annuity" localSheetId="29">#REF!</definedName>
    <definedName name="Annuity" localSheetId="28">#REF!</definedName>
    <definedName name="Annuity" localSheetId="13">#REF!</definedName>
    <definedName name="Annuity" localSheetId="16">'[2]Assets Input'!$L$37:$L$56</definedName>
    <definedName name="Annuity" localSheetId="14">#REF!</definedName>
    <definedName name="Annuity" localSheetId="30">'[2]Assets Input'!$L$37:$L$56</definedName>
    <definedName name="Annuity" localSheetId="17">#REF!</definedName>
    <definedName name="Annuity" localSheetId="18">#REF!</definedName>
    <definedName name="Annuity" localSheetId="20">#REF!</definedName>
    <definedName name="Annuity" localSheetId="25">#REF!</definedName>
    <definedName name="Annuity" localSheetId="26">#REF!</definedName>
    <definedName name="Annuity" localSheetId="15">#REF!</definedName>
    <definedName name="Annuity">#REF!</definedName>
    <definedName name="AnnuityLY" localSheetId="24">#REF!</definedName>
    <definedName name="AnnuityLY" localSheetId="21">#REF!</definedName>
    <definedName name="AnnuityLY" localSheetId="19">#REF!</definedName>
    <definedName name="AnnuityLY" localSheetId="23">#REF!</definedName>
    <definedName name="AnnuityLY" localSheetId="22">#REF!</definedName>
    <definedName name="AnnuityLY" localSheetId="29">#REF!</definedName>
    <definedName name="AnnuityLY" localSheetId="28">#REF!</definedName>
    <definedName name="AnnuityLY" localSheetId="13">#REF!</definedName>
    <definedName name="AnnuityLY" localSheetId="14">#REF!</definedName>
    <definedName name="AnnuityLY" localSheetId="17">#REF!</definedName>
    <definedName name="AnnuityLY" localSheetId="18">#REF!</definedName>
    <definedName name="AnnuityLY" localSheetId="20">#REF!</definedName>
    <definedName name="AnnuityLY" localSheetId="25">#REF!</definedName>
    <definedName name="AnnuityLY" localSheetId="26">#REF!</definedName>
    <definedName name="AnnuityLY" localSheetId="15">#REF!</definedName>
    <definedName name="AnnuityLY">#REF!</definedName>
    <definedName name="ASTABPF">[1]DeveloperInfo!$D$36</definedName>
    <definedName name="ASTABPF1">[1]DeveloperInfo!$D$37</definedName>
    <definedName name="ASTEBPF">[1]DeveloperInfo!$F$37</definedName>
    <definedName name="ClientCode">[1]DeveloperInfo!$D$25</definedName>
    <definedName name="ClientMatter">[1]DeveloperInfo!$D$26</definedName>
    <definedName name="ClientShortGASB">[1]DeveloperInfo!$D$9</definedName>
    <definedName name="CLPOWERDisc">[1]Adjust!$H$202</definedName>
    <definedName name="CLPOWERDiscMinus1">[1]Adjust!$L$202</definedName>
    <definedName name="CLPOWERDiscPlus1">[1]Adjust!$K$202</definedName>
    <definedName name="CLPOWERExp">[1]Adjust!$G$202</definedName>
    <definedName name="CNSDateDisc">[1]DeveloperInfo!$D$32</definedName>
    <definedName name="CNSDateDisc1">[1]DeveloperInfo!$E$32</definedName>
    <definedName name="ColaRate">[1]DeveloperInfo!$D$40</definedName>
    <definedName name="ColaRate1">[1]DeveloperInfo!$E$40</definedName>
    <definedName name="ConsultantNameGASB">[1]DeveloperInfo!$D$22</definedName>
    <definedName name="ConsultantTitleGASB">[1]DeveloperInfo!$D$23</definedName>
    <definedName name="Disc1DELTACENSUS">[1]Adjust!$G$102</definedName>
    <definedName name="Disc1INTADJBOM">[1]Adjust!$H$200</definedName>
    <definedName name="Disc1INTNDIV12">[1]Adjust!$H$198</definedName>
    <definedName name="Disc1SINTADJBOM">[1]Adjust!$I$200</definedName>
    <definedName name="Disc1SINTNDIV12">[1]Adjust!$I$198</definedName>
    <definedName name="DiscDELTACENSUS">[1]Adjust!$H$102</definedName>
    <definedName name="DiscINTADJBOM">[1]Adjust!$J$200</definedName>
    <definedName name="DiscINTNDIV12">[1]Adjust!$J$198</definedName>
    <definedName name="DiscMinusOneINTADJBOM">[1]Adjust!$L$200</definedName>
    <definedName name="DiscMinusOneINTNDIV12">[1]Adjust!$L$198</definedName>
    <definedName name="DiscPlusOneINTADJBOM">[1]Adjust!$K$200</definedName>
    <definedName name="DiscPlusOneINTNDIV12">[1]Adjust!$K$198</definedName>
    <definedName name="EmployerRates" localSheetId="24">#REF!</definedName>
    <definedName name="EmployerRates" localSheetId="21">#REF!</definedName>
    <definedName name="EmployerRates" localSheetId="19">#REF!</definedName>
    <definedName name="EmployerRates" localSheetId="23">#REF!</definedName>
    <definedName name="EmployerRates" localSheetId="22">#REF!</definedName>
    <definedName name="EmployerRates" localSheetId="29">#REF!</definedName>
    <definedName name="EmployerRates" localSheetId="28">#REF!</definedName>
    <definedName name="EmployerRates" localSheetId="13">#REF!</definedName>
    <definedName name="EmployerRates" localSheetId="16">#REF!</definedName>
    <definedName name="EmployerRates" localSheetId="14">#REF!</definedName>
    <definedName name="EmployerRates" localSheetId="30">#REF!</definedName>
    <definedName name="EmployerRates" localSheetId="17">#REF!</definedName>
    <definedName name="EmployerRates" localSheetId="18">#REF!</definedName>
    <definedName name="EmployerRates" localSheetId="20">#REF!</definedName>
    <definedName name="EmployerRates" localSheetId="25">#REF!</definedName>
    <definedName name="EmployerRates" localSheetId="26">#REF!</definedName>
    <definedName name="EmployerRates" localSheetId="15">#REF!</definedName>
    <definedName name="EmployerRates">#REF!</definedName>
    <definedName name="EmployerRatesLEO" localSheetId="24">#REF!</definedName>
    <definedName name="EmployerRatesLEO" localSheetId="21">#REF!</definedName>
    <definedName name="EmployerRatesLEO" localSheetId="19">#REF!</definedName>
    <definedName name="EmployerRatesLEO" localSheetId="23">#REF!</definedName>
    <definedName name="EmployerRatesLEO" localSheetId="22">#REF!</definedName>
    <definedName name="EmployerRatesLEO" localSheetId="29">#REF!</definedName>
    <definedName name="EmployerRatesLEO" localSheetId="28">#REF!</definedName>
    <definedName name="EmployerRatesLEO" localSheetId="13">#REF!</definedName>
    <definedName name="EmployerRatesLEO" localSheetId="16">#REF!</definedName>
    <definedName name="EmployerRatesLEO" localSheetId="14">#REF!</definedName>
    <definedName name="EmployerRatesLEO" localSheetId="30">#REF!</definedName>
    <definedName name="EmployerRatesLEO" localSheetId="17">#REF!</definedName>
    <definedName name="EmployerRatesLEO" localSheetId="18">#REF!</definedName>
    <definedName name="EmployerRatesLEO" localSheetId="20">#REF!</definedName>
    <definedName name="EmployerRatesLEO" localSheetId="25">#REF!</definedName>
    <definedName name="EmployerRatesLEO" localSheetId="26">#REF!</definedName>
    <definedName name="EmployerRatesLEO" localSheetId="15">#REF!</definedName>
    <definedName name="EmployerRatesLEO">#REF!</definedName>
    <definedName name="ERData" localSheetId="24">'2017 Allocation %'!$A$7:$D$310</definedName>
    <definedName name="ERData" localSheetId="21">'2018 Allocation %'!$A$7:$BH$310</definedName>
    <definedName name="ERData" localSheetId="19">'2018 RHBF Summary'!$A$7:$O$310</definedName>
    <definedName name="ERData" localSheetId="29">#REF!</definedName>
    <definedName name="ERData" localSheetId="28">#REF!</definedName>
    <definedName name="ERData" localSheetId="20">'Kb. 2019 RHBF Summary'!$A$6:$O$309</definedName>
    <definedName name="ERData" localSheetId="26">#REF!</definedName>
    <definedName name="ERData">'Ka. 2018 RHBF Summary'!$A$7:$R$310</definedName>
    <definedName name="ERID">[1]ER_NPLExpense!$L$8</definedName>
    <definedName name="ERInfo">[1]ER_Input!$B$16:$Y$319</definedName>
    <definedName name="Exp1INTADJBOM">[1]Adjust!$G$200</definedName>
    <definedName name="Exp1INTNDIV12">[1]Adjust!$G$198</definedName>
    <definedName name="FracYearProj">[1]TOL!$C$22</definedName>
    <definedName name="FundOfficeContactGASB">[1]DeveloperInfo!$D$10</definedName>
    <definedName name="FYrsGASB">[1]DeveloperInfo!$D$54</definedName>
    <definedName name="FYrsGASB1">[1]DeveloperInfo!$E$54</definedName>
    <definedName name="GASBDiscMinusOneINTADJBOM">[1]Adjust!$L$200</definedName>
    <definedName name="GASBDiscMinusOneINTNDIV12">[1]Adjust!$L$198</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Loss">[1]ER_Allocation!$P$12</definedName>
    <definedName name="MeasureDate">[1]DeveloperInfo!$D$31</definedName>
    <definedName name="MeasureDate1">[1]DeveloperInfo!$E$31</definedName>
    <definedName name="MeasureDate2">[1]DeveloperInfo!$F$31</definedName>
    <definedName name="N">"N/A"</definedName>
    <definedName name="NDIV12Disc">[1]Adjust!$H$203</definedName>
    <definedName name="NDIV12DiscMinus1">[1]Adjust!$L$203</definedName>
    <definedName name="NDIV12DiscPlus1">[1]Adjust!$K$203</definedName>
    <definedName name="NDIV12Exp">[1]Adjust!$G$203</definedName>
    <definedName name="NumERs">[1]DeveloperInfo!$D$61</definedName>
    <definedName name="OfficeAddr1GASB">[1]DeveloperInfo!$D$11</definedName>
    <definedName name="OfficeAddr2GASB">[1]DeveloperInfo!$D$12</definedName>
    <definedName name="Offices">[1]DeveloperInfo!$K$75:$O$91</definedName>
    <definedName name="Pension" localSheetId="24">#REF!</definedName>
    <definedName name="Pension" localSheetId="21">#REF!</definedName>
    <definedName name="Pension" localSheetId="19">#REF!</definedName>
    <definedName name="Pension" localSheetId="23">#REF!</definedName>
    <definedName name="Pension" localSheetId="22">#REF!</definedName>
    <definedName name="Pension" localSheetId="29">#REF!</definedName>
    <definedName name="Pension" localSheetId="28">#REF!</definedName>
    <definedName name="Pension" localSheetId="13">#REF!</definedName>
    <definedName name="Pension" localSheetId="16">'[2]Assets Input'!$L$60:$L$95</definedName>
    <definedName name="Pension" localSheetId="14">#REF!</definedName>
    <definedName name="Pension" localSheetId="30">'[2]Assets Input'!$L$60:$L$95</definedName>
    <definedName name="Pension" localSheetId="17">#REF!</definedName>
    <definedName name="Pension" localSheetId="18">#REF!</definedName>
    <definedName name="Pension" localSheetId="20">#REF!</definedName>
    <definedName name="Pension" localSheetId="25">#REF!</definedName>
    <definedName name="Pension" localSheetId="26">#REF!</definedName>
    <definedName name="Pension" localSheetId="15">#REF!</definedName>
    <definedName name="Pension">#REF!</definedName>
    <definedName name="PensionLY" localSheetId="24">#REF!</definedName>
    <definedName name="PensionLY" localSheetId="21">#REF!</definedName>
    <definedName name="PensionLY" localSheetId="19">#REF!</definedName>
    <definedName name="PensionLY" localSheetId="23">#REF!</definedName>
    <definedName name="PensionLY" localSheetId="22">#REF!</definedName>
    <definedName name="PensionLY" localSheetId="29">#REF!</definedName>
    <definedName name="PensionLY" localSheetId="28">#REF!</definedName>
    <definedName name="PensionLY" localSheetId="13">#REF!</definedName>
    <definedName name="PensionLY" localSheetId="14">#REF!</definedName>
    <definedName name="PensionLY" localSheetId="17">#REF!</definedName>
    <definedName name="PensionLY" localSheetId="18">#REF!</definedName>
    <definedName name="PensionLY" localSheetId="20">#REF!</definedName>
    <definedName name="PensionLY" localSheetId="25">#REF!</definedName>
    <definedName name="PensionLY" localSheetId="26">#REF!</definedName>
    <definedName name="PensionLY" localSheetId="15">#REF!</definedName>
    <definedName name="PensionLY">#REF!</definedName>
    <definedName name="PlanNameLongGASB">[1]DeveloperInfo!$D$7</definedName>
    <definedName name="PlanNameShortGASB">[1]DeveloperInfo!$D$8</definedName>
    <definedName name="_xlnm.Print_Area" localSheetId="24">'2017 Allocation %'!$C$1:$D$312</definedName>
    <definedName name="_xlnm.Print_Area" localSheetId="21">'2018 Allocation %'!$C$4:$BX$315</definedName>
    <definedName name="_xlnm.Print_Area" localSheetId="19">'2018 RHBF Summary'!$D$2:$AA$311</definedName>
    <definedName name="_xlnm.Print_Area" localSheetId="3">'A. Revenue by Function'!$A$1:$P$241</definedName>
    <definedName name="_xlnm.Print_Area" localSheetId="4">'B. Depreciation'!$A$1:$N$79</definedName>
    <definedName name="_xlnm.Print_Area" localSheetId="5">'C. Capital Outlay &amp; Donations'!$A$1:$M$165</definedName>
    <definedName name="_xlnm.Print_Area" localSheetId="1">'Conversion Worksheet'!$A$1:$AS$446</definedName>
    <definedName name="_xlnm.Print_Area" localSheetId="6">'D.  Capital Asset Disposal'!$A$1:$T$231</definedName>
    <definedName name="_xlnm.Print_Area" localSheetId="7">'E. Debt Service'!$A$1:$P$114</definedName>
    <definedName name="_xlnm.Print_Area" localSheetId="8">'F. Debt Issues'!$A$1:$P$43</definedName>
    <definedName name="_xlnm.Print_Area" localSheetId="9">'G.  Other Asset Entries'!$A$1:$O$113</definedName>
    <definedName name="_xlnm.Print_Area" localSheetId="10">'H. Other Liabilities &amp; Expenses'!$A$1:$Q$261</definedName>
    <definedName name="_xlnm.Print_Area" localSheetId="11">'I. Eliminations-Consolidations'!$A$1:$N$333</definedName>
    <definedName name="_xlnm.Print_Area" localSheetId="0">Instructions!$A$1:$K$107</definedName>
    <definedName name="_xlnm.Print_Area" localSheetId="13">'Ja. TSERS 2018 Summary'!$A$2:$U$307</definedName>
    <definedName name="_xlnm.Print_Area" localSheetId="30">'Jb. TSERS Data PY'!$A$1:$U$298</definedName>
    <definedName name="_xlnm.Print_Area" localSheetId="17">'K. GASB 75 RHBF'!$B$35:$E$60</definedName>
    <definedName name="_xlnm.Print_Area" localSheetId="18">'Ka. 2018 RHBF Summary'!$G$2:$AD$312</definedName>
    <definedName name="_xlnm.Print_Area" localSheetId="20">'Kb. 2019 RHBF Summary'!$D$3:$AA$314</definedName>
    <definedName name="_xlnm.Print_Area" localSheetId="26">'La. 2018 DIPNC Summary'!$A$1:$U$312</definedName>
    <definedName name="_xlnm.Print_Titles" localSheetId="24">'2017 Allocation %'!$A:$B,'2017 Allocation %'!$1:$6</definedName>
    <definedName name="_xlnm.Print_Titles" localSheetId="21">'2018 Allocation %'!$A:$B,'2018 Allocation %'!$1:$6</definedName>
    <definedName name="_xlnm.Print_Titles" localSheetId="19">'2018 RHBF Summary'!$A:$B,'2018 RHBF Summary'!$1:$5</definedName>
    <definedName name="_xlnm.Print_Titles" localSheetId="3">'A. Revenue by Function'!$1:$3</definedName>
    <definedName name="_xlnm.Print_Titles" localSheetId="2">'Beginning Capital Assets &amp; LTD'!$1:$1</definedName>
    <definedName name="_xlnm.Print_Titles" localSheetId="5">'C. Capital Outlay &amp; Donations'!$1:$2</definedName>
    <definedName name="_xlnm.Print_Titles" localSheetId="1">'Conversion Worksheet'!$1:$5</definedName>
    <definedName name="_xlnm.Print_Titles" localSheetId="6">'D.  Capital Asset Disposal'!$1:$2</definedName>
    <definedName name="_xlnm.Print_Titles" localSheetId="7">'E. Debt Service'!$1:$3</definedName>
    <definedName name="_xlnm.Print_Titles" localSheetId="8">'F. Debt Issues'!$1:$3</definedName>
    <definedName name="_xlnm.Print_Titles" localSheetId="9">'G.  Other Asset Entries'!$1:$3</definedName>
    <definedName name="_xlnm.Print_Titles" localSheetId="10">'H. Other Liabilities &amp; Expenses'!$1:$3</definedName>
    <definedName name="_xlnm.Print_Titles" localSheetId="13">'Ja. TSERS 2018 Summary'!$2:$3</definedName>
    <definedName name="_xlnm.Print_Titles" localSheetId="16">'Jb. TSERS 2017 Summary'!$2:$2</definedName>
    <definedName name="_xlnm.Print_Titles" localSheetId="30">'Jb. TSERS Data PY'!$1:$2</definedName>
    <definedName name="_xlnm.Print_Titles" localSheetId="18">'Ka. 2018 RHBF Summary'!$A:$B,'Ka. 2018 RHBF Summary'!$1:$5</definedName>
    <definedName name="_xlnm.Print_Titles" localSheetId="20">'Kb. 2019 RHBF Summary'!$A:$B,'Kb. 2019 RHBF Summary'!$2:$4</definedName>
    <definedName name="_xlnm.Print_Titles" localSheetId="26">'La. 2018 DIPNC Summary'!$1:$2</definedName>
    <definedName name="ProjDisc?">[1]DeveloperInfo!$D$65</definedName>
    <definedName name="ProValResults" localSheetId="24">#REF!</definedName>
    <definedName name="ProValResults" localSheetId="21">#REF!</definedName>
    <definedName name="ProValResults" localSheetId="19">#REF!</definedName>
    <definedName name="ProValResults" localSheetId="23">#REF!</definedName>
    <definedName name="ProValResults" localSheetId="22">#REF!</definedName>
    <definedName name="ProValResults" localSheetId="29">#REF!</definedName>
    <definedName name="ProValResults" localSheetId="28">#REF!</definedName>
    <definedName name="ProValResults" localSheetId="13">#REF!</definedName>
    <definedName name="ProValResults" localSheetId="16">#REF!</definedName>
    <definedName name="ProValResults" localSheetId="14">#REF!</definedName>
    <definedName name="ProValResults" localSheetId="30">#REF!</definedName>
    <definedName name="ProValResults" localSheetId="17">#REF!</definedName>
    <definedName name="ProValResults" localSheetId="18">#REF!</definedName>
    <definedName name="ProValResults" localSheetId="20">#REF!</definedName>
    <definedName name="ProValResults" localSheetId="25">#REF!</definedName>
    <definedName name="ProValResults" localSheetId="26">#REF!</definedName>
    <definedName name="ProValResults" localSheetId="15">#REF!</definedName>
    <definedName name="ProValResults">#REF!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RORRate682">[1]DeveloperInfo!$F$53</definedName>
    <definedName name="SalRate">[1]DeveloperInfo!$D$39</definedName>
    <definedName name="SalRate1">[1]DeveloperInfo!$E$39</definedName>
    <definedName name="SegalOfficeGASB">[1]DeveloperInfo!$D$24</definedName>
    <definedName name="TableData" localSheetId="24">#REF!</definedName>
    <definedName name="TableData" localSheetId="21">#REF!</definedName>
    <definedName name="TableData" localSheetId="19">#REF!</definedName>
    <definedName name="TableData" localSheetId="23">#REF!</definedName>
    <definedName name="TableData" localSheetId="22">#REF!</definedName>
    <definedName name="TableData" localSheetId="29">#REF!</definedName>
    <definedName name="TableData" localSheetId="28">#REF!</definedName>
    <definedName name="TableData" localSheetId="13">#REF!</definedName>
    <definedName name="TableData" localSheetId="16">#REF!</definedName>
    <definedName name="TableData" localSheetId="14">#REF!</definedName>
    <definedName name="TableData" localSheetId="30">#REF!</definedName>
    <definedName name="TableData" localSheetId="17">#REF!</definedName>
    <definedName name="TableData" localSheetId="18">#REF!</definedName>
    <definedName name="TableData" localSheetId="20">#REF!</definedName>
    <definedName name="TableData" localSheetId="25">#REF!</definedName>
    <definedName name="TableData" localSheetId="26">#REF!</definedName>
    <definedName name="TableData" localSheetId="15">#REF!</definedName>
    <definedName name="TableData">#REF!</definedName>
    <definedName name="Type" localSheetId="24">#REF!</definedName>
    <definedName name="Type" localSheetId="21">#REF!</definedName>
    <definedName name="Type" localSheetId="19">#REF!</definedName>
    <definedName name="Type" localSheetId="23">#REF!</definedName>
    <definedName name="Type" localSheetId="22">#REF!</definedName>
    <definedName name="Type" localSheetId="29">#REF!</definedName>
    <definedName name="Type" localSheetId="28">#REF!</definedName>
    <definedName name="Type" localSheetId="13">#REF!</definedName>
    <definedName name="Type" localSheetId="14">#REF!</definedName>
    <definedName name="Type" localSheetId="17">#REF!</definedName>
    <definedName name="Type" localSheetId="18">#REF!</definedName>
    <definedName name="Type" localSheetId="20">#REF!</definedName>
    <definedName name="Type" localSheetId="25">#REF!</definedName>
    <definedName name="Type" localSheetId="26">#REF!</definedName>
    <definedName name="Type" localSheetId="15">#REF!</definedName>
    <definedName name="Type">#REF!</definedName>
    <definedName name="TypeAnnuity" localSheetId="24">#REF!</definedName>
    <definedName name="TypeAnnuity" localSheetId="21">#REF!</definedName>
    <definedName name="TypeAnnuity" localSheetId="19">#REF!</definedName>
    <definedName name="TypeAnnuity" localSheetId="23">#REF!</definedName>
    <definedName name="TypeAnnuity" localSheetId="22">#REF!</definedName>
    <definedName name="TypeAnnuity" localSheetId="29">#REF!</definedName>
    <definedName name="TypeAnnuity" localSheetId="28">#REF!</definedName>
    <definedName name="TypeAnnuity" localSheetId="13">#REF!</definedName>
    <definedName name="TypeAnnuity" localSheetId="16">'[2]Assets Input'!$K$37:$K$56</definedName>
    <definedName name="TypeAnnuity" localSheetId="14">#REF!</definedName>
    <definedName name="TypeAnnuity" localSheetId="30">'[2]Assets Input'!$K$37:$K$56</definedName>
    <definedName name="TypeAnnuity" localSheetId="17">#REF!</definedName>
    <definedName name="TypeAnnuity" localSheetId="18">#REF!</definedName>
    <definedName name="TypeAnnuity" localSheetId="20">#REF!</definedName>
    <definedName name="TypeAnnuity" localSheetId="25">#REF!</definedName>
    <definedName name="TypeAnnuity" localSheetId="26">#REF!</definedName>
    <definedName name="TypeAnnuity" localSheetId="15">#REF!</definedName>
    <definedName name="TypeAnnuity">#REF!</definedName>
    <definedName name="TypePension" localSheetId="24">#REF!</definedName>
    <definedName name="TypePension" localSheetId="21">#REF!</definedName>
    <definedName name="TypePension" localSheetId="19">#REF!</definedName>
    <definedName name="TypePension" localSheetId="23">#REF!</definedName>
    <definedName name="TypePension" localSheetId="22">#REF!</definedName>
    <definedName name="TypePension" localSheetId="29">#REF!</definedName>
    <definedName name="TypePension" localSheetId="28">#REF!</definedName>
    <definedName name="TypePension" localSheetId="13">#REF!</definedName>
    <definedName name="TypePension" localSheetId="16">'[2]Assets Input'!$K$60:$K$95</definedName>
    <definedName name="TypePension" localSheetId="14">#REF!</definedName>
    <definedName name="TypePension" localSheetId="30">'[2]Assets Input'!$K$60:$K$95</definedName>
    <definedName name="TypePension" localSheetId="17">#REF!</definedName>
    <definedName name="TypePension" localSheetId="18">#REF!</definedName>
    <definedName name="TypePension" localSheetId="20">#REF!</definedName>
    <definedName name="TypePension" localSheetId="25">#REF!</definedName>
    <definedName name="TypePension" localSheetId="26">#REF!</definedName>
    <definedName name="TypePension" localSheetId="15">#REF!</definedName>
    <definedName name="TypePension">#REF!</definedName>
    <definedName name="UnfundedData" localSheetId="24">#REF!</definedName>
    <definedName name="UnfundedData" localSheetId="21">#REF!</definedName>
    <definedName name="UnfundedData" localSheetId="19">#REF!</definedName>
    <definedName name="UnfundedData" localSheetId="23">#REF!</definedName>
    <definedName name="UnfundedData" localSheetId="22">#REF!</definedName>
    <definedName name="UnfundedData" localSheetId="29">#REF!</definedName>
    <definedName name="UnfundedData" localSheetId="28">#REF!</definedName>
    <definedName name="UnfundedData" localSheetId="13">#REF!</definedName>
    <definedName name="UnfundedData" localSheetId="16">#REF!</definedName>
    <definedName name="UnfundedData" localSheetId="14">#REF!</definedName>
    <definedName name="UnfundedData" localSheetId="30">#REF!</definedName>
    <definedName name="UnfundedData" localSheetId="17">#REF!</definedName>
    <definedName name="UnfundedData" localSheetId="18">#REF!</definedName>
    <definedName name="UnfundedData" localSheetId="20">#REF!</definedName>
    <definedName name="UnfundedData" localSheetId="25">#REF!</definedName>
    <definedName name="UnfundedData" localSheetId="26">#REF!</definedName>
    <definedName name="UnfundedData" localSheetId="15">#REF!</definedName>
    <definedName name="UnfundedData">#REF!</definedName>
    <definedName name="UnfundedLY" localSheetId="24">#REF!</definedName>
    <definedName name="UnfundedLY" localSheetId="21">#REF!</definedName>
    <definedName name="UnfundedLY" localSheetId="19">#REF!</definedName>
    <definedName name="UnfundedLY" localSheetId="23">#REF!</definedName>
    <definedName name="UnfundedLY" localSheetId="22">#REF!</definedName>
    <definedName name="UnfundedLY" localSheetId="29">#REF!</definedName>
    <definedName name="UnfundedLY" localSheetId="28">#REF!</definedName>
    <definedName name="UnfundedLY" localSheetId="13">#REF!</definedName>
    <definedName name="UnfundedLY" localSheetId="16">#REF!</definedName>
    <definedName name="UnfundedLY" localSheetId="14">#REF!</definedName>
    <definedName name="UnfundedLY" localSheetId="30">#REF!</definedName>
    <definedName name="UnfundedLY" localSheetId="17">#REF!</definedName>
    <definedName name="UnfundedLY" localSheetId="18">#REF!</definedName>
    <definedName name="UnfundedLY" localSheetId="20">#REF!</definedName>
    <definedName name="UnfundedLY" localSheetId="25">#REF!</definedName>
    <definedName name="UnfundedLY" localSheetId="26">#REF!</definedName>
    <definedName name="UnfundedLY" localSheetId="15">#REF!</definedName>
    <definedName name="UnfundedLY">#REF!</definedName>
    <definedName name="UnfunedLYLEO" localSheetId="24">#REF!</definedName>
    <definedName name="UnfunedLYLEO" localSheetId="21">#REF!</definedName>
    <definedName name="UnfunedLYLEO" localSheetId="19">#REF!</definedName>
    <definedName name="UnfunedLYLEO" localSheetId="23">#REF!</definedName>
    <definedName name="UnfunedLYLEO" localSheetId="22">#REF!</definedName>
    <definedName name="UnfunedLYLEO" localSheetId="29">#REF!</definedName>
    <definedName name="UnfunedLYLEO" localSheetId="28">#REF!</definedName>
    <definedName name="UnfunedLYLEO" localSheetId="13">#REF!</definedName>
    <definedName name="UnfunedLYLEO" localSheetId="16">#REF!</definedName>
    <definedName name="UnfunedLYLEO" localSheetId="14">#REF!</definedName>
    <definedName name="UnfunedLYLEO" localSheetId="30">#REF!</definedName>
    <definedName name="UnfunedLYLEO" localSheetId="17">#REF!</definedName>
    <definedName name="UnfunedLYLEO" localSheetId="18">#REF!</definedName>
    <definedName name="UnfunedLYLEO" localSheetId="20">#REF!</definedName>
    <definedName name="UnfunedLYLEO" localSheetId="25">#REF!</definedName>
    <definedName name="UnfunedLYLEO" localSheetId="26">#REF!</definedName>
    <definedName name="UnfunedLYLEO" localSheetId="15">#REF!</definedName>
    <definedName name="UnfunedLYLEO">#REF!</definedName>
    <definedName name="VersionGASB">[1]DeveloperInfo!$D$4</definedName>
  </definedNames>
  <calcPr calcId="191029" fullPrecision="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52" i="33" l="1"/>
  <c r="C15" i="25"/>
  <c r="Y54" i="1"/>
  <c r="Z57" i="1"/>
  <c r="Y60" i="1"/>
  <c r="U298" i="35" l="1"/>
  <c r="T298" i="35"/>
  <c r="S298" i="35"/>
  <c r="Q298" i="35"/>
  <c r="P298" i="35"/>
  <c r="O298" i="35"/>
  <c r="L298" i="35"/>
  <c r="K298" i="35"/>
  <c r="J298" i="35"/>
  <c r="I298" i="35"/>
  <c r="G298" i="35"/>
  <c r="F298" i="35"/>
  <c r="E298" i="35"/>
  <c r="D298" i="35"/>
  <c r="C298" i="35"/>
  <c r="C295" i="38"/>
  <c r="U303" i="37"/>
  <c r="T303" i="37"/>
  <c r="S303" i="37"/>
  <c r="Q303" i="37"/>
  <c r="P303" i="37"/>
  <c r="O303" i="37"/>
  <c r="N303" i="37"/>
  <c r="L303" i="37"/>
  <c r="K303" i="37"/>
  <c r="C303" i="37"/>
  <c r="D303" i="37"/>
  <c r="F303" i="37"/>
  <c r="G303" i="37"/>
  <c r="I303" i="37"/>
  <c r="J303" i="37"/>
  <c r="C43" i="34" l="1"/>
  <c r="D44" i="34"/>
  <c r="D173" i="34" s="1"/>
  <c r="G31" i="34"/>
  <c r="H31" i="34"/>
  <c r="F31" i="34"/>
  <c r="C295" i="52"/>
  <c r="AO122" i="1" l="1"/>
  <c r="AN2" i="1"/>
  <c r="D171" i="33" l="1"/>
  <c r="C68" i="33" l="1"/>
  <c r="E55" i="33" l="1"/>
  <c r="C305" i="51" l="1"/>
  <c r="C312" i="50"/>
  <c r="V31" i="33" l="1"/>
  <c r="U31" i="33"/>
  <c r="T31" i="33"/>
  <c r="R31" i="33"/>
  <c r="Q31" i="33"/>
  <c r="P31" i="33"/>
  <c r="O31" i="33"/>
  <c r="M31" i="33"/>
  <c r="L31" i="33"/>
  <c r="K31" i="33"/>
  <c r="J31" i="33"/>
  <c r="H31" i="33"/>
  <c r="G31" i="33"/>
  <c r="F31" i="33"/>
  <c r="F26" i="33"/>
  <c r="D312" i="48"/>
  <c r="C312" i="48"/>
  <c r="D315" i="47"/>
  <c r="C315" i="47"/>
  <c r="S311" i="45"/>
  <c r="Q311" i="45" s="1"/>
  <c r="R311" i="45"/>
  <c r="N311" i="45"/>
  <c r="M311" i="45"/>
  <c r="L311" i="45"/>
  <c r="K311" i="45"/>
  <c r="H311" i="45"/>
  <c r="D311" i="45"/>
  <c r="C311" i="45"/>
  <c r="Q310" i="45"/>
  <c r="O310" i="45"/>
  <c r="I310" i="45"/>
  <c r="Q309" i="45"/>
  <c r="O309" i="45"/>
  <c r="I309" i="45"/>
  <c r="Q308" i="45"/>
  <c r="O308" i="45"/>
  <c r="I308" i="45"/>
  <c r="Q307" i="45"/>
  <c r="O307" i="45"/>
  <c r="I307" i="45"/>
  <c r="Q306" i="45"/>
  <c r="O306" i="45"/>
  <c r="I306" i="45"/>
  <c r="Q305" i="45"/>
  <c r="O305" i="45"/>
  <c r="I305" i="45"/>
  <c r="Q304" i="45"/>
  <c r="O304" i="45"/>
  <c r="I304" i="45"/>
  <c r="Q303" i="45"/>
  <c r="O303" i="45"/>
  <c r="I303" i="45"/>
  <c r="Q302" i="45"/>
  <c r="O302" i="45"/>
  <c r="I302" i="45"/>
  <c r="Q301" i="45"/>
  <c r="O301" i="45"/>
  <c r="I301" i="45"/>
  <c r="Q300" i="45"/>
  <c r="O300" i="45"/>
  <c r="I300" i="45"/>
  <c r="Q299" i="45"/>
  <c r="O299" i="45"/>
  <c r="I299" i="45"/>
  <c r="Q298" i="45"/>
  <c r="O298" i="45"/>
  <c r="I298" i="45"/>
  <c r="Q297" i="45"/>
  <c r="O297" i="45"/>
  <c r="I297" i="45"/>
  <c r="Q296" i="45"/>
  <c r="O296" i="45"/>
  <c r="I296" i="45"/>
  <c r="Q295" i="45"/>
  <c r="O295" i="45"/>
  <c r="I295" i="45"/>
  <c r="Q294" i="45"/>
  <c r="O294" i="45"/>
  <c r="I294" i="45"/>
  <c r="Q293" i="45"/>
  <c r="O293" i="45"/>
  <c r="I293" i="45"/>
  <c r="Q292" i="45"/>
  <c r="O292" i="45"/>
  <c r="I292" i="45"/>
  <c r="Q291" i="45"/>
  <c r="O291" i="45"/>
  <c r="I291" i="45"/>
  <c r="Q290" i="45"/>
  <c r="O290" i="45"/>
  <c r="I290" i="45"/>
  <c r="Q289" i="45"/>
  <c r="O289" i="45"/>
  <c r="I289" i="45"/>
  <c r="Q288" i="45"/>
  <c r="O288" i="45"/>
  <c r="I288" i="45"/>
  <c r="Q287" i="45"/>
  <c r="O287" i="45"/>
  <c r="I287" i="45"/>
  <c r="Q286" i="45"/>
  <c r="O286" i="45"/>
  <c r="I286" i="45"/>
  <c r="Q285" i="45"/>
  <c r="O285" i="45"/>
  <c r="I285" i="45"/>
  <c r="Q284" i="45"/>
  <c r="O284" i="45"/>
  <c r="I284" i="45"/>
  <c r="Q283" i="45"/>
  <c r="O283" i="45"/>
  <c r="I283" i="45"/>
  <c r="Q282" i="45"/>
  <c r="O282" i="45"/>
  <c r="I282" i="45"/>
  <c r="Q281" i="45"/>
  <c r="O281" i="45"/>
  <c r="I281" i="45"/>
  <c r="Q280" i="45"/>
  <c r="O280" i="45"/>
  <c r="I280" i="45"/>
  <c r="Q279" i="45"/>
  <c r="O279" i="45"/>
  <c r="I279" i="45"/>
  <c r="Q278" i="45"/>
  <c r="O278" i="45"/>
  <c r="I278" i="45"/>
  <c r="Q277" i="45"/>
  <c r="O277" i="45"/>
  <c r="I277" i="45"/>
  <c r="Q276" i="45"/>
  <c r="O276" i="45"/>
  <c r="I276" i="45"/>
  <c r="Q275" i="45"/>
  <c r="O275" i="45"/>
  <c r="I275" i="45"/>
  <c r="Q274" i="45"/>
  <c r="O274" i="45"/>
  <c r="I274" i="45"/>
  <c r="Q273" i="45"/>
  <c r="O273" i="45"/>
  <c r="I273" i="45"/>
  <c r="Q272" i="45"/>
  <c r="O272" i="45"/>
  <c r="I272" i="45"/>
  <c r="Q271" i="45"/>
  <c r="O271" i="45"/>
  <c r="I271" i="45"/>
  <c r="Q270" i="45"/>
  <c r="O270" i="45"/>
  <c r="I270" i="45"/>
  <c r="Q269" i="45"/>
  <c r="O269" i="45"/>
  <c r="I269" i="45"/>
  <c r="Q268" i="45"/>
  <c r="O268" i="45"/>
  <c r="I268" i="45"/>
  <c r="Q267" i="45"/>
  <c r="O267" i="45"/>
  <c r="I267" i="45"/>
  <c r="Q266" i="45"/>
  <c r="O266" i="45"/>
  <c r="I266" i="45"/>
  <c r="Q265" i="45"/>
  <c r="O265" i="45"/>
  <c r="I265" i="45"/>
  <c r="Q264" i="45"/>
  <c r="O264" i="45"/>
  <c r="I264" i="45"/>
  <c r="Q263" i="45"/>
  <c r="O263" i="45"/>
  <c r="I263" i="45"/>
  <c r="Q262" i="45"/>
  <c r="O262" i="45"/>
  <c r="I262" i="45"/>
  <c r="Q261" i="45"/>
  <c r="O261" i="45"/>
  <c r="I261" i="45"/>
  <c r="Q260" i="45"/>
  <c r="O260" i="45"/>
  <c r="I260" i="45"/>
  <c r="Q259" i="45"/>
  <c r="O259" i="45"/>
  <c r="I259" i="45"/>
  <c r="Q258" i="45"/>
  <c r="O258" i="45"/>
  <c r="I258" i="45"/>
  <c r="Q257" i="45"/>
  <c r="O257" i="45"/>
  <c r="I257" i="45"/>
  <c r="Q256" i="45"/>
  <c r="O256" i="45"/>
  <c r="I256" i="45"/>
  <c r="Q255" i="45"/>
  <c r="O255" i="45"/>
  <c r="I255" i="45"/>
  <c r="Q254" i="45"/>
  <c r="O254" i="45"/>
  <c r="I254" i="45"/>
  <c r="Q253" i="45"/>
  <c r="O253" i="45"/>
  <c r="I253" i="45"/>
  <c r="Q252" i="45"/>
  <c r="O252" i="45"/>
  <c r="I252" i="45"/>
  <c r="Q251" i="45"/>
  <c r="O251" i="45"/>
  <c r="I251" i="45"/>
  <c r="Q250" i="45"/>
  <c r="O250" i="45"/>
  <c r="I250" i="45"/>
  <c r="Q249" i="45"/>
  <c r="O249" i="45"/>
  <c r="I249" i="45"/>
  <c r="Q248" i="45"/>
  <c r="O248" i="45"/>
  <c r="I248" i="45"/>
  <c r="Q247" i="45"/>
  <c r="O247" i="45"/>
  <c r="I247" i="45"/>
  <c r="Q246" i="45"/>
  <c r="O246" i="45"/>
  <c r="I246" i="45"/>
  <c r="Q245" i="45"/>
  <c r="O245" i="45"/>
  <c r="I245" i="45"/>
  <c r="Q244" i="45"/>
  <c r="O244" i="45"/>
  <c r="I244" i="45"/>
  <c r="Q243" i="45"/>
  <c r="O243" i="45"/>
  <c r="I243" i="45"/>
  <c r="Q242" i="45"/>
  <c r="O242" i="45"/>
  <c r="I242" i="45"/>
  <c r="Q241" i="45"/>
  <c r="O241" i="45"/>
  <c r="I241" i="45"/>
  <c r="Q240" i="45"/>
  <c r="O240" i="45"/>
  <c r="I240" i="45"/>
  <c r="Q239" i="45"/>
  <c r="O239" i="45"/>
  <c r="I239" i="45"/>
  <c r="Q238" i="45"/>
  <c r="O238" i="45"/>
  <c r="I238" i="45"/>
  <c r="Q237" i="45"/>
  <c r="O237" i="45"/>
  <c r="I237" i="45"/>
  <c r="Q236" i="45"/>
  <c r="O236" i="45"/>
  <c r="I236" i="45"/>
  <c r="Q235" i="45"/>
  <c r="O235" i="45"/>
  <c r="I235" i="45"/>
  <c r="Q234" i="45"/>
  <c r="O234" i="45"/>
  <c r="I234" i="45"/>
  <c r="Q233" i="45"/>
  <c r="O233" i="45"/>
  <c r="I233" i="45"/>
  <c r="Q232" i="45"/>
  <c r="O232" i="45"/>
  <c r="I232" i="45"/>
  <c r="Q231" i="45"/>
  <c r="O231" i="45"/>
  <c r="I231" i="45"/>
  <c r="Q230" i="45"/>
  <c r="O230" i="45"/>
  <c r="I230" i="45"/>
  <c r="Q229" i="45"/>
  <c r="O229" i="45"/>
  <c r="I229" i="45"/>
  <c r="Q228" i="45"/>
  <c r="O228" i="45"/>
  <c r="I228" i="45"/>
  <c r="Q227" i="45"/>
  <c r="O227" i="45"/>
  <c r="I227" i="45"/>
  <c r="Q226" i="45"/>
  <c r="O226" i="45"/>
  <c r="I226" i="45"/>
  <c r="Q225" i="45"/>
  <c r="O225" i="45"/>
  <c r="I225" i="45"/>
  <c r="Q224" i="45"/>
  <c r="O224" i="45"/>
  <c r="I224" i="45"/>
  <c r="Q223" i="45"/>
  <c r="O223" i="45"/>
  <c r="I223" i="45"/>
  <c r="Q222" i="45"/>
  <c r="O222" i="45"/>
  <c r="I222" i="45"/>
  <c r="Q221" i="45"/>
  <c r="O221" i="45"/>
  <c r="I221" i="45"/>
  <c r="Q220" i="45"/>
  <c r="O220" i="45"/>
  <c r="I220" i="45"/>
  <c r="Q219" i="45"/>
  <c r="O219" i="45"/>
  <c r="I219" i="45"/>
  <c r="Q218" i="45"/>
  <c r="O218" i="45"/>
  <c r="I218" i="45"/>
  <c r="Q217" i="45"/>
  <c r="O217" i="45"/>
  <c r="I217" i="45"/>
  <c r="Q216" i="45"/>
  <c r="O216" i="45"/>
  <c r="I216" i="45"/>
  <c r="Q215" i="45"/>
  <c r="O215" i="45"/>
  <c r="I215" i="45"/>
  <c r="Q214" i="45"/>
  <c r="O214" i="45"/>
  <c r="I214" i="45"/>
  <c r="Q213" i="45"/>
  <c r="O213" i="45"/>
  <c r="I213" i="45"/>
  <c r="Q212" i="45"/>
  <c r="O212" i="45"/>
  <c r="I212" i="45"/>
  <c r="Q211" i="45"/>
  <c r="O211" i="45"/>
  <c r="I211" i="45"/>
  <c r="Q210" i="45"/>
  <c r="O210" i="45"/>
  <c r="I210" i="45"/>
  <c r="Q209" i="45"/>
  <c r="O209" i="45"/>
  <c r="I209" i="45"/>
  <c r="Q208" i="45"/>
  <c r="O208" i="45"/>
  <c r="I208" i="45"/>
  <c r="Q207" i="45"/>
  <c r="O207" i="45"/>
  <c r="I207" i="45"/>
  <c r="Q206" i="45"/>
  <c r="O206" i="45"/>
  <c r="I206" i="45"/>
  <c r="Q205" i="45"/>
  <c r="O205" i="45"/>
  <c r="I205" i="45"/>
  <c r="Q204" i="45"/>
  <c r="O204" i="45"/>
  <c r="I204" i="45"/>
  <c r="Q203" i="45"/>
  <c r="O203" i="45"/>
  <c r="I203" i="45"/>
  <c r="Q202" i="45"/>
  <c r="O202" i="45"/>
  <c r="I202" i="45"/>
  <c r="Q201" i="45"/>
  <c r="O201" i="45"/>
  <c r="I201" i="45"/>
  <c r="Q200" i="45"/>
  <c r="O200" i="45"/>
  <c r="I200" i="45"/>
  <c r="Q199" i="45"/>
  <c r="O199" i="45"/>
  <c r="I199" i="45"/>
  <c r="Q198" i="45"/>
  <c r="O198" i="45"/>
  <c r="I198" i="45"/>
  <c r="Q197" i="45"/>
  <c r="O197" i="45"/>
  <c r="I197" i="45"/>
  <c r="Q196" i="45"/>
  <c r="O196" i="45"/>
  <c r="I196" i="45"/>
  <c r="Q195" i="45"/>
  <c r="O195" i="45"/>
  <c r="I195" i="45"/>
  <c r="Q194" i="45"/>
  <c r="O194" i="45"/>
  <c r="I194" i="45"/>
  <c r="Q193" i="45"/>
  <c r="O193" i="45"/>
  <c r="I193" i="45"/>
  <c r="Q192" i="45"/>
  <c r="O192" i="45"/>
  <c r="I192" i="45"/>
  <c r="Q191" i="45"/>
  <c r="O191" i="45"/>
  <c r="I191" i="45"/>
  <c r="Q190" i="45"/>
  <c r="O190" i="45"/>
  <c r="I190" i="45"/>
  <c r="Q189" i="45"/>
  <c r="O189" i="45"/>
  <c r="I189" i="45"/>
  <c r="Q188" i="45"/>
  <c r="O188" i="45"/>
  <c r="I188" i="45"/>
  <c r="Q187" i="45"/>
  <c r="O187" i="45"/>
  <c r="I187" i="45"/>
  <c r="Q186" i="45"/>
  <c r="O186" i="45"/>
  <c r="I186" i="45"/>
  <c r="Q185" i="45"/>
  <c r="O185" i="45"/>
  <c r="I185" i="45"/>
  <c r="Q184" i="45"/>
  <c r="O184" i="45"/>
  <c r="I184" i="45"/>
  <c r="Q183" i="45"/>
  <c r="O183" i="45"/>
  <c r="I183" i="45"/>
  <c r="Q182" i="45"/>
  <c r="O182" i="45"/>
  <c r="I182" i="45"/>
  <c r="Q181" i="45"/>
  <c r="O181" i="45"/>
  <c r="I181" i="45"/>
  <c r="Q180" i="45"/>
  <c r="O180" i="45"/>
  <c r="I180" i="45"/>
  <c r="Q179" i="45"/>
  <c r="O179" i="45"/>
  <c r="I179" i="45"/>
  <c r="Q178" i="45"/>
  <c r="O178" i="45"/>
  <c r="I178" i="45"/>
  <c r="Q177" i="45"/>
  <c r="O177" i="45"/>
  <c r="I177" i="45"/>
  <c r="Q176" i="45"/>
  <c r="O176" i="45"/>
  <c r="I176" i="45"/>
  <c r="Q175" i="45"/>
  <c r="O175" i="45"/>
  <c r="I175" i="45"/>
  <c r="Q174" i="45"/>
  <c r="O174" i="45"/>
  <c r="I174" i="45"/>
  <c r="Q173" i="45"/>
  <c r="O173" i="45"/>
  <c r="I173" i="45"/>
  <c r="Q172" i="45"/>
  <c r="O172" i="45"/>
  <c r="I172" i="45"/>
  <c r="Q171" i="45"/>
  <c r="O171" i="45"/>
  <c r="I171" i="45"/>
  <c r="Q170" i="45"/>
  <c r="O170" i="45"/>
  <c r="I170" i="45"/>
  <c r="Q169" i="45"/>
  <c r="O169" i="45"/>
  <c r="I169" i="45"/>
  <c r="Q168" i="45"/>
  <c r="O168" i="45"/>
  <c r="I168" i="45"/>
  <c r="Q167" i="45"/>
  <c r="O167" i="45"/>
  <c r="I167" i="45"/>
  <c r="Q166" i="45"/>
  <c r="O166" i="45"/>
  <c r="I166" i="45"/>
  <c r="Q165" i="45"/>
  <c r="O165" i="45"/>
  <c r="I165" i="45"/>
  <c r="Q164" i="45"/>
  <c r="O164" i="45"/>
  <c r="I164" i="45"/>
  <c r="Q163" i="45"/>
  <c r="O163" i="45"/>
  <c r="I163" i="45"/>
  <c r="Q162" i="45"/>
  <c r="O162" i="45"/>
  <c r="I162" i="45"/>
  <c r="Q161" i="45"/>
  <c r="O161" i="45"/>
  <c r="I161" i="45"/>
  <c r="Q160" i="45"/>
  <c r="O160" i="45"/>
  <c r="I160" i="45"/>
  <c r="Q159" i="45"/>
  <c r="O159" i="45"/>
  <c r="I159" i="45"/>
  <c r="Q158" i="45"/>
  <c r="O158" i="45"/>
  <c r="I158" i="45"/>
  <c r="Q157" i="45"/>
  <c r="O157" i="45"/>
  <c r="I157" i="45"/>
  <c r="Q156" i="45"/>
  <c r="O156" i="45"/>
  <c r="I156" i="45"/>
  <c r="Q155" i="45"/>
  <c r="O155" i="45"/>
  <c r="I155" i="45"/>
  <c r="Q154" i="45"/>
  <c r="O154" i="45"/>
  <c r="I154" i="45"/>
  <c r="Q153" i="45"/>
  <c r="O153" i="45"/>
  <c r="I153" i="45"/>
  <c r="Q152" i="45"/>
  <c r="O152" i="45"/>
  <c r="I152" i="45"/>
  <c r="Q151" i="45"/>
  <c r="O151" i="45"/>
  <c r="I151" i="45"/>
  <c r="Q150" i="45"/>
  <c r="O150" i="45"/>
  <c r="I150" i="45"/>
  <c r="Q149" i="45"/>
  <c r="O149" i="45"/>
  <c r="I149" i="45"/>
  <c r="Q148" i="45"/>
  <c r="O148" i="45"/>
  <c r="I148" i="45"/>
  <c r="Q147" i="45"/>
  <c r="O147" i="45"/>
  <c r="I147" i="45"/>
  <c r="Q146" i="45"/>
  <c r="O146" i="45"/>
  <c r="I146" i="45"/>
  <c r="Q145" i="45"/>
  <c r="O145" i="45"/>
  <c r="I145" i="45"/>
  <c r="Q144" i="45"/>
  <c r="O144" i="45"/>
  <c r="I144" i="45"/>
  <c r="Q143" i="45"/>
  <c r="O143" i="45"/>
  <c r="I143" i="45"/>
  <c r="Q142" i="45"/>
  <c r="O142" i="45"/>
  <c r="I142" i="45"/>
  <c r="Q141" i="45"/>
  <c r="O141" i="45"/>
  <c r="I141" i="45"/>
  <c r="Q140" i="45"/>
  <c r="O140" i="45"/>
  <c r="I140" i="45"/>
  <c r="Q139" i="45"/>
  <c r="O139" i="45"/>
  <c r="I139" i="45"/>
  <c r="Q138" i="45"/>
  <c r="O138" i="45"/>
  <c r="I138" i="45"/>
  <c r="Q137" i="45"/>
  <c r="O137" i="45"/>
  <c r="I137" i="45"/>
  <c r="Q136" i="45"/>
  <c r="O136" i="45"/>
  <c r="I136" i="45"/>
  <c r="Q135" i="45"/>
  <c r="O135" i="45"/>
  <c r="I135" i="45"/>
  <c r="Q134" i="45"/>
  <c r="O134" i="45"/>
  <c r="I134" i="45"/>
  <c r="Q133" i="45"/>
  <c r="O133" i="45"/>
  <c r="I133" i="45"/>
  <c r="Q132" i="45"/>
  <c r="O132" i="45"/>
  <c r="I132" i="45"/>
  <c r="Q131" i="45"/>
  <c r="O131" i="45"/>
  <c r="I131" i="45"/>
  <c r="Q130" i="45"/>
  <c r="O130" i="45"/>
  <c r="I130" i="45"/>
  <c r="Q129" i="45"/>
  <c r="O129" i="45"/>
  <c r="I129" i="45"/>
  <c r="Q128" i="45"/>
  <c r="O128" i="45"/>
  <c r="I128" i="45"/>
  <c r="Q127" i="45"/>
  <c r="O127" i="45"/>
  <c r="I127" i="45"/>
  <c r="Q126" i="45"/>
  <c r="O126" i="45"/>
  <c r="I126" i="45"/>
  <c r="Q125" i="45"/>
  <c r="O125" i="45"/>
  <c r="I125" i="45"/>
  <c r="Q124" i="45"/>
  <c r="O124" i="45"/>
  <c r="I124" i="45"/>
  <c r="Q123" i="45"/>
  <c r="O123" i="45"/>
  <c r="I123" i="45"/>
  <c r="Q122" i="45"/>
  <c r="O122" i="45"/>
  <c r="I122" i="45"/>
  <c r="Q121" i="45"/>
  <c r="O121" i="45"/>
  <c r="I121" i="45"/>
  <c r="Q120" i="45"/>
  <c r="O120" i="45"/>
  <c r="I120" i="45"/>
  <c r="Q119" i="45"/>
  <c r="O119" i="45"/>
  <c r="I119" i="45"/>
  <c r="Q118" i="45"/>
  <c r="O118" i="45"/>
  <c r="I118" i="45"/>
  <c r="Q117" i="45"/>
  <c r="O117" i="45"/>
  <c r="I117" i="45"/>
  <c r="Q116" i="45"/>
  <c r="O116" i="45"/>
  <c r="I116" i="45"/>
  <c r="Q115" i="45"/>
  <c r="O115" i="45"/>
  <c r="I115" i="45"/>
  <c r="Q114" i="45"/>
  <c r="O114" i="45"/>
  <c r="I114" i="45"/>
  <c r="Q113" i="45"/>
  <c r="O113" i="45"/>
  <c r="I113" i="45"/>
  <c r="Q112" i="45"/>
  <c r="O112" i="45"/>
  <c r="I112" i="45"/>
  <c r="Q111" i="45"/>
  <c r="O111" i="45"/>
  <c r="I111" i="45"/>
  <c r="Q110" i="45"/>
  <c r="O110" i="45"/>
  <c r="I110" i="45"/>
  <c r="Q109" i="45"/>
  <c r="O109" i="45"/>
  <c r="I109" i="45"/>
  <c r="Q108" i="45"/>
  <c r="O108" i="45"/>
  <c r="I108" i="45"/>
  <c r="Q107" i="45"/>
  <c r="O107" i="45"/>
  <c r="I107" i="45"/>
  <c r="Q106" i="45"/>
  <c r="O106" i="45"/>
  <c r="I106" i="45"/>
  <c r="Q105" i="45"/>
  <c r="O105" i="45"/>
  <c r="I105" i="45"/>
  <c r="Q104" i="45"/>
  <c r="O104" i="45"/>
  <c r="I104" i="45"/>
  <c r="Q103" i="45"/>
  <c r="O103" i="45"/>
  <c r="I103" i="45"/>
  <c r="Q102" i="45"/>
  <c r="O102" i="45"/>
  <c r="I102" i="45"/>
  <c r="Q101" i="45"/>
  <c r="O101" i="45"/>
  <c r="I101" i="45"/>
  <c r="Q100" i="45"/>
  <c r="O100" i="45"/>
  <c r="I100" i="45"/>
  <c r="Q99" i="45"/>
  <c r="O99" i="45"/>
  <c r="I99" i="45"/>
  <c r="Q98" i="45"/>
  <c r="O98" i="45"/>
  <c r="I98" i="45"/>
  <c r="Q97" i="45"/>
  <c r="O97" i="45"/>
  <c r="I97" i="45"/>
  <c r="Q96" i="45"/>
  <c r="O96" i="45"/>
  <c r="I96" i="45"/>
  <c r="Q95" i="45"/>
  <c r="O95" i="45"/>
  <c r="I95" i="45"/>
  <c r="Q94" i="45"/>
  <c r="O94" i="45"/>
  <c r="I94" i="45"/>
  <c r="Q93" i="45"/>
  <c r="O93" i="45"/>
  <c r="I93" i="45"/>
  <c r="Q92" i="45"/>
  <c r="O92" i="45"/>
  <c r="I92" i="45"/>
  <c r="Q91" i="45"/>
  <c r="O91" i="45"/>
  <c r="I91" i="45"/>
  <c r="Q90" i="45"/>
  <c r="O90" i="45"/>
  <c r="I90" i="45"/>
  <c r="Q89" i="45"/>
  <c r="O89" i="45"/>
  <c r="I89" i="45"/>
  <c r="Q88" i="45"/>
  <c r="O88" i="45"/>
  <c r="I88" i="45"/>
  <c r="Q87" i="45"/>
  <c r="O87" i="45"/>
  <c r="I87" i="45"/>
  <c r="Q86" i="45"/>
  <c r="O86" i="45"/>
  <c r="I86" i="45"/>
  <c r="Q85" i="45"/>
  <c r="O85" i="45"/>
  <c r="I85" i="45"/>
  <c r="Q84" i="45"/>
  <c r="O84" i="45"/>
  <c r="I84" i="45"/>
  <c r="Q83" i="45"/>
  <c r="O83" i="45"/>
  <c r="I83" i="45"/>
  <c r="Q82" i="45"/>
  <c r="O82" i="45"/>
  <c r="I82" i="45"/>
  <c r="Q81" i="45"/>
  <c r="O81" i="45"/>
  <c r="I81" i="45"/>
  <c r="Q80" i="45"/>
  <c r="O80" i="45"/>
  <c r="I80" i="45"/>
  <c r="Q79" i="45"/>
  <c r="O79" i="45"/>
  <c r="I79" i="45"/>
  <c r="Q78" i="45"/>
  <c r="O78" i="45"/>
  <c r="I78" i="45"/>
  <c r="Q77" i="45"/>
  <c r="O77" i="45"/>
  <c r="I77" i="45"/>
  <c r="Q76" i="45"/>
  <c r="O76" i="45"/>
  <c r="I76" i="45"/>
  <c r="Q75" i="45"/>
  <c r="O75" i="45"/>
  <c r="I75" i="45"/>
  <c r="Q74" i="45"/>
  <c r="O74" i="45"/>
  <c r="I74" i="45"/>
  <c r="Q73" i="45"/>
  <c r="O73" i="45"/>
  <c r="I73" i="45"/>
  <c r="Q72" i="45"/>
  <c r="O72" i="45"/>
  <c r="I72" i="45"/>
  <c r="Q71" i="45"/>
  <c r="O71" i="45"/>
  <c r="I71" i="45"/>
  <c r="Q70" i="45"/>
  <c r="O70" i="45"/>
  <c r="I70" i="45"/>
  <c r="Q69" i="45"/>
  <c r="O69" i="45"/>
  <c r="I69" i="45"/>
  <c r="Q68" i="45"/>
  <c r="O68" i="45"/>
  <c r="I68" i="45"/>
  <c r="Q67" i="45"/>
  <c r="O67" i="45"/>
  <c r="I67" i="45"/>
  <c r="Q66" i="45"/>
  <c r="O66" i="45"/>
  <c r="I66" i="45"/>
  <c r="Q65" i="45"/>
  <c r="O65" i="45"/>
  <c r="I65" i="45"/>
  <c r="Q64" i="45"/>
  <c r="O64" i="45"/>
  <c r="I64" i="45"/>
  <c r="Q63" i="45"/>
  <c r="O63" i="45"/>
  <c r="I63" i="45"/>
  <c r="Q62" i="45"/>
  <c r="O62" i="45"/>
  <c r="I62" i="45"/>
  <c r="Q61" i="45"/>
  <c r="O61" i="45"/>
  <c r="I61" i="45"/>
  <c r="Q60" i="45"/>
  <c r="O60" i="45"/>
  <c r="I60" i="45"/>
  <c r="Q59" i="45"/>
  <c r="O59" i="45"/>
  <c r="I59" i="45"/>
  <c r="Q58" i="45"/>
  <c r="O58" i="45"/>
  <c r="I58" i="45"/>
  <c r="Q57" i="45"/>
  <c r="O57" i="45"/>
  <c r="I57" i="45"/>
  <c r="Q56" i="45"/>
  <c r="O56" i="45"/>
  <c r="I56" i="45"/>
  <c r="Q55" i="45"/>
  <c r="O55" i="45"/>
  <c r="I55" i="45"/>
  <c r="Q54" i="45"/>
  <c r="O54" i="45"/>
  <c r="I54" i="45"/>
  <c r="Q53" i="45"/>
  <c r="O53" i="45"/>
  <c r="I53" i="45"/>
  <c r="Q52" i="45"/>
  <c r="O52" i="45"/>
  <c r="I52" i="45"/>
  <c r="Q51" i="45"/>
  <c r="O51" i="45"/>
  <c r="I51" i="45"/>
  <c r="Q50" i="45"/>
  <c r="O50" i="45"/>
  <c r="I50" i="45"/>
  <c r="Q49" i="45"/>
  <c r="O49" i="45"/>
  <c r="I49" i="45"/>
  <c r="Q48" i="45"/>
  <c r="O48" i="45"/>
  <c r="I48" i="45"/>
  <c r="Q47" i="45"/>
  <c r="O47" i="45"/>
  <c r="I47" i="45"/>
  <c r="Q46" i="45"/>
  <c r="O46" i="45"/>
  <c r="I46" i="45"/>
  <c r="Q45" i="45"/>
  <c r="O45" i="45"/>
  <c r="I45" i="45"/>
  <c r="Q44" i="45"/>
  <c r="O44" i="45"/>
  <c r="I44" i="45"/>
  <c r="Q43" i="45"/>
  <c r="O43" i="45"/>
  <c r="I43" i="45"/>
  <c r="Q42" i="45"/>
  <c r="O42" i="45"/>
  <c r="I42" i="45"/>
  <c r="Q41" i="45"/>
  <c r="O41" i="45"/>
  <c r="I41" i="45"/>
  <c r="Q40" i="45"/>
  <c r="O40" i="45"/>
  <c r="I40" i="45"/>
  <c r="Q39" i="45"/>
  <c r="O39" i="45"/>
  <c r="I39" i="45"/>
  <c r="Q38" i="45"/>
  <c r="O38" i="45"/>
  <c r="I38" i="45"/>
  <c r="Q37" i="45"/>
  <c r="O37" i="45"/>
  <c r="I37" i="45"/>
  <c r="Q36" i="45"/>
  <c r="O36" i="45"/>
  <c r="I36" i="45"/>
  <c r="Q35" i="45"/>
  <c r="O35" i="45"/>
  <c r="I35" i="45"/>
  <c r="Q34" i="45"/>
  <c r="O34" i="45"/>
  <c r="I34" i="45"/>
  <c r="Q33" i="45"/>
  <c r="O33" i="45"/>
  <c r="I33" i="45"/>
  <c r="Q32" i="45"/>
  <c r="O32" i="45"/>
  <c r="I32" i="45"/>
  <c r="Q31" i="45"/>
  <c r="O31" i="45"/>
  <c r="I31" i="45"/>
  <c r="Q30" i="45"/>
  <c r="O30" i="45"/>
  <c r="I30" i="45"/>
  <c r="Q29" i="45"/>
  <c r="O29" i="45"/>
  <c r="I29" i="45"/>
  <c r="Q28" i="45"/>
  <c r="O28" i="45"/>
  <c r="I28" i="45"/>
  <c r="Q27" i="45"/>
  <c r="O27" i="45"/>
  <c r="I27" i="45"/>
  <c r="Q26" i="45"/>
  <c r="O26" i="45"/>
  <c r="I26" i="45"/>
  <c r="Q25" i="45"/>
  <c r="O25" i="45"/>
  <c r="I25" i="45"/>
  <c r="Q24" i="45"/>
  <c r="O24" i="45"/>
  <c r="I24" i="45"/>
  <c r="Q23" i="45"/>
  <c r="O23" i="45"/>
  <c r="I23" i="45"/>
  <c r="Q22" i="45"/>
  <c r="O22" i="45"/>
  <c r="I22" i="45"/>
  <c r="Q21" i="45"/>
  <c r="O21" i="45"/>
  <c r="I21" i="45"/>
  <c r="Q20" i="45"/>
  <c r="O20" i="45"/>
  <c r="I20" i="45"/>
  <c r="Q19" i="45"/>
  <c r="O19" i="45"/>
  <c r="I19" i="45"/>
  <c r="Q18" i="45"/>
  <c r="O18" i="45"/>
  <c r="I18" i="45"/>
  <c r="Q17" i="45"/>
  <c r="O17" i="45"/>
  <c r="I17" i="45"/>
  <c r="Q16" i="45"/>
  <c r="O16" i="45"/>
  <c r="I16" i="45"/>
  <c r="Q15" i="45"/>
  <c r="O15" i="45"/>
  <c r="I15" i="45"/>
  <c r="Q14" i="45"/>
  <c r="O14" i="45"/>
  <c r="I14" i="45"/>
  <c r="Q13" i="45"/>
  <c r="O13" i="45"/>
  <c r="I13" i="45"/>
  <c r="Q12" i="45"/>
  <c r="O12" i="45"/>
  <c r="I12" i="45"/>
  <c r="Q11" i="45"/>
  <c r="O11" i="45"/>
  <c r="I11" i="45"/>
  <c r="Q10" i="45"/>
  <c r="O10" i="45"/>
  <c r="I10" i="45"/>
  <c r="Q9" i="45"/>
  <c r="O9" i="45"/>
  <c r="I9" i="45"/>
  <c r="Q8" i="45"/>
  <c r="O8" i="45"/>
  <c r="I8" i="45"/>
  <c r="Q7" i="45"/>
  <c r="O7" i="45"/>
  <c r="O311" i="45" s="1"/>
  <c r="I7" i="45"/>
  <c r="I311" i="45" s="1"/>
  <c r="S314" i="44"/>
  <c r="V26" i="33" s="1"/>
  <c r="R314" i="44"/>
  <c r="U26" i="33" s="1"/>
  <c r="N314" i="44"/>
  <c r="R26" i="33" s="1"/>
  <c r="M314" i="44"/>
  <c r="Q26" i="33" s="1"/>
  <c r="L314" i="44"/>
  <c r="P26" i="33" s="1"/>
  <c r="K314" i="44"/>
  <c r="O26" i="33" s="1"/>
  <c r="H314" i="44"/>
  <c r="M26" i="33" s="1"/>
  <c r="G314" i="44"/>
  <c r="L26" i="33" s="1"/>
  <c r="F314" i="44"/>
  <c r="K26" i="33" s="1"/>
  <c r="E314" i="44"/>
  <c r="J26" i="33" s="1"/>
  <c r="D314" i="44"/>
  <c r="H26" i="33" s="1"/>
  <c r="C314" i="44"/>
  <c r="G26" i="33" s="1"/>
  <c r="Q312" i="44"/>
  <c r="O312" i="44"/>
  <c r="I312" i="44"/>
  <c r="Q311" i="44"/>
  <c r="O311" i="44"/>
  <c r="I311" i="44"/>
  <c r="Q310" i="44"/>
  <c r="O310" i="44"/>
  <c r="I310" i="44"/>
  <c r="Q309" i="44"/>
  <c r="O309" i="44"/>
  <c r="I309" i="44"/>
  <c r="Q308" i="44"/>
  <c r="O308" i="44"/>
  <c r="I308" i="44"/>
  <c r="Q307" i="44"/>
  <c r="O307" i="44"/>
  <c r="I307" i="44"/>
  <c r="Q306" i="44"/>
  <c r="O306" i="44"/>
  <c r="I306" i="44"/>
  <c r="Q305" i="44"/>
  <c r="O305" i="44"/>
  <c r="I305" i="44"/>
  <c r="Q304" i="44"/>
  <c r="O304" i="44"/>
  <c r="I304" i="44"/>
  <c r="Q303" i="44"/>
  <c r="O303" i="44"/>
  <c r="I303" i="44"/>
  <c r="Q302" i="44"/>
  <c r="O302" i="44"/>
  <c r="I302" i="44"/>
  <c r="Q301" i="44"/>
  <c r="O301" i="44"/>
  <c r="I301" i="44"/>
  <c r="Q300" i="44"/>
  <c r="O300" i="44"/>
  <c r="I300" i="44"/>
  <c r="Q299" i="44"/>
  <c r="O299" i="44"/>
  <c r="I299" i="44"/>
  <c r="Q298" i="44"/>
  <c r="O298" i="44"/>
  <c r="I298" i="44"/>
  <c r="Q297" i="44"/>
  <c r="O297" i="44"/>
  <c r="I297" i="44"/>
  <c r="Q296" i="44"/>
  <c r="O296" i="44"/>
  <c r="I296" i="44"/>
  <c r="Q295" i="44"/>
  <c r="O295" i="44"/>
  <c r="I295" i="44"/>
  <c r="Q294" i="44"/>
  <c r="O294" i="44"/>
  <c r="I294" i="44"/>
  <c r="Q293" i="44"/>
  <c r="O293" i="44"/>
  <c r="I293" i="44"/>
  <c r="Q292" i="44"/>
  <c r="O292" i="44"/>
  <c r="I292" i="44"/>
  <c r="Q291" i="44"/>
  <c r="O291" i="44"/>
  <c r="I291" i="44"/>
  <c r="Q290" i="44"/>
  <c r="O290" i="44"/>
  <c r="I290" i="44"/>
  <c r="Q289" i="44"/>
  <c r="O289" i="44"/>
  <c r="I289" i="44"/>
  <c r="Q288" i="44"/>
  <c r="O288" i="44"/>
  <c r="I288" i="44"/>
  <c r="Q287" i="44"/>
  <c r="O287" i="44"/>
  <c r="I287" i="44"/>
  <c r="Q286" i="44"/>
  <c r="O286" i="44"/>
  <c r="I286" i="44"/>
  <c r="Q285" i="44"/>
  <c r="O285" i="44"/>
  <c r="I285" i="44"/>
  <c r="Q284" i="44"/>
  <c r="O284" i="44"/>
  <c r="I284" i="44"/>
  <c r="Q283" i="44"/>
  <c r="O283" i="44"/>
  <c r="I283" i="44"/>
  <c r="Q282" i="44"/>
  <c r="O282" i="44"/>
  <c r="I282" i="44"/>
  <c r="Q281" i="44"/>
  <c r="O281" i="44"/>
  <c r="I281" i="44"/>
  <c r="Q280" i="44"/>
  <c r="O280" i="44"/>
  <c r="I280" i="44"/>
  <c r="Q279" i="44"/>
  <c r="O279" i="44"/>
  <c r="I279" i="44"/>
  <c r="Q278" i="44"/>
  <c r="O278" i="44"/>
  <c r="I278" i="44"/>
  <c r="Q277" i="44"/>
  <c r="O277" i="44"/>
  <c r="I277" i="44"/>
  <c r="Q276" i="44"/>
  <c r="O276" i="44"/>
  <c r="I276" i="44"/>
  <c r="Q275" i="44"/>
  <c r="O275" i="44"/>
  <c r="I275" i="44"/>
  <c r="Q274" i="44"/>
  <c r="O274" i="44"/>
  <c r="I274" i="44"/>
  <c r="Q273" i="44"/>
  <c r="O273" i="44"/>
  <c r="I273" i="44"/>
  <c r="Q272" i="44"/>
  <c r="O272" i="44"/>
  <c r="I272" i="44"/>
  <c r="Q271" i="44"/>
  <c r="O271" i="44"/>
  <c r="I271" i="44"/>
  <c r="Q270" i="44"/>
  <c r="O270" i="44"/>
  <c r="I270" i="44"/>
  <c r="Q269" i="44"/>
  <c r="O269" i="44"/>
  <c r="I269" i="44"/>
  <c r="Q268" i="44"/>
  <c r="O268" i="44"/>
  <c r="I268" i="44"/>
  <c r="Q267" i="44"/>
  <c r="O267" i="44"/>
  <c r="I267" i="44"/>
  <c r="Q266" i="44"/>
  <c r="O266" i="44"/>
  <c r="I266" i="44"/>
  <c r="Q265" i="44"/>
  <c r="O265" i="44"/>
  <c r="I265" i="44"/>
  <c r="Q264" i="44"/>
  <c r="O264" i="44"/>
  <c r="I264" i="44"/>
  <c r="Q263" i="44"/>
  <c r="O263" i="44"/>
  <c r="I263" i="44"/>
  <c r="Q262" i="44"/>
  <c r="O262" i="44"/>
  <c r="I262" i="44"/>
  <c r="Q261" i="44"/>
  <c r="O261" i="44"/>
  <c r="I261" i="44"/>
  <c r="Q260" i="44"/>
  <c r="O260" i="44"/>
  <c r="I260" i="44"/>
  <c r="Q259" i="44"/>
  <c r="O259" i="44"/>
  <c r="I259" i="44"/>
  <c r="Q258" i="44"/>
  <c r="O258" i="44"/>
  <c r="I258" i="44"/>
  <c r="Q257" i="44"/>
  <c r="O257" i="44"/>
  <c r="I257" i="44"/>
  <c r="Q256" i="44"/>
  <c r="O256" i="44"/>
  <c r="I256" i="44"/>
  <c r="Q255" i="44"/>
  <c r="O255" i="44"/>
  <c r="I255" i="44"/>
  <c r="Q254" i="44"/>
  <c r="O254" i="44"/>
  <c r="I254" i="44"/>
  <c r="Q253" i="44"/>
  <c r="O253" i="44"/>
  <c r="I253" i="44"/>
  <c r="Q252" i="44"/>
  <c r="O252" i="44"/>
  <c r="I252" i="44"/>
  <c r="Q251" i="44"/>
  <c r="O251" i="44"/>
  <c r="I251" i="44"/>
  <c r="Q250" i="44"/>
  <c r="O250" i="44"/>
  <c r="I250" i="44"/>
  <c r="Q249" i="44"/>
  <c r="O249" i="44"/>
  <c r="I249" i="44"/>
  <c r="Q248" i="44"/>
  <c r="O248" i="44"/>
  <c r="I248" i="44"/>
  <c r="Q247" i="44"/>
  <c r="O247" i="44"/>
  <c r="I247" i="44"/>
  <c r="Q246" i="44"/>
  <c r="O246" i="44"/>
  <c r="I246" i="44"/>
  <c r="Q245" i="44"/>
  <c r="O245" i="44"/>
  <c r="I245" i="44"/>
  <c r="Q244" i="44"/>
  <c r="O244" i="44"/>
  <c r="I244" i="44"/>
  <c r="Q243" i="44"/>
  <c r="O243" i="44"/>
  <c r="I243" i="44"/>
  <c r="Q242" i="44"/>
  <c r="O242" i="44"/>
  <c r="I242" i="44"/>
  <c r="Q241" i="44"/>
  <c r="O241" i="44"/>
  <c r="I241" i="44"/>
  <c r="Q240" i="44"/>
  <c r="O240" i="44"/>
  <c r="I240" i="44"/>
  <c r="Q239" i="44"/>
  <c r="O239" i="44"/>
  <c r="I239" i="44"/>
  <c r="Q238" i="44"/>
  <c r="O238" i="44"/>
  <c r="I238" i="44"/>
  <c r="Q237" i="44"/>
  <c r="O237" i="44"/>
  <c r="I237" i="44"/>
  <c r="Q236" i="44"/>
  <c r="O236" i="44"/>
  <c r="I236" i="44"/>
  <c r="Q235" i="44"/>
  <c r="O235" i="44"/>
  <c r="I235" i="44"/>
  <c r="Q234" i="44"/>
  <c r="O234" i="44"/>
  <c r="I234" i="44"/>
  <c r="Q233" i="44"/>
  <c r="O233" i="44"/>
  <c r="I233" i="44"/>
  <c r="Q232" i="44"/>
  <c r="O232" i="44"/>
  <c r="I232" i="44"/>
  <c r="Q231" i="44"/>
  <c r="O231" i="44"/>
  <c r="I231" i="44"/>
  <c r="Q230" i="44"/>
  <c r="O230" i="44"/>
  <c r="I230" i="44"/>
  <c r="Q229" i="44"/>
  <c r="O229" i="44"/>
  <c r="I229" i="44"/>
  <c r="Q228" i="44"/>
  <c r="O228" i="44"/>
  <c r="I228" i="44"/>
  <c r="Q227" i="44"/>
  <c r="O227" i="44"/>
  <c r="I227" i="44"/>
  <c r="Q226" i="44"/>
  <c r="O226" i="44"/>
  <c r="I226" i="44"/>
  <c r="Q225" i="44"/>
  <c r="O225" i="44"/>
  <c r="I225" i="44"/>
  <c r="Q224" i="44"/>
  <c r="O224" i="44"/>
  <c r="I224" i="44"/>
  <c r="Q223" i="44"/>
  <c r="O223" i="44"/>
  <c r="I223" i="44"/>
  <c r="Q222" i="44"/>
  <c r="O222" i="44"/>
  <c r="I222" i="44"/>
  <c r="Q221" i="44"/>
  <c r="O221" i="44"/>
  <c r="I221" i="44"/>
  <c r="Q220" i="44"/>
  <c r="O220" i="44"/>
  <c r="I220" i="44"/>
  <c r="Q219" i="44"/>
  <c r="O219" i="44"/>
  <c r="I219" i="44"/>
  <c r="Q218" i="44"/>
  <c r="O218" i="44"/>
  <c r="I218" i="44"/>
  <c r="Q217" i="44"/>
  <c r="O217" i="44"/>
  <c r="I217" i="44"/>
  <c r="Q216" i="44"/>
  <c r="O216" i="44"/>
  <c r="I216" i="44"/>
  <c r="Q215" i="44"/>
  <c r="O215" i="44"/>
  <c r="I215" i="44"/>
  <c r="Q214" i="44"/>
  <c r="O214" i="44"/>
  <c r="I214" i="44"/>
  <c r="Q213" i="44"/>
  <c r="O213" i="44"/>
  <c r="I213" i="44"/>
  <c r="Q212" i="44"/>
  <c r="O212" i="44"/>
  <c r="I212" i="44"/>
  <c r="Q211" i="44"/>
  <c r="O211" i="44"/>
  <c r="I211" i="44"/>
  <c r="Q210" i="44"/>
  <c r="O210" i="44"/>
  <c r="I210" i="44"/>
  <c r="Q209" i="44"/>
  <c r="O209" i="44"/>
  <c r="I209" i="44"/>
  <c r="Q208" i="44"/>
  <c r="O208" i="44"/>
  <c r="I208" i="44"/>
  <c r="Q207" i="44"/>
  <c r="O207" i="44"/>
  <c r="I207" i="44"/>
  <c r="Q206" i="44"/>
  <c r="O206" i="44"/>
  <c r="I206" i="44"/>
  <c r="Q205" i="44"/>
  <c r="O205" i="44"/>
  <c r="I205" i="44"/>
  <c r="Q204" i="44"/>
  <c r="O204" i="44"/>
  <c r="I204" i="44"/>
  <c r="Q203" i="44"/>
  <c r="O203" i="44"/>
  <c r="I203" i="44"/>
  <c r="Q202" i="44"/>
  <c r="O202" i="44"/>
  <c r="I202" i="44"/>
  <c r="Q201" i="44"/>
  <c r="O201" i="44"/>
  <c r="I201" i="44"/>
  <c r="Q200" i="44"/>
  <c r="O200" i="44"/>
  <c r="I200" i="44"/>
  <c r="Q199" i="44"/>
  <c r="O199" i="44"/>
  <c r="I199" i="44"/>
  <c r="Q198" i="44"/>
  <c r="O198" i="44"/>
  <c r="I198" i="44"/>
  <c r="Q197" i="44"/>
  <c r="O197" i="44"/>
  <c r="I197" i="44"/>
  <c r="Q196" i="44"/>
  <c r="O196" i="44"/>
  <c r="I196" i="44"/>
  <c r="Q195" i="44"/>
  <c r="O195" i="44"/>
  <c r="I195" i="44"/>
  <c r="Q194" i="44"/>
  <c r="O194" i="44"/>
  <c r="I194" i="44"/>
  <c r="Q193" i="44"/>
  <c r="O193" i="44"/>
  <c r="I193" i="44"/>
  <c r="Q192" i="44"/>
  <c r="O192" i="44"/>
  <c r="I192" i="44"/>
  <c r="Q191" i="44"/>
  <c r="O191" i="44"/>
  <c r="I191" i="44"/>
  <c r="Q190" i="44"/>
  <c r="O190" i="44"/>
  <c r="I190" i="44"/>
  <c r="Q189" i="44"/>
  <c r="O189" i="44"/>
  <c r="I189" i="44"/>
  <c r="Q188" i="44"/>
  <c r="O188" i="44"/>
  <c r="I188" i="44"/>
  <c r="Q187" i="44"/>
  <c r="O187" i="44"/>
  <c r="I187" i="44"/>
  <c r="Q186" i="44"/>
  <c r="O186" i="44"/>
  <c r="I186" i="44"/>
  <c r="Q185" i="44"/>
  <c r="O185" i="44"/>
  <c r="I185" i="44"/>
  <c r="Q184" i="44"/>
  <c r="O184" i="44"/>
  <c r="I184" i="44"/>
  <c r="Q183" i="44"/>
  <c r="O183" i="44"/>
  <c r="I183" i="44"/>
  <c r="Q182" i="44"/>
  <c r="O182" i="44"/>
  <c r="I182" i="44"/>
  <c r="Q181" i="44"/>
  <c r="O181" i="44"/>
  <c r="I181" i="44"/>
  <c r="Q180" i="44"/>
  <c r="O180" i="44"/>
  <c r="I180" i="44"/>
  <c r="Q179" i="44"/>
  <c r="O179" i="44"/>
  <c r="I179" i="44"/>
  <c r="Q178" i="44"/>
  <c r="O178" i="44"/>
  <c r="I178" i="44"/>
  <c r="Q177" i="44"/>
  <c r="O177" i="44"/>
  <c r="I177" i="44"/>
  <c r="Q176" i="44"/>
  <c r="O176" i="44"/>
  <c r="I176" i="44"/>
  <c r="Q175" i="44"/>
  <c r="O175" i="44"/>
  <c r="I175" i="44"/>
  <c r="Q174" i="44"/>
  <c r="O174" i="44"/>
  <c r="I174" i="44"/>
  <c r="Q173" i="44"/>
  <c r="O173" i="44"/>
  <c r="I173" i="44"/>
  <c r="Q172" i="44"/>
  <c r="O172" i="44"/>
  <c r="I172" i="44"/>
  <c r="Q171" i="44"/>
  <c r="O171" i="44"/>
  <c r="I171" i="44"/>
  <c r="Q170" i="44"/>
  <c r="O170" i="44"/>
  <c r="I170" i="44"/>
  <c r="Q169" i="44"/>
  <c r="O169" i="44"/>
  <c r="I169" i="44"/>
  <c r="Q168" i="44"/>
  <c r="O168" i="44"/>
  <c r="I168" i="44"/>
  <c r="Q167" i="44"/>
  <c r="O167" i="44"/>
  <c r="I167" i="44"/>
  <c r="Q166" i="44"/>
  <c r="O166" i="44"/>
  <c r="I166" i="44"/>
  <c r="Q165" i="44"/>
  <c r="O165" i="44"/>
  <c r="I165" i="44"/>
  <c r="Q164" i="44"/>
  <c r="O164" i="44"/>
  <c r="I164" i="44"/>
  <c r="Q163" i="44"/>
  <c r="O163" i="44"/>
  <c r="I163" i="44"/>
  <c r="Q162" i="44"/>
  <c r="O162" i="44"/>
  <c r="I162" i="44"/>
  <c r="Q161" i="44"/>
  <c r="O161" i="44"/>
  <c r="I161" i="44"/>
  <c r="Q160" i="44"/>
  <c r="O160" i="44"/>
  <c r="I160" i="44"/>
  <c r="Q159" i="44"/>
  <c r="O159" i="44"/>
  <c r="I159" i="44"/>
  <c r="Q158" i="44"/>
  <c r="O158" i="44"/>
  <c r="I158" i="44"/>
  <c r="Q157" i="44"/>
  <c r="O157" i="44"/>
  <c r="I157" i="44"/>
  <c r="Q156" i="44"/>
  <c r="O156" i="44"/>
  <c r="I156" i="44"/>
  <c r="Q155" i="44"/>
  <c r="O155" i="44"/>
  <c r="I155" i="44"/>
  <c r="Q154" i="44"/>
  <c r="O154" i="44"/>
  <c r="I154" i="44"/>
  <c r="Q153" i="44"/>
  <c r="O153" i="44"/>
  <c r="I153" i="44"/>
  <c r="Q152" i="44"/>
  <c r="O152" i="44"/>
  <c r="I152" i="44"/>
  <c r="Q151" i="44"/>
  <c r="O151" i="44"/>
  <c r="I151" i="44"/>
  <c r="Q150" i="44"/>
  <c r="O150" i="44"/>
  <c r="I150" i="44"/>
  <c r="Q149" i="44"/>
  <c r="O149" i="44"/>
  <c r="I149" i="44"/>
  <c r="Q148" i="44"/>
  <c r="O148" i="44"/>
  <c r="I148" i="44"/>
  <c r="Q147" i="44"/>
  <c r="O147" i="44"/>
  <c r="I147" i="44"/>
  <c r="Q146" i="44"/>
  <c r="O146" i="44"/>
  <c r="I146" i="44"/>
  <c r="Q145" i="44"/>
  <c r="O145" i="44"/>
  <c r="I145" i="44"/>
  <c r="Q144" i="44"/>
  <c r="O144" i="44"/>
  <c r="I144" i="44"/>
  <c r="Q143" i="44"/>
  <c r="O143" i="44"/>
  <c r="I143" i="44"/>
  <c r="Q142" i="44"/>
  <c r="O142" i="44"/>
  <c r="I142" i="44"/>
  <c r="Q141" i="44"/>
  <c r="O141" i="44"/>
  <c r="I141" i="44"/>
  <c r="Q140" i="44"/>
  <c r="O140" i="44"/>
  <c r="I140" i="44"/>
  <c r="Q139" i="44"/>
  <c r="O139" i="44"/>
  <c r="I139" i="44"/>
  <c r="Q138" i="44"/>
  <c r="O138" i="44"/>
  <c r="I138" i="44"/>
  <c r="Q137" i="44"/>
  <c r="O137" i="44"/>
  <c r="I137" i="44"/>
  <c r="Q136" i="44"/>
  <c r="O136" i="44"/>
  <c r="I136" i="44"/>
  <c r="Q135" i="44"/>
  <c r="O135" i="44"/>
  <c r="I135" i="44"/>
  <c r="Q134" i="44"/>
  <c r="O134" i="44"/>
  <c r="I134" i="44"/>
  <c r="Q133" i="44"/>
  <c r="O133" i="44"/>
  <c r="I133" i="44"/>
  <c r="Q132" i="44"/>
  <c r="O132" i="44"/>
  <c r="I132" i="44"/>
  <c r="Q131" i="44"/>
  <c r="O131" i="44"/>
  <c r="I131" i="44"/>
  <c r="Q130" i="44"/>
  <c r="O130" i="44"/>
  <c r="I130" i="44"/>
  <c r="Q129" i="44"/>
  <c r="O129" i="44"/>
  <c r="I129" i="44"/>
  <c r="Q128" i="44"/>
  <c r="O128" i="44"/>
  <c r="I128" i="44"/>
  <c r="Q127" i="44"/>
  <c r="O127" i="44"/>
  <c r="I127" i="44"/>
  <c r="Q126" i="44"/>
  <c r="O126" i="44"/>
  <c r="I126" i="44"/>
  <c r="Q125" i="44"/>
  <c r="O125" i="44"/>
  <c r="I125" i="44"/>
  <c r="Q124" i="44"/>
  <c r="O124" i="44"/>
  <c r="I124" i="44"/>
  <c r="Q123" i="44"/>
  <c r="O123" i="44"/>
  <c r="I123" i="44"/>
  <c r="Q122" i="44"/>
  <c r="O122" i="44"/>
  <c r="I122" i="44"/>
  <c r="Q121" i="44"/>
  <c r="O121" i="44"/>
  <c r="I121" i="44"/>
  <c r="Q120" i="44"/>
  <c r="O120" i="44"/>
  <c r="I120" i="44"/>
  <c r="Q119" i="44"/>
  <c r="O119" i="44"/>
  <c r="I119" i="44"/>
  <c r="Q118" i="44"/>
  <c r="O118" i="44"/>
  <c r="I118" i="44"/>
  <c r="Q117" i="44"/>
  <c r="O117" i="44"/>
  <c r="I117" i="44"/>
  <c r="Q116" i="44"/>
  <c r="O116" i="44"/>
  <c r="I116" i="44"/>
  <c r="Q115" i="44"/>
  <c r="O115" i="44"/>
  <c r="I115" i="44"/>
  <c r="Q114" i="44"/>
  <c r="O114" i="44"/>
  <c r="I114" i="44"/>
  <c r="Q113" i="44"/>
  <c r="O113" i="44"/>
  <c r="I113" i="44"/>
  <c r="Q112" i="44"/>
  <c r="O112" i="44"/>
  <c r="I112" i="44"/>
  <c r="Q111" i="44"/>
  <c r="O111" i="44"/>
  <c r="I111" i="44"/>
  <c r="Q110" i="44"/>
  <c r="O110" i="44"/>
  <c r="I110" i="44"/>
  <c r="Q109" i="44"/>
  <c r="O109" i="44"/>
  <c r="I109" i="44"/>
  <c r="Q108" i="44"/>
  <c r="O108" i="44"/>
  <c r="I108" i="44"/>
  <c r="Q107" i="44"/>
  <c r="O107" i="44"/>
  <c r="I107" i="44"/>
  <c r="Q106" i="44"/>
  <c r="O106" i="44"/>
  <c r="I106" i="44"/>
  <c r="Q105" i="44"/>
  <c r="O105" i="44"/>
  <c r="I105" i="44"/>
  <c r="Q104" i="44"/>
  <c r="O104" i="44"/>
  <c r="I104" i="44"/>
  <c r="Q103" i="44"/>
  <c r="O103" i="44"/>
  <c r="I103" i="44"/>
  <c r="Q102" i="44"/>
  <c r="O102" i="44"/>
  <c r="I102" i="44"/>
  <c r="Q101" i="44"/>
  <c r="O101" i="44"/>
  <c r="I101" i="44"/>
  <c r="Q100" i="44"/>
  <c r="O100" i="44"/>
  <c r="I100" i="44"/>
  <c r="Q99" i="44"/>
  <c r="O99" i="44"/>
  <c r="I99" i="44"/>
  <c r="Q98" i="44"/>
  <c r="O98" i="44"/>
  <c r="I98" i="44"/>
  <c r="Q97" i="44"/>
  <c r="O97" i="44"/>
  <c r="I97" i="44"/>
  <c r="Q96" i="44"/>
  <c r="O96" i="44"/>
  <c r="I96" i="44"/>
  <c r="Q95" i="44"/>
  <c r="O95" i="44"/>
  <c r="I95" i="44"/>
  <c r="Q94" i="44"/>
  <c r="O94" i="44"/>
  <c r="I94" i="44"/>
  <c r="Q93" i="44"/>
  <c r="O93" i="44"/>
  <c r="I93" i="44"/>
  <c r="Q92" i="44"/>
  <c r="O92" i="44"/>
  <c r="I92" i="44"/>
  <c r="Q91" i="44"/>
  <c r="O91" i="44"/>
  <c r="I91" i="44"/>
  <c r="Q90" i="44"/>
  <c r="O90" i="44"/>
  <c r="I90" i="44"/>
  <c r="Q89" i="44"/>
  <c r="O89" i="44"/>
  <c r="I89" i="44"/>
  <c r="Q88" i="44"/>
  <c r="O88" i="44"/>
  <c r="I88" i="44"/>
  <c r="Q87" i="44"/>
  <c r="O87" i="44"/>
  <c r="I87" i="44"/>
  <c r="Q86" i="44"/>
  <c r="O86" i="44"/>
  <c r="I86" i="44"/>
  <c r="Q85" i="44"/>
  <c r="O85" i="44"/>
  <c r="I85" i="44"/>
  <c r="Q84" i="44"/>
  <c r="O84" i="44"/>
  <c r="I84" i="44"/>
  <c r="Q83" i="44"/>
  <c r="O83" i="44"/>
  <c r="I83" i="44"/>
  <c r="Q82" i="44"/>
  <c r="O82" i="44"/>
  <c r="I82" i="44"/>
  <c r="Q81" i="44"/>
  <c r="O81" i="44"/>
  <c r="I81" i="44"/>
  <c r="Q80" i="44"/>
  <c r="O80" i="44"/>
  <c r="I80" i="44"/>
  <c r="Q79" i="44"/>
  <c r="O79" i="44"/>
  <c r="I79" i="44"/>
  <c r="Q78" i="44"/>
  <c r="O78" i="44"/>
  <c r="I78" i="44"/>
  <c r="Q77" i="44"/>
  <c r="O77" i="44"/>
  <c r="I77" i="44"/>
  <c r="Q76" i="44"/>
  <c r="O76" i="44"/>
  <c r="I76" i="44"/>
  <c r="Q75" i="44"/>
  <c r="O75" i="44"/>
  <c r="I75" i="44"/>
  <c r="Q74" i="44"/>
  <c r="O74" i="44"/>
  <c r="I74" i="44"/>
  <c r="Q73" i="44"/>
  <c r="O73" i="44"/>
  <c r="I73" i="44"/>
  <c r="Q72" i="44"/>
  <c r="O72" i="44"/>
  <c r="I72" i="44"/>
  <c r="Q71" i="44"/>
  <c r="O71" i="44"/>
  <c r="I71" i="44"/>
  <c r="Q70" i="44"/>
  <c r="O70" i="44"/>
  <c r="I70" i="44"/>
  <c r="Q69" i="44"/>
  <c r="O69" i="44"/>
  <c r="I69" i="44"/>
  <c r="Q68" i="44"/>
  <c r="O68" i="44"/>
  <c r="I68" i="44"/>
  <c r="Q67" i="44"/>
  <c r="O67" i="44"/>
  <c r="I67" i="44"/>
  <c r="Q66" i="44"/>
  <c r="O66" i="44"/>
  <c r="I66" i="44"/>
  <c r="Q65" i="44"/>
  <c r="O65" i="44"/>
  <c r="I65" i="44"/>
  <c r="Q64" i="44"/>
  <c r="O64" i="44"/>
  <c r="I64" i="44"/>
  <c r="Q63" i="44"/>
  <c r="O63" i="44"/>
  <c r="I63" i="44"/>
  <c r="Q62" i="44"/>
  <c r="O62" i="44"/>
  <c r="I62" i="44"/>
  <c r="Q61" i="44"/>
  <c r="O61" i="44"/>
  <c r="I61" i="44"/>
  <c r="Q60" i="44"/>
  <c r="O60" i="44"/>
  <c r="I60" i="44"/>
  <c r="Q59" i="44"/>
  <c r="O59" i="44"/>
  <c r="I59" i="44"/>
  <c r="Q58" i="44"/>
  <c r="O58" i="44"/>
  <c r="I58" i="44"/>
  <c r="Q57" i="44"/>
  <c r="O57" i="44"/>
  <c r="I57" i="44"/>
  <c r="Q56" i="44"/>
  <c r="O56" i="44"/>
  <c r="I56" i="44"/>
  <c r="Q55" i="44"/>
  <c r="O55" i="44"/>
  <c r="I55" i="44"/>
  <c r="Q54" i="44"/>
  <c r="O54" i="44"/>
  <c r="I54" i="44"/>
  <c r="Q53" i="44"/>
  <c r="O53" i="44"/>
  <c r="I53" i="44"/>
  <c r="Q52" i="44"/>
  <c r="O52" i="44"/>
  <c r="I52" i="44"/>
  <c r="Q51" i="44"/>
  <c r="O51" i="44"/>
  <c r="I51" i="44"/>
  <c r="Q50" i="44"/>
  <c r="O50" i="44"/>
  <c r="I50" i="44"/>
  <c r="Q49" i="44"/>
  <c r="O49" i="44"/>
  <c r="I49" i="44"/>
  <c r="Q48" i="44"/>
  <c r="O48" i="44"/>
  <c r="I48" i="44"/>
  <c r="Q47" i="44"/>
  <c r="O47" i="44"/>
  <c r="I47" i="44"/>
  <c r="Q46" i="44"/>
  <c r="O46" i="44"/>
  <c r="I46" i="44"/>
  <c r="Q45" i="44"/>
  <c r="O45" i="44"/>
  <c r="I45" i="44"/>
  <c r="Q44" i="44"/>
  <c r="O44" i="44"/>
  <c r="I44" i="44"/>
  <c r="Q43" i="44"/>
  <c r="O43" i="44"/>
  <c r="I43" i="44"/>
  <c r="Q42" i="44"/>
  <c r="O42" i="44"/>
  <c r="I42" i="44"/>
  <c r="Q41" i="44"/>
  <c r="O41" i="44"/>
  <c r="I41" i="44"/>
  <c r="Q40" i="44"/>
  <c r="O40" i="44"/>
  <c r="I40" i="44"/>
  <c r="Q39" i="44"/>
  <c r="O39" i="44"/>
  <c r="I39" i="44"/>
  <c r="Q38" i="44"/>
  <c r="O38" i="44"/>
  <c r="I38" i="44"/>
  <c r="Q37" i="44"/>
  <c r="O37" i="44"/>
  <c r="I37" i="44"/>
  <c r="Q36" i="44"/>
  <c r="O36" i="44"/>
  <c r="I36" i="44"/>
  <c r="Q35" i="44"/>
  <c r="O35" i="44"/>
  <c r="I35" i="44"/>
  <c r="Q34" i="44"/>
  <c r="O34" i="44"/>
  <c r="I34" i="44"/>
  <c r="Q33" i="44"/>
  <c r="O33" i="44"/>
  <c r="I33" i="44"/>
  <c r="Q32" i="44"/>
  <c r="O32" i="44"/>
  <c r="I32" i="44"/>
  <c r="Q31" i="44"/>
  <c r="O31" i="44"/>
  <c r="I31" i="44"/>
  <c r="Q30" i="44"/>
  <c r="O30" i="44"/>
  <c r="I30" i="44"/>
  <c r="Q29" i="44"/>
  <c r="O29" i="44"/>
  <c r="I29" i="44"/>
  <c r="Q28" i="44"/>
  <c r="O28" i="44"/>
  <c r="I28" i="44"/>
  <c r="Q27" i="44"/>
  <c r="O27" i="44"/>
  <c r="I27" i="44"/>
  <c r="Q26" i="44"/>
  <c r="O26" i="44"/>
  <c r="I26" i="44"/>
  <c r="Q25" i="44"/>
  <c r="O25" i="44"/>
  <c r="I25" i="44"/>
  <c r="Q24" i="44"/>
  <c r="O24" i="44"/>
  <c r="I24" i="44"/>
  <c r="Q23" i="44"/>
  <c r="O23" i="44"/>
  <c r="I23" i="44"/>
  <c r="Q22" i="44"/>
  <c r="O22" i="44"/>
  <c r="I22" i="44"/>
  <c r="Q21" i="44"/>
  <c r="O21" i="44"/>
  <c r="I21" i="44"/>
  <c r="Q20" i="44"/>
  <c r="O20" i="44"/>
  <c r="I20" i="44"/>
  <c r="Q19" i="44"/>
  <c r="O19" i="44"/>
  <c r="I19" i="44"/>
  <c r="Q18" i="44"/>
  <c r="O18" i="44"/>
  <c r="I18" i="44"/>
  <c r="Q17" i="44"/>
  <c r="O17" i="44"/>
  <c r="I17" i="44"/>
  <c r="Q16" i="44"/>
  <c r="O16" i="44"/>
  <c r="I16" i="44"/>
  <c r="Q15" i="44"/>
  <c r="O15" i="44"/>
  <c r="I15" i="44"/>
  <c r="Q14" i="44"/>
  <c r="O14" i="44"/>
  <c r="I14" i="44"/>
  <c r="Q13" i="44"/>
  <c r="O13" i="44"/>
  <c r="I13" i="44"/>
  <c r="Q12" i="44"/>
  <c r="O12" i="44"/>
  <c r="I12" i="44"/>
  <c r="Q11" i="44"/>
  <c r="O11" i="44"/>
  <c r="I11" i="44"/>
  <c r="Q10" i="44"/>
  <c r="O10" i="44"/>
  <c r="I10" i="44"/>
  <c r="Q9" i="44"/>
  <c r="O9" i="44"/>
  <c r="I9" i="44"/>
  <c r="Q8" i="44"/>
  <c r="O8" i="44"/>
  <c r="I8" i="44"/>
  <c r="Q7" i="44"/>
  <c r="O7" i="44"/>
  <c r="I7" i="44"/>
  <c r="Q6" i="44"/>
  <c r="O6" i="44"/>
  <c r="I6" i="44"/>
  <c r="I314" i="44" l="1"/>
  <c r="O314" i="44"/>
  <c r="Q314" i="44"/>
  <c r="T26" i="33" s="1"/>
  <c r="V26" i="25" l="1"/>
  <c r="U26" i="25"/>
  <c r="T26" i="25"/>
  <c r="R26" i="25"/>
  <c r="Q26" i="25"/>
  <c r="P26" i="25"/>
  <c r="O26" i="25"/>
  <c r="M26" i="25"/>
  <c r="L26" i="25"/>
  <c r="K26" i="25"/>
  <c r="J26" i="25"/>
  <c r="H26" i="25"/>
  <c r="G26" i="25"/>
  <c r="F26" i="25"/>
  <c r="F7" i="40" l="1"/>
  <c r="F8" i="40"/>
  <c r="F9" i="40"/>
  <c r="F10" i="40"/>
  <c r="F11" i="40"/>
  <c r="F12" i="40"/>
  <c r="F13" i="40"/>
  <c r="F14" i="40"/>
  <c r="F15" i="40"/>
  <c r="F16" i="40"/>
  <c r="F17" i="40"/>
  <c r="F18" i="40"/>
  <c r="F19" i="40"/>
  <c r="F20" i="40"/>
  <c r="F21" i="40"/>
  <c r="F22" i="40"/>
  <c r="F23" i="40"/>
  <c r="F24" i="40"/>
  <c r="F25" i="40"/>
  <c r="F26" i="40"/>
  <c r="F27" i="40"/>
  <c r="F28" i="40"/>
  <c r="F29" i="40"/>
  <c r="F30" i="40"/>
  <c r="F31" i="40"/>
  <c r="F32" i="40"/>
  <c r="F34" i="40"/>
  <c r="F35" i="40"/>
  <c r="F36" i="40"/>
  <c r="F37" i="40"/>
  <c r="F38" i="40"/>
  <c r="F39" i="40"/>
  <c r="F40" i="40"/>
  <c r="F41" i="40"/>
  <c r="F42" i="40"/>
  <c r="F43" i="40"/>
  <c r="F44" i="40"/>
  <c r="F45" i="40"/>
  <c r="F46" i="40"/>
  <c r="F47" i="40"/>
  <c r="F48" i="40"/>
  <c r="F49" i="40"/>
  <c r="F50" i="40"/>
  <c r="F51" i="40"/>
  <c r="F52" i="40"/>
  <c r="F53" i="40"/>
  <c r="F54" i="40"/>
  <c r="F56" i="40"/>
  <c r="F57" i="40"/>
  <c r="F58" i="40"/>
  <c r="F59" i="40"/>
  <c r="F60" i="40"/>
  <c r="F61" i="40"/>
  <c r="F62" i="40"/>
  <c r="F63" i="40"/>
  <c r="F64" i="40"/>
  <c r="F65" i="40"/>
  <c r="F66" i="40"/>
  <c r="F67" i="40"/>
  <c r="F68" i="40"/>
  <c r="F69" i="40"/>
  <c r="F70" i="40"/>
  <c r="F71" i="40"/>
  <c r="F72" i="40"/>
  <c r="F73" i="40"/>
  <c r="F74" i="40"/>
  <c r="F75" i="40"/>
  <c r="F76" i="40"/>
  <c r="F77" i="40"/>
  <c r="F78" i="40"/>
  <c r="F79" i="40"/>
  <c r="F80" i="40"/>
  <c r="F81" i="40"/>
  <c r="F82" i="40"/>
  <c r="F83" i="40"/>
  <c r="F84" i="40"/>
  <c r="F85" i="40"/>
  <c r="F86" i="40"/>
  <c r="F87" i="40"/>
  <c r="F88" i="40"/>
  <c r="F89" i="40"/>
  <c r="F90" i="40"/>
  <c r="F91" i="40"/>
  <c r="F92" i="40"/>
  <c r="F93" i="40"/>
  <c r="F94" i="40"/>
  <c r="F95" i="40"/>
  <c r="F96" i="40"/>
  <c r="F97" i="40"/>
  <c r="F98" i="40"/>
  <c r="F99" i="40"/>
  <c r="F100" i="40"/>
  <c r="F101" i="40"/>
  <c r="F102" i="40"/>
  <c r="F103" i="40"/>
  <c r="F104" i="40"/>
  <c r="F105" i="40"/>
  <c r="F106" i="40"/>
  <c r="F107" i="40"/>
  <c r="F108" i="40"/>
  <c r="F109" i="40"/>
  <c r="F110" i="40"/>
  <c r="F111" i="40"/>
  <c r="F112" i="40"/>
  <c r="F113" i="40"/>
  <c r="F114" i="40"/>
  <c r="F115" i="40"/>
  <c r="F116" i="40"/>
  <c r="F117" i="40"/>
  <c r="F118" i="40"/>
  <c r="F119" i="40"/>
  <c r="F120" i="40"/>
  <c r="F121" i="40"/>
  <c r="F122" i="40"/>
  <c r="F123" i="40"/>
  <c r="F124" i="40"/>
  <c r="F125" i="40"/>
  <c r="F126" i="40"/>
  <c r="F127" i="40"/>
  <c r="F128" i="40"/>
  <c r="F129" i="40"/>
  <c r="F130" i="40"/>
  <c r="F131" i="40"/>
  <c r="F132" i="40"/>
  <c r="F133" i="40"/>
  <c r="F134" i="40"/>
  <c r="F135" i="40"/>
  <c r="F136" i="40"/>
  <c r="F137" i="40"/>
  <c r="F138" i="40"/>
  <c r="F139" i="40"/>
  <c r="F140" i="40"/>
  <c r="F141" i="40"/>
  <c r="F142" i="40"/>
  <c r="F143" i="40"/>
  <c r="F144" i="40"/>
  <c r="F145" i="40"/>
  <c r="F146" i="40"/>
  <c r="F147" i="40"/>
  <c r="F148" i="40"/>
  <c r="F149" i="40"/>
  <c r="F150" i="40"/>
  <c r="F151" i="40"/>
  <c r="F152" i="40"/>
  <c r="F153" i="40"/>
  <c r="F154" i="40"/>
  <c r="F155" i="40"/>
  <c r="F156" i="40"/>
  <c r="F157" i="40"/>
  <c r="F158" i="40"/>
  <c r="F159" i="40"/>
  <c r="F160" i="40"/>
  <c r="F161" i="40"/>
  <c r="F162" i="40"/>
  <c r="F163" i="40"/>
  <c r="F164" i="40"/>
  <c r="F165" i="40"/>
  <c r="F166" i="40"/>
  <c r="F167" i="40"/>
  <c r="F168" i="40"/>
  <c r="F169" i="40"/>
  <c r="F170" i="40"/>
  <c r="F171" i="40"/>
  <c r="F172" i="40"/>
  <c r="F173" i="40"/>
  <c r="F174" i="40"/>
  <c r="F175" i="40"/>
  <c r="F176" i="40"/>
  <c r="F177" i="40"/>
  <c r="F178" i="40"/>
  <c r="F179" i="40"/>
  <c r="F180" i="40"/>
  <c r="F181" i="40"/>
  <c r="F182" i="40"/>
  <c r="F183" i="40"/>
  <c r="F184" i="40"/>
  <c r="F185" i="40"/>
  <c r="F186" i="40"/>
  <c r="F187" i="40"/>
  <c r="F188" i="40"/>
  <c r="F189" i="40"/>
  <c r="F190" i="40"/>
  <c r="F191" i="40"/>
  <c r="F192" i="40"/>
  <c r="F193" i="40"/>
  <c r="F194" i="40"/>
  <c r="F195" i="40"/>
  <c r="F196" i="40"/>
  <c r="F197" i="40"/>
  <c r="F198" i="40"/>
  <c r="F199" i="40"/>
  <c r="F200" i="40"/>
  <c r="F201" i="40"/>
  <c r="F202" i="40"/>
  <c r="F203" i="40"/>
  <c r="F204" i="40"/>
  <c r="F205" i="40"/>
  <c r="F206" i="40"/>
  <c r="F207" i="40"/>
  <c r="F208" i="40"/>
  <c r="F209" i="40"/>
  <c r="F210" i="40"/>
  <c r="F211" i="40"/>
  <c r="F212" i="40"/>
  <c r="F213" i="40"/>
  <c r="F214" i="40"/>
  <c r="F215" i="40"/>
  <c r="F216" i="40"/>
  <c r="F217" i="40"/>
  <c r="F218" i="40"/>
  <c r="F219" i="40"/>
  <c r="F220" i="40"/>
  <c r="F221" i="40"/>
  <c r="F222" i="40"/>
  <c r="F223" i="40"/>
  <c r="F224" i="40"/>
  <c r="F225" i="40"/>
  <c r="F226" i="40"/>
  <c r="F227" i="40"/>
  <c r="F228" i="40"/>
  <c r="F229" i="40"/>
  <c r="F230" i="40"/>
  <c r="F231" i="40"/>
  <c r="F232" i="40"/>
  <c r="F233" i="40"/>
  <c r="F234" i="40"/>
  <c r="F235" i="40"/>
  <c r="F236" i="40"/>
  <c r="F237" i="40"/>
  <c r="F238" i="40"/>
  <c r="F239" i="40"/>
  <c r="F240" i="40"/>
  <c r="F241" i="40"/>
  <c r="F242" i="40"/>
  <c r="F243" i="40"/>
  <c r="F244" i="40"/>
  <c r="F245" i="40"/>
  <c r="F246" i="40"/>
  <c r="F247" i="40"/>
  <c r="F248" i="40"/>
  <c r="F249" i="40"/>
  <c r="F250" i="40"/>
  <c r="F251" i="40"/>
  <c r="F252" i="40"/>
  <c r="F253" i="40"/>
  <c r="F254" i="40"/>
  <c r="F255" i="40"/>
  <c r="F256" i="40"/>
  <c r="F257" i="40"/>
  <c r="F258" i="40"/>
  <c r="F259" i="40"/>
  <c r="F260" i="40"/>
  <c r="F261" i="40"/>
  <c r="F262" i="40"/>
  <c r="F263" i="40"/>
  <c r="F264" i="40"/>
  <c r="F265" i="40"/>
  <c r="F266" i="40"/>
  <c r="F267" i="40"/>
  <c r="F268" i="40"/>
  <c r="F269" i="40"/>
  <c r="F270" i="40"/>
  <c r="F271" i="40"/>
  <c r="F272" i="40"/>
  <c r="F273" i="40"/>
  <c r="F274" i="40"/>
  <c r="F275" i="40"/>
  <c r="F276" i="40"/>
  <c r="F277" i="40"/>
  <c r="F278" i="40"/>
  <c r="F279" i="40"/>
  <c r="F280" i="40"/>
  <c r="F281" i="40"/>
  <c r="F282" i="40"/>
  <c r="F283" i="40"/>
  <c r="F284" i="40"/>
  <c r="F285" i="40"/>
  <c r="F286" i="40"/>
  <c r="F287" i="40"/>
  <c r="F288" i="40"/>
  <c r="F289" i="40"/>
  <c r="F290" i="40"/>
  <c r="F291" i="40"/>
  <c r="F292" i="40"/>
  <c r="F293" i="40"/>
  <c r="F294" i="40"/>
  <c r="F295" i="40"/>
  <c r="F296" i="40"/>
  <c r="F297" i="40"/>
  <c r="F298" i="40"/>
  <c r="F299" i="40"/>
  <c r="F300" i="40"/>
  <c r="F301" i="40"/>
  <c r="F302" i="40"/>
  <c r="F303" i="40"/>
  <c r="F304" i="40"/>
  <c r="F306" i="40"/>
  <c r="F307" i="40"/>
  <c r="F6" i="40"/>
  <c r="F5" i="40"/>
  <c r="C305" i="42"/>
  <c r="C302" i="42"/>
  <c r="F305" i="40" s="1"/>
  <c r="C52" i="42"/>
  <c r="F55" i="40" s="1"/>
  <c r="C30" i="42"/>
  <c r="F33" i="40" s="1"/>
  <c r="G26" i="40"/>
  <c r="V31" i="25"/>
  <c r="U31" i="25"/>
  <c r="T31" i="25"/>
  <c r="R31" i="25"/>
  <c r="Q31" i="25"/>
  <c r="P31" i="25"/>
  <c r="O31" i="25"/>
  <c r="M31" i="25"/>
  <c r="L31" i="25"/>
  <c r="K31" i="25"/>
  <c r="J31" i="25"/>
  <c r="H31" i="25"/>
  <c r="G31" i="25"/>
  <c r="F309" i="40" l="1"/>
  <c r="V309" i="40"/>
  <c r="T309" i="40"/>
  <c r="S309" i="40"/>
  <c r="R309" i="40"/>
  <c r="P309" i="40"/>
  <c r="M309" i="40"/>
  <c r="K309" i="40"/>
  <c r="J309" i="40"/>
  <c r="I309" i="40"/>
  <c r="H309" i="40"/>
  <c r="D309" i="40"/>
  <c r="C309" i="40"/>
  <c r="U307" i="40"/>
  <c r="U306" i="40"/>
  <c r="U305" i="40"/>
  <c r="U304" i="40"/>
  <c r="U303" i="40"/>
  <c r="U302" i="40"/>
  <c r="U301" i="40"/>
  <c r="U300" i="40"/>
  <c r="U299" i="40"/>
  <c r="U298" i="40"/>
  <c r="U297" i="40"/>
  <c r="U296" i="40"/>
  <c r="U295" i="40"/>
  <c r="U294" i="40"/>
  <c r="U293" i="40"/>
  <c r="U292" i="40"/>
  <c r="U291" i="40"/>
  <c r="U290" i="40"/>
  <c r="U289" i="40"/>
  <c r="U288" i="40"/>
  <c r="U287" i="40"/>
  <c r="U286" i="40"/>
  <c r="U285" i="40"/>
  <c r="U284" i="40"/>
  <c r="U283" i="40"/>
  <c r="U282" i="40"/>
  <c r="U281" i="40"/>
  <c r="U280" i="40"/>
  <c r="U279" i="40"/>
  <c r="U278" i="40"/>
  <c r="U277" i="40"/>
  <c r="U276" i="40"/>
  <c r="U275" i="40"/>
  <c r="U274" i="40"/>
  <c r="U273" i="40"/>
  <c r="U272" i="40"/>
  <c r="U271" i="40"/>
  <c r="U270" i="40"/>
  <c r="U269" i="40"/>
  <c r="U268" i="40"/>
  <c r="U267" i="40"/>
  <c r="U266" i="40"/>
  <c r="U265" i="40"/>
  <c r="U264" i="40"/>
  <c r="U263" i="40"/>
  <c r="U262" i="40"/>
  <c r="U261" i="40"/>
  <c r="U260" i="40"/>
  <c r="U259" i="40"/>
  <c r="U258" i="40"/>
  <c r="U257" i="40"/>
  <c r="U256" i="40"/>
  <c r="U255" i="40"/>
  <c r="U254" i="40"/>
  <c r="U253" i="40"/>
  <c r="U252" i="40"/>
  <c r="U251" i="40"/>
  <c r="U250" i="40"/>
  <c r="U249" i="40"/>
  <c r="U248" i="40"/>
  <c r="U247" i="40"/>
  <c r="U246" i="40"/>
  <c r="U245" i="40"/>
  <c r="U244" i="40"/>
  <c r="U243" i="40"/>
  <c r="U242" i="40"/>
  <c r="U241" i="40"/>
  <c r="U240" i="40"/>
  <c r="U239" i="40"/>
  <c r="U238" i="40"/>
  <c r="U237" i="40"/>
  <c r="U236" i="40"/>
  <c r="U235" i="40"/>
  <c r="U234" i="40"/>
  <c r="U233" i="40"/>
  <c r="U232" i="40"/>
  <c r="U231" i="40"/>
  <c r="U230" i="40"/>
  <c r="U229" i="40"/>
  <c r="U228" i="40"/>
  <c r="U227" i="40"/>
  <c r="U226" i="40"/>
  <c r="U225" i="40"/>
  <c r="U224" i="40"/>
  <c r="U223" i="40"/>
  <c r="U222" i="40"/>
  <c r="U221" i="40"/>
  <c r="U220" i="40"/>
  <c r="U219" i="40"/>
  <c r="U218" i="40"/>
  <c r="U217" i="40"/>
  <c r="U216" i="40"/>
  <c r="U215" i="40"/>
  <c r="U214" i="40"/>
  <c r="U213" i="40"/>
  <c r="U212" i="40"/>
  <c r="U211" i="40"/>
  <c r="U210" i="40"/>
  <c r="U209" i="40"/>
  <c r="U208" i="40"/>
  <c r="U207" i="40"/>
  <c r="U206" i="40"/>
  <c r="U205" i="40"/>
  <c r="U204" i="40"/>
  <c r="U203" i="40"/>
  <c r="U202" i="40"/>
  <c r="U201" i="40"/>
  <c r="U200" i="40"/>
  <c r="U199" i="40"/>
  <c r="U198" i="40"/>
  <c r="U197" i="40"/>
  <c r="U196" i="40"/>
  <c r="U195" i="40"/>
  <c r="U194" i="40"/>
  <c r="U193" i="40"/>
  <c r="U192" i="40"/>
  <c r="U191" i="40"/>
  <c r="U190" i="40"/>
  <c r="U189" i="40"/>
  <c r="U188" i="40"/>
  <c r="U187" i="40"/>
  <c r="U186" i="40"/>
  <c r="U185" i="40"/>
  <c r="U184" i="40"/>
  <c r="U183" i="40"/>
  <c r="U182" i="40"/>
  <c r="U181" i="40"/>
  <c r="U180" i="40"/>
  <c r="U179" i="40"/>
  <c r="U178" i="40"/>
  <c r="U177" i="40"/>
  <c r="U176" i="40"/>
  <c r="U175" i="40"/>
  <c r="U174" i="40"/>
  <c r="U173" i="40"/>
  <c r="U172" i="40"/>
  <c r="U171" i="40"/>
  <c r="U170" i="40"/>
  <c r="U169" i="40"/>
  <c r="U168" i="40"/>
  <c r="U167" i="40"/>
  <c r="U166" i="40"/>
  <c r="U165" i="40"/>
  <c r="U164" i="40"/>
  <c r="U163" i="40"/>
  <c r="U162" i="40"/>
  <c r="U161" i="40"/>
  <c r="U160" i="40"/>
  <c r="U159" i="40"/>
  <c r="U158" i="40"/>
  <c r="U157" i="40"/>
  <c r="U156" i="40"/>
  <c r="U155" i="40"/>
  <c r="U154" i="40"/>
  <c r="U153" i="40"/>
  <c r="U152" i="40"/>
  <c r="U151" i="40"/>
  <c r="U150" i="40"/>
  <c r="U149" i="40"/>
  <c r="U148" i="40"/>
  <c r="U147" i="40"/>
  <c r="U146" i="40"/>
  <c r="U145" i="40"/>
  <c r="U144" i="40"/>
  <c r="U143" i="40"/>
  <c r="U142" i="40"/>
  <c r="U141" i="40"/>
  <c r="U140" i="40"/>
  <c r="U139" i="40"/>
  <c r="U138" i="40"/>
  <c r="U137" i="40"/>
  <c r="U136" i="40"/>
  <c r="U135" i="40"/>
  <c r="U134" i="40"/>
  <c r="U133" i="40"/>
  <c r="U132" i="40"/>
  <c r="U131" i="40"/>
  <c r="U130" i="40"/>
  <c r="U129" i="40"/>
  <c r="U128" i="40"/>
  <c r="U127" i="40"/>
  <c r="U126" i="40"/>
  <c r="U125" i="40"/>
  <c r="U124" i="40"/>
  <c r="U123" i="40"/>
  <c r="U122" i="40"/>
  <c r="U121" i="40"/>
  <c r="U120" i="40"/>
  <c r="U119" i="40"/>
  <c r="U118" i="40"/>
  <c r="U117" i="40"/>
  <c r="U116" i="40"/>
  <c r="U115" i="40"/>
  <c r="U114" i="40"/>
  <c r="U113" i="40"/>
  <c r="U112" i="40"/>
  <c r="U111" i="40"/>
  <c r="U110" i="40"/>
  <c r="U109" i="40"/>
  <c r="U108" i="40"/>
  <c r="U107" i="40"/>
  <c r="U106" i="40"/>
  <c r="U105" i="40"/>
  <c r="U104" i="40"/>
  <c r="U103" i="40"/>
  <c r="U102" i="40"/>
  <c r="U101" i="40"/>
  <c r="U100" i="40"/>
  <c r="U99" i="40"/>
  <c r="U98" i="40"/>
  <c r="U97" i="40"/>
  <c r="U96" i="40"/>
  <c r="U95" i="40"/>
  <c r="U94" i="40"/>
  <c r="U93" i="40"/>
  <c r="U92" i="40"/>
  <c r="U91" i="40"/>
  <c r="U90" i="40"/>
  <c r="U89" i="40"/>
  <c r="U88" i="40"/>
  <c r="U87" i="40"/>
  <c r="U86" i="40"/>
  <c r="U85" i="40"/>
  <c r="U84" i="40"/>
  <c r="U83" i="40"/>
  <c r="U82" i="40"/>
  <c r="U81" i="40"/>
  <c r="U80" i="40"/>
  <c r="U79" i="40"/>
  <c r="U78" i="40"/>
  <c r="U77" i="40"/>
  <c r="U76" i="40"/>
  <c r="U75" i="40"/>
  <c r="U74" i="40"/>
  <c r="U73" i="40"/>
  <c r="U72" i="40"/>
  <c r="U71" i="40"/>
  <c r="U70" i="40"/>
  <c r="U69" i="40"/>
  <c r="U68" i="40"/>
  <c r="U67" i="40"/>
  <c r="U66" i="40"/>
  <c r="U65" i="40"/>
  <c r="U64" i="40"/>
  <c r="U63" i="40"/>
  <c r="U62" i="40"/>
  <c r="U61" i="40"/>
  <c r="U60" i="40"/>
  <c r="U59" i="40"/>
  <c r="U58" i="40"/>
  <c r="U57" i="40"/>
  <c r="U56" i="40"/>
  <c r="U55" i="40"/>
  <c r="U54" i="40"/>
  <c r="U53" i="40"/>
  <c r="U52" i="40"/>
  <c r="U51" i="40"/>
  <c r="U50" i="40"/>
  <c r="U49" i="40"/>
  <c r="U48" i="40"/>
  <c r="U47" i="40"/>
  <c r="U46" i="40"/>
  <c r="U45" i="40"/>
  <c r="U44" i="40"/>
  <c r="U43" i="40"/>
  <c r="U42" i="40"/>
  <c r="U41" i="40"/>
  <c r="U40" i="40"/>
  <c r="U39" i="40"/>
  <c r="U38" i="40"/>
  <c r="U37" i="40"/>
  <c r="U36" i="40"/>
  <c r="U35" i="40"/>
  <c r="U34" i="40"/>
  <c r="U33" i="40"/>
  <c r="U32" i="40"/>
  <c r="U31" i="40"/>
  <c r="U30" i="40"/>
  <c r="U29" i="40"/>
  <c r="U28" i="40"/>
  <c r="U27" i="40"/>
  <c r="U26" i="40"/>
  <c r="E26" i="40"/>
  <c r="E309" i="40" s="1"/>
  <c r="U25" i="40"/>
  <c r="U24" i="40"/>
  <c r="U23" i="40"/>
  <c r="U22" i="40"/>
  <c r="U21" i="40"/>
  <c r="U20" i="40"/>
  <c r="U19" i="40"/>
  <c r="U18" i="40"/>
  <c r="U17" i="40"/>
  <c r="U16" i="40"/>
  <c r="U15" i="40"/>
  <c r="U14" i="40"/>
  <c r="U13" i="40"/>
  <c r="U12" i="40"/>
  <c r="U11" i="40"/>
  <c r="U10" i="40"/>
  <c r="U9" i="40"/>
  <c r="U8" i="40"/>
  <c r="U7" i="40"/>
  <c r="U6" i="40"/>
  <c r="U5" i="40"/>
  <c r="U309" i="40" l="1"/>
  <c r="J304" i="37" l="1"/>
  <c r="I304" i="37"/>
  <c r="G304" i="37"/>
  <c r="H26" i="34" s="1"/>
  <c r="F304" i="37"/>
  <c r="G26" i="34" s="1"/>
  <c r="D304" i="37" l="1"/>
  <c r="J26" i="34"/>
  <c r="K304" i="37"/>
  <c r="L26" i="34" s="1"/>
  <c r="L304" i="37"/>
  <c r="M26" i="34" s="1"/>
  <c r="N304" i="37"/>
  <c r="O304" i="37"/>
  <c r="P26" i="34" s="1"/>
  <c r="P304" i="37"/>
  <c r="Q26" i="34" s="1"/>
  <c r="Q304" i="37"/>
  <c r="R26" i="34" s="1"/>
  <c r="S304" i="37"/>
  <c r="T26" i="34" s="1"/>
  <c r="T304" i="37"/>
  <c r="U304" i="37"/>
  <c r="C304" i="37"/>
  <c r="C296" i="38"/>
  <c r="F26" i="34" s="1"/>
  <c r="E7" i="37"/>
  <c r="E8" i="37"/>
  <c r="E9" i="37"/>
  <c r="E10" i="37"/>
  <c r="E11" i="37"/>
  <c r="E12" i="37"/>
  <c r="E13" i="37"/>
  <c r="E14" i="37"/>
  <c r="E15" i="37"/>
  <c r="E16" i="37"/>
  <c r="E17" i="37"/>
  <c r="E18" i="37"/>
  <c r="E19" i="37"/>
  <c r="E20" i="37"/>
  <c r="E21" i="37"/>
  <c r="E22" i="37"/>
  <c r="E23" i="37"/>
  <c r="E24" i="37"/>
  <c r="E25" i="37"/>
  <c r="E26" i="37"/>
  <c r="E27" i="37"/>
  <c r="E28" i="37"/>
  <c r="E29" i="37"/>
  <c r="E30" i="37"/>
  <c r="E31" i="37"/>
  <c r="E32" i="37"/>
  <c r="E33" i="37"/>
  <c r="E34" i="37"/>
  <c r="E35" i="37"/>
  <c r="E36" i="37"/>
  <c r="E37" i="37"/>
  <c r="E38" i="37"/>
  <c r="E39" i="37"/>
  <c r="E40" i="37"/>
  <c r="E41" i="37"/>
  <c r="E42" i="37"/>
  <c r="E43" i="37"/>
  <c r="E44" i="37"/>
  <c r="E45" i="37"/>
  <c r="E46" i="37"/>
  <c r="E47" i="37"/>
  <c r="E48" i="37"/>
  <c r="E49" i="37"/>
  <c r="E50" i="37"/>
  <c r="E51" i="37"/>
  <c r="E52" i="37"/>
  <c r="E53" i="37"/>
  <c r="E54" i="37"/>
  <c r="E55" i="37"/>
  <c r="E56" i="37"/>
  <c r="E57" i="37"/>
  <c r="E58" i="37"/>
  <c r="E59" i="37"/>
  <c r="E60" i="37"/>
  <c r="E61" i="37"/>
  <c r="E62" i="37"/>
  <c r="E63" i="37"/>
  <c r="E64" i="37"/>
  <c r="E65" i="37"/>
  <c r="E66" i="37"/>
  <c r="E67" i="37"/>
  <c r="E68" i="37"/>
  <c r="E69" i="37"/>
  <c r="E70" i="37"/>
  <c r="E71" i="37"/>
  <c r="E72" i="37"/>
  <c r="E73" i="37"/>
  <c r="E74" i="37"/>
  <c r="E75" i="37"/>
  <c r="E76" i="37"/>
  <c r="E77" i="37"/>
  <c r="E78" i="37"/>
  <c r="E79" i="37"/>
  <c r="E80" i="37"/>
  <c r="E81" i="37"/>
  <c r="E82" i="37"/>
  <c r="E83" i="37"/>
  <c r="E84" i="37"/>
  <c r="E85" i="37"/>
  <c r="E86" i="37"/>
  <c r="E87" i="37"/>
  <c r="E88" i="37"/>
  <c r="E89" i="37"/>
  <c r="E90" i="37"/>
  <c r="E91" i="37"/>
  <c r="E92" i="37"/>
  <c r="E93" i="37"/>
  <c r="E94" i="37"/>
  <c r="E95" i="37"/>
  <c r="E96" i="37"/>
  <c r="E97" i="37"/>
  <c r="E98" i="37"/>
  <c r="E99" i="37"/>
  <c r="E100" i="37"/>
  <c r="E101" i="37"/>
  <c r="E102" i="37"/>
  <c r="E103" i="37"/>
  <c r="E104" i="37"/>
  <c r="E105" i="37"/>
  <c r="E106" i="37"/>
  <c r="E107" i="37"/>
  <c r="E108" i="37"/>
  <c r="E109" i="37"/>
  <c r="E110" i="37"/>
  <c r="E111" i="37"/>
  <c r="E112" i="37"/>
  <c r="E113" i="37"/>
  <c r="E114" i="37"/>
  <c r="E115" i="37"/>
  <c r="E116" i="37"/>
  <c r="E117" i="37"/>
  <c r="E118" i="37"/>
  <c r="E119" i="37"/>
  <c r="E120" i="37"/>
  <c r="E121" i="37"/>
  <c r="E122" i="37"/>
  <c r="E123" i="37"/>
  <c r="E124" i="37"/>
  <c r="E125" i="37"/>
  <c r="E126" i="37"/>
  <c r="E127" i="37"/>
  <c r="E128" i="37"/>
  <c r="E129" i="37"/>
  <c r="E130" i="37"/>
  <c r="E131" i="37"/>
  <c r="E132" i="37"/>
  <c r="E133" i="37"/>
  <c r="E134" i="37"/>
  <c r="E135" i="37"/>
  <c r="E136" i="37"/>
  <c r="E137" i="37"/>
  <c r="E138" i="37"/>
  <c r="E139" i="37"/>
  <c r="E140" i="37"/>
  <c r="E141" i="37"/>
  <c r="E142" i="37"/>
  <c r="E143" i="37"/>
  <c r="E144" i="37"/>
  <c r="E145" i="37"/>
  <c r="E146" i="37"/>
  <c r="E147" i="37"/>
  <c r="E148" i="37"/>
  <c r="E149" i="37"/>
  <c r="E150" i="37"/>
  <c r="E151" i="37"/>
  <c r="E152" i="37"/>
  <c r="E153" i="37"/>
  <c r="E154" i="37"/>
  <c r="E155" i="37"/>
  <c r="E156" i="37"/>
  <c r="E157" i="37"/>
  <c r="E158" i="37"/>
  <c r="E159" i="37"/>
  <c r="E160" i="37"/>
  <c r="E161" i="37"/>
  <c r="E162" i="37"/>
  <c r="E163" i="37"/>
  <c r="E164" i="37"/>
  <c r="E165" i="37"/>
  <c r="E166" i="37"/>
  <c r="E167" i="37"/>
  <c r="E168" i="37"/>
  <c r="E169" i="37"/>
  <c r="E170" i="37"/>
  <c r="E171" i="37"/>
  <c r="E172" i="37"/>
  <c r="E173" i="37"/>
  <c r="E174" i="37"/>
  <c r="E175" i="37"/>
  <c r="E176" i="37"/>
  <c r="E177" i="37"/>
  <c r="E178" i="37"/>
  <c r="E179" i="37"/>
  <c r="E180" i="37"/>
  <c r="E303" i="37" s="1"/>
  <c r="E181" i="37"/>
  <c r="E182" i="37"/>
  <c r="E183" i="37"/>
  <c r="E184" i="37"/>
  <c r="E185" i="37"/>
  <c r="E186" i="37"/>
  <c r="E187" i="37"/>
  <c r="E188" i="37"/>
  <c r="E189" i="37"/>
  <c r="E190" i="37"/>
  <c r="E191" i="37"/>
  <c r="E192" i="37"/>
  <c r="E193" i="37"/>
  <c r="E194" i="37"/>
  <c r="E195" i="37"/>
  <c r="E196" i="37"/>
  <c r="E197" i="37"/>
  <c r="E198" i="37"/>
  <c r="E199" i="37"/>
  <c r="E200" i="37"/>
  <c r="E201" i="37"/>
  <c r="E202" i="37"/>
  <c r="E203" i="37"/>
  <c r="E204" i="37"/>
  <c r="E205" i="37"/>
  <c r="E206" i="37"/>
  <c r="E207" i="37"/>
  <c r="E208" i="37"/>
  <c r="E209" i="37"/>
  <c r="E210" i="37"/>
  <c r="E211" i="37"/>
  <c r="E212" i="37"/>
  <c r="E213" i="37"/>
  <c r="E214" i="37"/>
  <c r="E215" i="37"/>
  <c r="E216" i="37"/>
  <c r="E217" i="37"/>
  <c r="E218" i="37"/>
  <c r="E219" i="37"/>
  <c r="E220" i="37"/>
  <c r="E221" i="37"/>
  <c r="E222" i="37"/>
  <c r="E223" i="37"/>
  <c r="E224" i="37"/>
  <c r="E225" i="37"/>
  <c r="E226" i="37"/>
  <c r="E227" i="37"/>
  <c r="E228" i="37"/>
  <c r="E229" i="37"/>
  <c r="E230" i="37"/>
  <c r="E231" i="37"/>
  <c r="E232" i="37"/>
  <c r="E233" i="37"/>
  <c r="E234" i="37"/>
  <c r="E235" i="37"/>
  <c r="E236" i="37"/>
  <c r="E237" i="37"/>
  <c r="E238" i="37"/>
  <c r="E239" i="37"/>
  <c r="E240" i="37"/>
  <c r="E241" i="37"/>
  <c r="E242" i="37"/>
  <c r="E243" i="37"/>
  <c r="E244" i="37"/>
  <c r="E245" i="37"/>
  <c r="E246" i="37"/>
  <c r="E247" i="37"/>
  <c r="E248" i="37"/>
  <c r="E249" i="37"/>
  <c r="E250" i="37"/>
  <c r="E251" i="37"/>
  <c r="E252" i="37"/>
  <c r="E253" i="37"/>
  <c r="E254" i="37"/>
  <c r="E255" i="37"/>
  <c r="E256" i="37"/>
  <c r="E257" i="37"/>
  <c r="E258" i="37"/>
  <c r="E259" i="37"/>
  <c r="E260" i="37"/>
  <c r="E261" i="37"/>
  <c r="E262" i="37"/>
  <c r="E263" i="37"/>
  <c r="E264" i="37"/>
  <c r="E265" i="37"/>
  <c r="E266" i="37"/>
  <c r="E267" i="37"/>
  <c r="E268" i="37"/>
  <c r="E269" i="37"/>
  <c r="E270" i="37"/>
  <c r="E271" i="37"/>
  <c r="E272" i="37"/>
  <c r="E273" i="37"/>
  <c r="E274" i="37"/>
  <c r="E275" i="37"/>
  <c r="E276" i="37"/>
  <c r="E277" i="37"/>
  <c r="E278" i="37"/>
  <c r="E279" i="37"/>
  <c r="E280" i="37"/>
  <c r="E281" i="37"/>
  <c r="E282" i="37"/>
  <c r="E283" i="37"/>
  <c r="E284" i="37"/>
  <c r="E285" i="37"/>
  <c r="E286" i="37"/>
  <c r="E287" i="37"/>
  <c r="E288" i="37"/>
  <c r="E289" i="37"/>
  <c r="E290" i="37"/>
  <c r="E291" i="37"/>
  <c r="E292" i="37"/>
  <c r="E293" i="37"/>
  <c r="E294" i="37"/>
  <c r="E295" i="37"/>
  <c r="E296" i="37"/>
  <c r="E297" i="37"/>
  <c r="E298" i="37"/>
  <c r="E299" i="37"/>
  <c r="E300" i="37"/>
  <c r="E301" i="37"/>
  <c r="E302" i="37"/>
  <c r="E6" i="37"/>
  <c r="V31" i="34"/>
  <c r="U31" i="34"/>
  <c r="T31" i="34"/>
  <c r="R31" i="34"/>
  <c r="Q31" i="34"/>
  <c r="P31" i="34"/>
  <c r="O31" i="34"/>
  <c r="M31" i="34"/>
  <c r="L31" i="34"/>
  <c r="K31" i="34"/>
  <c r="J31" i="34"/>
  <c r="V26" i="34"/>
  <c r="U26" i="34"/>
  <c r="O26" i="34"/>
  <c r="K26" i="34"/>
  <c r="E304" i="37" l="1"/>
  <c r="E305" i="37" s="1"/>
  <c r="L330" i="19" l="1"/>
  <c r="AK148" i="1" s="1"/>
  <c r="AJ148" i="1"/>
  <c r="U148" i="1"/>
  <c r="W148" i="1" s="1"/>
  <c r="AN148" i="1" s="1"/>
  <c r="V148" i="1"/>
  <c r="X148" i="1" s="1"/>
  <c r="AO148" i="1" l="1"/>
  <c r="AS148" i="1" s="1"/>
  <c r="C15" i="34"/>
  <c r="AR148" i="1" l="1"/>
  <c r="AR117" i="1"/>
  <c r="G5" i="36" l="1"/>
  <c r="G6" i="36"/>
  <c r="G7" i="36"/>
  <c r="G8" i="36"/>
  <c r="G9" i="36"/>
  <c r="G10" i="36"/>
  <c r="G11" i="36"/>
  <c r="G12" i="36"/>
  <c r="G13" i="36"/>
  <c r="G14" i="36"/>
  <c r="G15" i="36"/>
  <c r="G16" i="36"/>
  <c r="G17" i="36"/>
  <c r="G18" i="36"/>
  <c r="G19" i="36"/>
  <c r="G20" i="36"/>
  <c r="G21" i="36"/>
  <c r="G22" i="36"/>
  <c r="G24" i="36"/>
  <c r="G25" i="36"/>
  <c r="G26" i="36"/>
  <c r="G27" i="36"/>
  <c r="G28" i="36"/>
  <c r="G29" i="36"/>
  <c r="G31" i="36"/>
  <c r="G33" i="36"/>
  <c r="G34" i="36"/>
  <c r="G35" i="36"/>
  <c r="G37" i="36"/>
  <c r="G38" i="36"/>
  <c r="G39" i="36"/>
  <c r="G40" i="36"/>
  <c r="G41" i="36"/>
  <c r="G42" i="36"/>
  <c r="G43" i="36"/>
  <c r="G44" i="36"/>
  <c r="G45" i="36"/>
  <c r="G46" i="36"/>
  <c r="G47" i="36"/>
  <c r="G48" i="36"/>
  <c r="G49" i="36"/>
  <c r="G50" i="36"/>
  <c r="G51" i="36"/>
  <c r="G52" i="36"/>
  <c r="G53"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8" i="36"/>
  <c r="G99" i="36"/>
  <c r="G100" i="36"/>
  <c r="G101" i="36"/>
  <c r="G102" i="36"/>
  <c r="G103" i="36"/>
  <c r="G104" i="36"/>
  <c r="G105" i="36"/>
  <c r="G106" i="36"/>
  <c r="G107" i="36"/>
  <c r="G108" i="36"/>
  <c r="G109" i="36"/>
  <c r="G110" i="36"/>
  <c r="G111" i="36"/>
  <c r="G112" i="36"/>
  <c r="G113"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5" i="36"/>
  <c r="G146" i="36"/>
  <c r="G147" i="36"/>
  <c r="G148" i="36"/>
  <c r="G149" i="36"/>
  <c r="G150" i="36"/>
  <c r="G151" i="36"/>
  <c r="G152" i="36"/>
  <c r="G153" i="36"/>
  <c r="G154" i="36"/>
  <c r="G155" i="36"/>
  <c r="G156" i="36"/>
  <c r="G157" i="36"/>
  <c r="G158" i="36"/>
  <c r="G159" i="36"/>
  <c r="G160" i="36"/>
  <c r="G161" i="36"/>
  <c r="G162" i="36"/>
  <c r="G163" i="36"/>
  <c r="G164" i="36"/>
  <c r="G165" i="36"/>
  <c r="G166" i="36"/>
  <c r="G167" i="36"/>
  <c r="G168" i="36"/>
  <c r="G169" i="36"/>
  <c r="G170" i="36"/>
  <c r="G171" i="36"/>
  <c r="G172" i="36"/>
  <c r="G173" i="36"/>
  <c r="G174" i="36"/>
  <c r="G175" i="36"/>
  <c r="G176" i="36"/>
  <c r="G177" i="36"/>
  <c r="G178" i="36"/>
  <c r="G179" i="36"/>
  <c r="G180" i="36"/>
  <c r="G181" i="36"/>
  <c r="G182" i="36"/>
  <c r="G183" i="36"/>
  <c r="G184" i="36"/>
  <c r="G186" i="36"/>
  <c r="G187" i="36"/>
  <c r="G188" i="36"/>
  <c r="G189" i="36"/>
  <c r="G190" i="36"/>
  <c r="G191" i="36"/>
  <c r="G192" i="36"/>
  <c r="G193" i="36"/>
  <c r="G194" i="36"/>
  <c r="G195" i="36"/>
  <c r="G197" i="36"/>
  <c r="G198" i="36"/>
  <c r="G199" i="36"/>
  <c r="G200" i="36"/>
  <c r="G201" i="36"/>
  <c r="G202" i="36"/>
  <c r="G203" i="36"/>
  <c r="G204" i="36"/>
  <c r="G205" i="36"/>
  <c r="G206" i="36"/>
  <c r="G207" i="36"/>
  <c r="G208" i="36"/>
  <c r="G209" i="36"/>
  <c r="G210" i="36"/>
  <c r="G211" i="36"/>
  <c r="G212" i="36"/>
  <c r="G213" i="36"/>
  <c r="G214" i="36"/>
  <c r="G215" i="36"/>
  <c r="G216" i="36"/>
  <c r="G217" i="36"/>
  <c r="G218" i="36"/>
  <c r="G219" i="36"/>
  <c r="G220" i="36"/>
  <c r="G221" i="36"/>
  <c r="G222" i="36"/>
  <c r="G223" i="36"/>
  <c r="G224" i="36"/>
  <c r="G225" i="36"/>
  <c r="G227" i="36"/>
  <c r="G228" i="36"/>
  <c r="G229" i="36"/>
  <c r="G230" i="36"/>
  <c r="G231" i="36"/>
  <c r="G232" i="36"/>
  <c r="G233" i="36"/>
  <c r="G234" i="36"/>
  <c r="G235" i="36"/>
  <c r="G236" i="36"/>
  <c r="G237" i="36"/>
  <c r="G238" i="36"/>
  <c r="G239" i="36"/>
  <c r="G240" i="36"/>
  <c r="G241" i="36"/>
  <c r="G242" i="36"/>
  <c r="G243" i="36"/>
  <c r="G244" i="36"/>
  <c r="G245" i="36"/>
  <c r="G246" i="36"/>
  <c r="G247" i="36"/>
  <c r="G248" i="36"/>
  <c r="G249" i="36"/>
  <c r="G250" i="36"/>
  <c r="G251" i="36"/>
  <c r="G252" i="36"/>
  <c r="G253" i="36"/>
  <c r="G254" i="36"/>
  <c r="G255" i="36"/>
  <c r="G256" i="36"/>
  <c r="G257" i="36"/>
  <c r="G258" i="36"/>
  <c r="G259" i="36"/>
  <c r="G260" i="36"/>
  <c r="G261" i="36"/>
  <c r="G262" i="36"/>
  <c r="G263" i="36"/>
  <c r="G264" i="36"/>
  <c r="G265" i="36"/>
  <c r="G266" i="36"/>
  <c r="G267" i="36"/>
  <c r="G268" i="36"/>
  <c r="G269" i="36"/>
  <c r="G270" i="36"/>
  <c r="G271" i="36"/>
  <c r="G272" i="36"/>
  <c r="G273" i="36"/>
  <c r="G274" i="36"/>
  <c r="G275" i="36"/>
  <c r="G276" i="36"/>
  <c r="G277" i="36"/>
  <c r="G278" i="36"/>
  <c r="G279" i="36"/>
  <c r="G280" i="36"/>
  <c r="G281" i="36"/>
  <c r="G282" i="36"/>
  <c r="G283" i="36"/>
  <c r="G284" i="36"/>
  <c r="G285" i="36"/>
  <c r="G286" i="36"/>
  <c r="G287" i="36"/>
  <c r="G288" i="36"/>
  <c r="G289" i="36"/>
  <c r="G290" i="36"/>
  <c r="G291" i="36"/>
  <c r="G292" i="36"/>
  <c r="G293" i="36"/>
  <c r="G294" i="36"/>
  <c r="G295" i="36"/>
  <c r="G296" i="36"/>
  <c r="G297" i="36"/>
  <c r="G298" i="36"/>
  <c r="G299" i="36"/>
  <c r="G300" i="36"/>
  <c r="G301" i="36"/>
  <c r="G302" i="36"/>
  <c r="G4" i="36"/>
  <c r="G307" i="36" l="1"/>
  <c r="C72" i="34"/>
  <c r="C72" i="33"/>
  <c r="F31" i="25" l="1"/>
  <c r="D172" i="33" l="1"/>
  <c r="C73" i="33"/>
  <c r="C74" i="33"/>
  <c r="E172" i="33" l="1"/>
  <c r="G172" i="33" s="1"/>
  <c r="C119" i="33" s="1"/>
  <c r="D174" i="33"/>
  <c r="D173" i="33"/>
  <c r="E312" i="32"/>
  <c r="E173" i="33" l="1"/>
  <c r="G173" i="33" s="1"/>
  <c r="C120" i="33" s="1"/>
  <c r="E174" i="33"/>
  <c r="H174" i="33" s="1"/>
  <c r="D121" i="33" s="1"/>
  <c r="H172" i="33"/>
  <c r="D119" i="33" s="1"/>
  <c r="H173" i="33"/>
  <c r="D120" i="33" s="1"/>
  <c r="B172" i="34"/>
  <c r="C87" i="34"/>
  <c r="C86" i="34"/>
  <c r="C85" i="34"/>
  <c r="C84" i="34"/>
  <c r="C83" i="34"/>
  <c r="C82" i="34"/>
  <c r="C81" i="34"/>
  <c r="C80" i="34"/>
  <c r="C79" i="34"/>
  <c r="C78" i="34"/>
  <c r="C77" i="34"/>
  <c r="C76" i="34"/>
  <c r="C75" i="34"/>
  <c r="C74" i="34"/>
  <c r="C73" i="34"/>
  <c r="B29" i="34"/>
  <c r="B24" i="34"/>
  <c r="A24" i="34"/>
  <c r="G174" i="33" l="1"/>
  <c r="C121" i="33" s="1"/>
  <c r="K29" i="34"/>
  <c r="J29" i="34"/>
  <c r="L29" i="34"/>
  <c r="F24" i="34"/>
  <c r="G29" i="34"/>
  <c r="G24" i="34"/>
  <c r="H29" i="34"/>
  <c r="H24" i="34"/>
  <c r="R24" i="34"/>
  <c r="Q24" i="34"/>
  <c r="O24" i="34"/>
  <c r="K24" i="34"/>
  <c r="P24" i="34"/>
  <c r="C29" i="34"/>
  <c r="M24" i="34"/>
  <c r="D29" i="34"/>
  <c r="T24" i="34"/>
  <c r="V24" i="34"/>
  <c r="L24" i="34"/>
  <c r="U24" i="34"/>
  <c r="J24" i="34"/>
  <c r="C24" i="34"/>
  <c r="P29" i="34"/>
  <c r="M29" i="34"/>
  <c r="F29" i="34"/>
  <c r="V29" i="34"/>
  <c r="U29" i="34"/>
  <c r="T29" i="34"/>
  <c r="R29" i="34"/>
  <c r="O29" i="34"/>
  <c r="Q29" i="34"/>
  <c r="D174" i="34"/>
  <c r="E174" i="34" s="1"/>
  <c r="E173" i="34"/>
  <c r="D187" i="34"/>
  <c r="E187" i="34" s="1"/>
  <c r="D188" i="34"/>
  <c r="E188" i="34" s="1"/>
  <c r="D189" i="34"/>
  <c r="E189" i="34" s="1"/>
  <c r="D182" i="34"/>
  <c r="E182" i="34" s="1"/>
  <c r="D175" i="34"/>
  <c r="E175" i="34" s="1"/>
  <c r="D183" i="34"/>
  <c r="E183" i="34" s="1"/>
  <c r="D178" i="34"/>
  <c r="E178" i="34" s="1"/>
  <c r="D186" i="34"/>
  <c r="E186" i="34" s="1"/>
  <c r="D179" i="34"/>
  <c r="E179" i="34" s="1"/>
  <c r="D180" i="34"/>
  <c r="E180" i="34" s="1"/>
  <c r="D181" i="34"/>
  <c r="E181" i="34" s="1"/>
  <c r="D176" i="34"/>
  <c r="E176" i="34" s="1"/>
  <c r="D184" i="34"/>
  <c r="E184" i="34" s="1"/>
  <c r="D177" i="34"/>
  <c r="E177" i="34" s="1"/>
  <c r="D185" i="34"/>
  <c r="E185" i="34" s="1"/>
  <c r="D24" i="34"/>
  <c r="C68" i="34"/>
  <c r="D68" i="34" s="1"/>
  <c r="A29" i="34"/>
  <c r="C88" i="34"/>
  <c r="AO380" i="1"/>
  <c r="AO373" i="1"/>
  <c r="AO366" i="1"/>
  <c r="AO359" i="1"/>
  <c r="AO352" i="1"/>
  <c r="AO345" i="1"/>
  <c r="AO338" i="1"/>
  <c r="AO331" i="1"/>
  <c r="AO324" i="1"/>
  <c r="AO317" i="1"/>
  <c r="AO310" i="1"/>
  <c r="AO303" i="1"/>
  <c r="AO296" i="1"/>
  <c r="AO289" i="1"/>
  <c r="AO282" i="1"/>
  <c r="AO275" i="1"/>
  <c r="D172" i="34" l="1"/>
  <c r="C172" i="34"/>
  <c r="H32" i="34"/>
  <c r="D48" i="34" s="1"/>
  <c r="D146" i="34" s="1"/>
  <c r="L32" i="34"/>
  <c r="J32" i="34"/>
  <c r="C35" i="34" s="1"/>
  <c r="C164" i="34" s="1"/>
  <c r="R32" i="34"/>
  <c r="D42" i="34" s="1"/>
  <c r="D171" i="34" s="1"/>
  <c r="C48" i="34"/>
  <c r="C146" i="34" s="1"/>
  <c r="M32" i="34"/>
  <c r="P32" i="34"/>
  <c r="K32" i="34"/>
  <c r="D46" i="34"/>
  <c r="C46" i="34"/>
  <c r="C36" i="34"/>
  <c r="C166" i="34" s="1"/>
  <c r="D36" i="34"/>
  <c r="D166" i="34" s="1"/>
  <c r="O32" i="34"/>
  <c r="D45" i="34"/>
  <c r="C45" i="34"/>
  <c r="Q32" i="34"/>
  <c r="H173" i="34"/>
  <c r="D119" i="34" s="1"/>
  <c r="G173" i="34"/>
  <c r="C119" i="34" s="1"/>
  <c r="H174" i="34"/>
  <c r="D120" i="34" s="1"/>
  <c r="G174" i="34"/>
  <c r="C120" i="34" s="1"/>
  <c r="H176" i="34"/>
  <c r="D122" i="34" s="1"/>
  <c r="G176" i="34"/>
  <c r="C122" i="34" s="1"/>
  <c r="G178" i="34"/>
  <c r="C124" i="34" s="1"/>
  <c r="H178" i="34"/>
  <c r="D124" i="34" s="1"/>
  <c r="H184" i="34"/>
  <c r="D130" i="34" s="1"/>
  <c r="G184" i="34"/>
  <c r="C130" i="34" s="1"/>
  <c r="G186" i="34"/>
  <c r="C132" i="34" s="1"/>
  <c r="H186" i="34"/>
  <c r="D132" i="34" s="1"/>
  <c r="G189" i="34"/>
  <c r="C135" i="34" s="1"/>
  <c r="H189" i="34"/>
  <c r="D135" i="34" s="1"/>
  <c r="H188" i="34"/>
  <c r="D134" i="34" s="1"/>
  <c r="G188" i="34"/>
  <c r="C134" i="34" s="1"/>
  <c r="G181" i="34"/>
  <c r="C127" i="34" s="1"/>
  <c r="H181" i="34"/>
  <c r="D127" i="34" s="1"/>
  <c r="G177" i="34"/>
  <c r="C123" i="34" s="1"/>
  <c r="H177" i="34"/>
  <c r="D123" i="34" s="1"/>
  <c r="G183" i="34"/>
  <c r="C129" i="34" s="1"/>
  <c r="H183" i="34"/>
  <c r="D129" i="34" s="1"/>
  <c r="G185" i="34"/>
  <c r="C131" i="34" s="1"/>
  <c r="H185" i="34"/>
  <c r="D131" i="34" s="1"/>
  <c r="G187" i="34"/>
  <c r="C133" i="34" s="1"/>
  <c r="H187" i="34"/>
  <c r="D133" i="34" s="1"/>
  <c r="H180" i="34"/>
  <c r="D126" i="34" s="1"/>
  <c r="G180" i="34"/>
  <c r="C126" i="34" s="1"/>
  <c r="G175" i="34"/>
  <c r="C121" i="34" s="1"/>
  <c r="H175" i="34"/>
  <c r="D121" i="34" s="1"/>
  <c r="G179" i="34"/>
  <c r="C125" i="34" s="1"/>
  <c r="H179" i="34"/>
  <c r="D125" i="34" s="1"/>
  <c r="G182" i="34"/>
  <c r="C128" i="34" s="1"/>
  <c r="H182" i="34"/>
  <c r="D128" i="34" s="1"/>
  <c r="E24" i="34"/>
  <c r="D88" i="34"/>
  <c r="D170" i="34"/>
  <c r="D35" i="34" l="1"/>
  <c r="D164" i="34" s="1"/>
  <c r="E164" i="34" s="1"/>
  <c r="G164" i="34" s="1"/>
  <c r="C110" i="34" s="1"/>
  <c r="C42" i="34"/>
  <c r="C171" i="34" s="1"/>
  <c r="E171" i="34" s="1"/>
  <c r="H171" i="34" s="1"/>
  <c r="D117" i="34" s="1"/>
  <c r="D47" i="34"/>
  <c r="C47" i="34"/>
  <c r="C49" i="34" s="1"/>
  <c r="D41" i="34"/>
  <c r="D169" i="34" s="1"/>
  <c r="C41" i="34"/>
  <c r="C169" i="34" s="1"/>
  <c r="D39" i="34"/>
  <c r="D168" i="34" s="1"/>
  <c r="C39" i="34"/>
  <c r="C168" i="34" s="1"/>
  <c r="D38" i="34"/>
  <c r="D167" i="34" s="1"/>
  <c r="C38" i="34"/>
  <c r="C167" i="34" s="1"/>
  <c r="C40" i="34"/>
  <c r="C170" i="34" s="1"/>
  <c r="E170" i="34" s="1"/>
  <c r="G170" i="34" s="1"/>
  <c r="C116" i="34" s="1"/>
  <c r="D40" i="34"/>
  <c r="D37" i="34"/>
  <c r="D165" i="34" s="1"/>
  <c r="C37" i="34"/>
  <c r="E166" i="34"/>
  <c r="H166" i="34" s="1"/>
  <c r="D112" i="34" s="1"/>
  <c r="E172" i="34"/>
  <c r="H172" i="34" s="1"/>
  <c r="D118" i="34" s="1"/>
  <c r="E146" i="34"/>
  <c r="H146" i="34" s="1"/>
  <c r="D92" i="34" s="1"/>
  <c r="AG10" i="1" s="1"/>
  <c r="AO10" i="1" s="1"/>
  <c r="AS10" i="1" s="1"/>
  <c r="F58" i="34"/>
  <c r="E29" i="34"/>
  <c r="K33" i="34"/>
  <c r="C75" i="33"/>
  <c r="D176" i="33" s="1"/>
  <c r="C76" i="33"/>
  <c r="D177" i="33" s="1"/>
  <c r="C147" i="34" l="1"/>
  <c r="C156" i="34"/>
  <c r="C148" i="34"/>
  <c r="C150" i="34"/>
  <c r="C163" i="34"/>
  <c r="C155" i="34"/>
  <c r="C162" i="34"/>
  <c r="C154" i="34"/>
  <c r="E154" i="34" s="1"/>
  <c r="H154" i="34" s="1"/>
  <c r="D100" i="34" s="1"/>
  <c r="C149" i="34"/>
  <c r="C161" i="34"/>
  <c r="C153" i="34"/>
  <c r="C151" i="34"/>
  <c r="C160" i="34"/>
  <c r="C152" i="34"/>
  <c r="E152" i="34" s="1"/>
  <c r="G152" i="34" s="1"/>
  <c r="C98" i="34" s="1"/>
  <c r="C159" i="34"/>
  <c r="C157" i="34"/>
  <c r="C158" i="34"/>
  <c r="D147" i="34"/>
  <c r="D158" i="34"/>
  <c r="D150" i="34"/>
  <c r="E150" i="34" s="1"/>
  <c r="H150" i="34" s="1"/>
  <c r="D96" i="34" s="1"/>
  <c r="D149" i="34"/>
  <c r="E149" i="34" s="1"/>
  <c r="H149" i="34" s="1"/>
  <c r="D95" i="34" s="1"/>
  <c r="D155" i="34"/>
  <c r="E155" i="34" s="1"/>
  <c r="H155" i="34" s="1"/>
  <c r="D101" i="34" s="1"/>
  <c r="D161" i="34"/>
  <c r="E161" i="34" s="1"/>
  <c r="H161" i="34" s="1"/>
  <c r="D107" i="34" s="1"/>
  <c r="D157" i="34"/>
  <c r="D154" i="34"/>
  <c r="D160" i="34"/>
  <c r="D151" i="34"/>
  <c r="D156" i="34"/>
  <c r="E156" i="34" s="1"/>
  <c r="G156" i="34" s="1"/>
  <c r="C102" i="34" s="1"/>
  <c r="D148" i="34"/>
  <c r="E148" i="34" s="1"/>
  <c r="H148" i="34" s="1"/>
  <c r="D94" i="34" s="1"/>
  <c r="D163" i="34"/>
  <c r="E163" i="34" s="1"/>
  <c r="D162" i="34"/>
  <c r="E162" i="34" s="1"/>
  <c r="H162" i="34" s="1"/>
  <c r="D108" i="34" s="1"/>
  <c r="D153" i="34"/>
  <c r="E153" i="34" s="1"/>
  <c r="G153" i="34" s="1"/>
  <c r="C99" i="34" s="1"/>
  <c r="D159" i="34"/>
  <c r="D152" i="34"/>
  <c r="E168" i="34"/>
  <c r="H168" i="34" s="1"/>
  <c r="D114" i="34" s="1"/>
  <c r="D49" i="34"/>
  <c r="E167" i="34" s="1"/>
  <c r="G167" i="34" s="1"/>
  <c r="C113" i="34" s="1"/>
  <c r="C165" i="34"/>
  <c r="E165" i="34" s="1"/>
  <c r="G165" i="34" s="1"/>
  <c r="C111" i="34" s="1"/>
  <c r="E177" i="33"/>
  <c r="E176" i="33"/>
  <c r="G166" i="34"/>
  <c r="C112" i="34" s="1"/>
  <c r="G172" i="34"/>
  <c r="C118" i="34" s="1"/>
  <c r="H164" i="34"/>
  <c r="D110" i="34" s="1"/>
  <c r="H170" i="34"/>
  <c r="D116" i="34" s="1"/>
  <c r="G171" i="34"/>
  <c r="C117" i="34" s="1"/>
  <c r="G146" i="34"/>
  <c r="C92" i="34" s="1"/>
  <c r="AD10" i="1" s="1"/>
  <c r="E169" i="34"/>
  <c r="D175" i="33"/>
  <c r="G177" i="33"/>
  <c r="C124" i="33" s="1"/>
  <c r="H177" i="33"/>
  <c r="D124" i="33" s="1"/>
  <c r="G176" i="33"/>
  <c r="C123" i="33" s="1"/>
  <c r="H176" i="33"/>
  <c r="D123" i="33" s="1"/>
  <c r="D54" i="33"/>
  <c r="C15" i="33"/>
  <c r="A24" i="33" s="1"/>
  <c r="C87" i="33"/>
  <c r="D188" i="33" s="1"/>
  <c r="C86" i="33"/>
  <c r="D187" i="33" s="1"/>
  <c r="C85" i="33"/>
  <c r="D186" i="33" s="1"/>
  <c r="C84" i="33"/>
  <c r="D185" i="33" s="1"/>
  <c r="C83" i="33"/>
  <c r="D184" i="33" s="1"/>
  <c r="C82" i="33"/>
  <c r="D183" i="33" s="1"/>
  <c r="C81" i="33"/>
  <c r="D182" i="33" s="1"/>
  <c r="C80" i="33"/>
  <c r="D181" i="33" s="1"/>
  <c r="C79" i="33"/>
  <c r="D180" i="33" s="1"/>
  <c r="C78" i="33"/>
  <c r="D179" i="33" s="1"/>
  <c r="C77" i="33"/>
  <c r="D178" i="33" s="1"/>
  <c r="B29" i="33"/>
  <c r="B24" i="33"/>
  <c r="V312" i="32"/>
  <c r="U312" i="32"/>
  <c r="Q312" i="32"/>
  <c r="P312" i="32"/>
  <c r="O312" i="32"/>
  <c r="N312" i="32"/>
  <c r="K312" i="32"/>
  <c r="G312" i="32"/>
  <c r="F312" i="32"/>
  <c r="T310" i="32"/>
  <c r="R310" i="32"/>
  <c r="L310" i="32"/>
  <c r="T309" i="32"/>
  <c r="R309" i="32"/>
  <c r="L309" i="32"/>
  <c r="T308" i="32"/>
  <c r="R308" i="32"/>
  <c r="L308" i="32"/>
  <c r="T307" i="32"/>
  <c r="R307" i="32"/>
  <c r="L307" i="32"/>
  <c r="T306" i="32"/>
  <c r="R306" i="32"/>
  <c r="L306" i="32"/>
  <c r="T305" i="32"/>
  <c r="R305" i="32"/>
  <c r="L305" i="32"/>
  <c r="T304" i="32"/>
  <c r="R304" i="32"/>
  <c r="L304" i="32"/>
  <c r="T303" i="32"/>
  <c r="R303" i="32"/>
  <c r="L303" i="32"/>
  <c r="T302" i="32"/>
  <c r="R302" i="32"/>
  <c r="L302" i="32"/>
  <c r="T301" i="32"/>
  <c r="R301" i="32"/>
  <c r="L301" i="32"/>
  <c r="T300" i="32"/>
  <c r="R300" i="32"/>
  <c r="L300" i="32"/>
  <c r="T299" i="32"/>
  <c r="R299" i="32"/>
  <c r="L299" i="32"/>
  <c r="T298" i="32"/>
  <c r="R298" i="32"/>
  <c r="L298" i="32"/>
  <c r="T297" i="32"/>
  <c r="R297" i="32"/>
  <c r="L297" i="32"/>
  <c r="T296" i="32"/>
  <c r="R296" i="32"/>
  <c r="L296" i="32"/>
  <c r="T295" i="32"/>
  <c r="R295" i="32"/>
  <c r="L295" i="32"/>
  <c r="T294" i="32"/>
  <c r="R294" i="32"/>
  <c r="L294" i="32"/>
  <c r="T293" i="32"/>
  <c r="R293" i="32"/>
  <c r="L293" i="32"/>
  <c r="T292" i="32"/>
  <c r="R292" i="32"/>
  <c r="L292" i="32"/>
  <c r="T291" i="32"/>
  <c r="R291" i="32"/>
  <c r="L291" i="32"/>
  <c r="T290" i="32"/>
  <c r="R290" i="32"/>
  <c r="L290" i="32"/>
  <c r="T289" i="32"/>
  <c r="R289" i="32"/>
  <c r="L289" i="32"/>
  <c r="T288" i="32"/>
  <c r="R288" i="32"/>
  <c r="L288" i="32"/>
  <c r="T287" i="32"/>
  <c r="R287" i="32"/>
  <c r="L287" i="32"/>
  <c r="T286" i="32"/>
  <c r="R286" i="32"/>
  <c r="L286" i="32"/>
  <c r="T285" i="32"/>
  <c r="R285" i="32"/>
  <c r="L285" i="32"/>
  <c r="T284" i="32"/>
  <c r="R284" i="32"/>
  <c r="L284" i="32"/>
  <c r="T283" i="32"/>
  <c r="R283" i="32"/>
  <c r="L283" i="32"/>
  <c r="T282" i="32"/>
  <c r="R282" i="32"/>
  <c r="L282" i="32"/>
  <c r="T281" i="32"/>
  <c r="R281" i="32"/>
  <c r="L281" i="32"/>
  <c r="T280" i="32"/>
  <c r="R280" i="32"/>
  <c r="L280" i="32"/>
  <c r="T279" i="32"/>
  <c r="R279" i="32"/>
  <c r="L279" i="32"/>
  <c r="T278" i="32"/>
  <c r="R278" i="32"/>
  <c r="L278" i="32"/>
  <c r="T277" i="32"/>
  <c r="R277" i="32"/>
  <c r="L277" i="32"/>
  <c r="T276" i="32"/>
  <c r="R276" i="32"/>
  <c r="L276" i="32"/>
  <c r="T275" i="32"/>
  <c r="R275" i="32"/>
  <c r="L275" i="32"/>
  <c r="T274" i="32"/>
  <c r="R274" i="32"/>
  <c r="L274" i="32"/>
  <c r="T273" i="32"/>
  <c r="R273" i="32"/>
  <c r="L273" i="32"/>
  <c r="T272" i="32"/>
  <c r="R272" i="32"/>
  <c r="L272" i="32"/>
  <c r="T271" i="32"/>
  <c r="R271" i="32"/>
  <c r="L271" i="32"/>
  <c r="T270" i="32"/>
  <c r="R270" i="32"/>
  <c r="L270" i="32"/>
  <c r="T269" i="32"/>
  <c r="R269" i="32"/>
  <c r="L269" i="32"/>
  <c r="T268" i="32"/>
  <c r="R268" i="32"/>
  <c r="L268" i="32"/>
  <c r="T267" i="32"/>
  <c r="R267" i="32"/>
  <c r="L267" i="32"/>
  <c r="T266" i="32"/>
  <c r="R266" i="32"/>
  <c r="L266" i="32"/>
  <c r="T265" i="32"/>
  <c r="R265" i="32"/>
  <c r="L265" i="32"/>
  <c r="T264" i="32"/>
  <c r="R264" i="32"/>
  <c r="L264" i="32"/>
  <c r="T263" i="32"/>
  <c r="R263" i="32"/>
  <c r="L263" i="32"/>
  <c r="T262" i="32"/>
  <c r="R262" i="32"/>
  <c r="L262" i="32"/>
  <c r="T261" i="32"/>
  <c r="R261" i="32"/>
  <c r="L261" i="32"/>
  <c r="T260" i="32"/>
  <c r="R260" i="32"/>
  <c r="L260" i="32"/>
  <c r="T259" i="32"/>
  <c r="R259" i="32"/>
  <c r="L259" i="32"/>
  <c r="T258" i="32"/>
  <c r="R258" i="32"/>
  <c r="L258" i="32"/>
  <c r="T257" i="32"/>
  <c r="R257" i="32"/>
  <c r="L257" i="32"/>
  <c r="T256" i="32"/>
  <c r="R256" i="32"/>
  <c r="L256" i="32"/>
  <c r="T255" i="32"/>
  <c r="R255" i="32"/>
  <c r="L255" i="32"/>
  <c r="T254" i="32"/>
  <c r="R254" i="32"/>
  <c r="L254" i="32"/>
  <c r="T253" i="32"/>
  <c r="R253" i="32"/>
  <c r="L253" i="32"/>
  <c r="T252" i="32"/>
  <c r="R252" i="32"/>
  <c r="L252" i="32"/>
  <c r="T251" i="32"/>
  <c r="R251" i="32"/>
  <c r="L251" i="32"/>
  <c r="T250" i="32"/>
  <c r="R250" i="32"/>
  <c r="L250" i="32"/>
  <c r="T249" i="32"/>
  <c r="R249" i="32"/>
  <c r="L249" i="32"/>
  <c r="T248" i="32"/>
  <c r="R248" i="32"/>
  <c r="L248" i="32"/>
  <c r="T247" i="32"/>
  <c r="R247" i="32"/>
  <c r="L247" i="32"/>
  <c r="T246" i="32"/>
  <c r="R246" i="32"/>
  <c r="L246" i="32"/>
  <c r="T245" i="32"/>
  <c r="R245" i="32"/>
  <c r="L245" i="32"/>
  <c r="T244" i="32"/>
  <c r="R244" i="32"/>
  <c r="L244" i="32"/>
  <c r="T243" i="32"/>
  <c r="R243" i="32"/>
  <c r="L243" i="32"/>
  <c r="T242" i="32"/>
  <c r="R242" i="32"/>
  <c r="L242" i="32"/>
  <c r="T241" i="32"/>
  <c r="R241" i="32"/>
  <c r="L241" i="32"/>
  <c r="T240" i="32"/>
  <c r="R240" i="32"/>
  <c r="L240" i="32"/>
  <c r="T239" i="32"/>
  <c r="R239" i="32"/>
  <c r="L239" i="32"/>
  <c r="T238" i="32"/>
  <c r="R238" i="32"/>
  <c r="L238" i="32"/>
  <c r="T237" i="32"/>
  <c r="R237" i="32"/>
  <c r="L237" i="32"/>
  <c r="T236" i="32"/>
  <c r="R236" i="32"/>
  <c r="L236" i="32"/>
  <c r="T235" i="32"/>
  <c r="R235" i="32"/>
  <c r="L235" i="32"/>
  <c r="T234" i="32"/>
  <c r="R234" i="32"/>
  <c r="L234" i="32"/>
  <c r="T233" i="32"/>
  <c r="R233" i="32"/>
  <c r="L233" i="32"/>
  <c r="T232" i="32"/>
  <c r="R232" i="32"/>
  <c r="L232" i="32"/>
  <c r="T231" i="32"/>
  <c r="R231" i="32"/>
  <c r="L231" i="32"/>
  <c r="T230" i="32"/>
  <c r="R230" i="32"/>
  <c r="L230" i="32"/>
  <c r="T229" i="32"/>
  <c r="R229" i="32"/>
  <c r="L229" i="32"/>
  <c r="T228" i="32"/>
  <c r="R228" i="32"/>
  <c r="L228" i="32"/>
  <c r="T227" i="32"/>
  <c r="R227" i="32"/>
  <c r="L227" i="32"/>
  <c r="T226" i="32"/>
  <c r="R226" i="32"/>
  <c r="L226" i="32"/>
  <c r="T225" i="32"/>
  <c r="R225" i="32"/>
  <c r="L225" i="32"/>
  <c r="T224" i="32"/>
  <c r="R224" i="32"/>
  <c r="L224" i="32"/>
  <c r="T223" i="32"/>
  <c r="R223" i="32"/>
  <c r="L223" i="32"/>
  <c r="T222" i="32"/>
  <c r="R222" i="32"/>
  <c r="L222" i="32"/>
  <c r="T221" i="32"/>
  <c r="R221" i="32"/>
  <c r="L221" i="32"/>
  <c r="T220" i="32"/>
  <c r="R220" i="32"/>
  <c r="L220" i="32"/>
  <c r="T219" i="32"/>
  <c r="R219" i="32"/>
  <c r="L219" i="32"/>
  <c r="T218" i="32"/>
  <c r="R218" i="32"/>
  <c r="L218" i="32"/>
  <c r="T217" i="32"/>
  <c r="R217" i="32"/>
  <c r="L217" i="32"/>
  <c r="T216" i="32"/>
  <c r="R216" i="32"/>
  <c r="L216" i="32"/>
  <c r="T215" i="32"/>
  <c r="R215" i="32"/>
  <c r="L215" i="32"/>
  <c r="T214" i="32"/>
  <c r="R214" i="32"/>
  <c r="L214" i="32"/>
  <c r="T213" i="32"/>
  <c r="R213" i="32"/>
  <c r="L213" i="32"/>
  <c r="T212" i="32"/>
  <c r="R212" i="32"/>
  <c r="L212" i="32"/>
  <c r="T211" i="32"/>
  <c r="R211" i="32"/>
  <c r="L211" i="32"/>
  <c r="T210" i="32"/>
  <c r="R210" i="32"/>
  <c r="L210" i="32"/>
  <c r="T209" i="32"/>
  <c r="R209" i="32"/>
  <c r="L209" i="32"/>
  <c r="T208" i="32"/>
  <c r="R208" i="32"/>
  <c r="L208" i="32"/>
  <c r="T207" i="32"/>
  <c r="R207" i="32"/>
  <c r="L207" i="32"/>
  <c r="T206" i="32"/>
  <c r="R206" i="32"/>
  <c r="L206" i="32"/>
  <c r="T205" i="32"/>
  <c r="R205" i="32"/>
  <c r="L205" i="32"/>
  <c r="T204" i="32"/>
  <c r="R204" i="32"/>
  <c r="L204" i="32"/>
  <c r="T203" i="32"/>
  <c r="R203" i="32"/>
  <c r="L203" i="32"/>
  <c r="T202" i="32"/>
  <c r="R202" i="32"/>
  <c r="L202" i="32"/>
  <c r="T201" i="32"/>
  <c r="R201" i="32"/>
  <c r="L201" i="32"/>
  <c r="T200" i="32"/>
  <c r="R200" i="32"/>
  <c r="L200" i="32"/>
  <c r="T199" i="32"/>
  <c r="R199" i="32"/>
  <c r="L199" i="32"/>
  <c r="T198" i="32"/>
  <c r="R198" i="32"/>
  <c r="L198" i="32"/>
  <c r="T197" i="32"/>
  <c r="R197" i="32"/>
  <c r="L197" i="32"/>
  <c r="T196" i="32"/>
  <c r="R196" i="32"/>
  <c r="L196" i="32"/>
  <c r="T195" i="32"/>
  <c r="R195" i="32"/>
  <c r="L195" i="32"/>
  <c r="T194" i="32"/>
  <c r="R194" i="32"/>
  <c r="L194" i="32"/>
  <c r="T193" i="32"/>
  <c r="R193" i="32"/>
  <c r="L193" i="32"/>
  <c r="T192" i="32"/>
  <c r="R192" i="32"/>
  <c r="L192" i="32"/>
  <c r="T191" i="32"/>
  <c r="R191" i="32"/>
  <c r="L191" i="32"/>
  <c r="T190" i="32"/>
  <c r="R190" i="32"/>
  <c r="L190" i="32"/>
  <c r="T189" i="32"/>
  <c r="R189" i="32"/>
  <c r="L189" i="32"/>
  <c r="T188" i="32"/>
  <c r="R188" i="32"/>
  <c r="L188" i="32"/>
  <c r="T187" i="32"/>
  <c r="R187" i="32"/>
  <c r="L187" i="32"/>
  <c r="T186" i="32"/>
  <c r="R186" i="32"/>
  <c r="L186" i="32"/>
  <c r="T185" i="32"/>
  <c r="R185" i="32"/>
  <c r="L185" i="32"/>
  <c r="T184" i="32"/>
  <c r="R184" i="32"/>
  <c r="L184" i="32"/>
  <c r="T183" i="32"/>
  <c r="R183" i="32"/>
  <c r="L183" i="32"/>
  <c r="T182" i="32"/>
  <c r="R182" i="32"/>
  <c r="L182" i="32"/>
  <c r="T181" i="32"/>
  <c r="R181" i="32"/>
  <c r="L181" i="32"/>
  <c r="T180" i="32"/>
  <c r="R180" i="32"/>
  <c r="L180" i="32"/>
  <c r="T179" i="32"/>
  <c r="R179" i="32"/>
  <c r="L179" i="32"/>
  <c r="T178" i="32"/>
  <c r="R178" i="32"/>
  <c r="L178" i="32"/>
  <c r="T177" i="32"/>
  <c r="R177" i="32"/>
  <c r="L177" i="32"/>
  <c r="T176" i="32"/>
  <c r="R176" i="32"/>
  <c r="L176" i="32"/>
  <c r="T175" i="32"/>
  <c r="R175" i="32"/>
  <c r="L175" i="32"/>
  <c r="T174" i="32"/>
  <c r="R174" i="32"/>
  <c r="L174" i="32"/>
  <c r="T173" i="32"/>
  <c r="R173" i="32"/>
  <c r="L173" i="32"/>
  <c r="T172" i="32"/>
  <c r="R172" i="32"/>
  <c r="L172" i="32"/>
  <c r="T171" i="32"/>
  <c r="R171" i="32"/>
  <c r="L171" i="32"/>
  <c r="T170" i="32"/>
  <c r="R170" i="32"/>
  <c r="L170" i="32"/>
  <c r="T169" i="32"/>
  <c r="R169" i="32"/>
  <c r="L169" i="32"/>
  <c r="T168" i="32"/>
  <c r="R168" i="32"/>
  <c r="L168" i="32"/>
  <c r="T167" i="32"/>
  <c r="R167" i="32"/>
  <c r="L167" i="32"/>
  <c r="T166" i="32"/>
  <c r="R166" i="32"/>
  <c r="L166" i="32"/>
  <c r="T165" i="32"/>
  <c r="R165" i="32"/>
  <c r="L165" i="32"/>
  <c r="T164" i="32"/>
  <c r="R164" i="32"/>
  <c r="L164" i="32"/>
  <c r="T163" i="32"/>
  <c r="R163" i="32"/>
  <c r="L163" i="32"/>
  <c r="T162" i="32"/>
  <c r="R162" i="32"/>
  <c r="L162" i="32"/>
  <c r="T161" i="32"/>
  <c r="R161" i="32"/>
  <c r="L161" i="32"/>
  <c r="T160" i="32"/>
  <c r="R160" i="32"/>
  <c r="L160" i="32"/>
  <c r="T159" i="32"/>
  <c r="R159" i="32"/>
  <c r="L159" i="32"/>
  <c r="T158" i="32"/>
  <c r="R158" i="32"/>
  <c r="L158" i="32"/>
  <c r="T157" i="32"/>
  <c r="R157" i="32"/>
  <c r="L157" i="32"/>
  <c r="T156" i="32"/>
  <c r="R156" i="32"/>
  <c r="L156" i="32"/>
  <c r="T155" i="32"/>
  <c r="R155" i="32"/>
  <c r="L155" i="32"/>
  <c r="T154" i="32"/>
  <c r="R154" i="32"/>
  <c r="L154" i="32"/>
  <c r="T153" i="32"/>
  <c r="R153" i="32"/>
  <c r="L153" i="32"/>
  <c r="T152" i="32"/>
  <c r="R152" i="32"/>
  <c r="L152" i="32"/>
  <c r="T151" i="32"/>
  <c r="R151" i="32"/>
  <c r="L151" i="32"/>
  <c r="T150" i="32"/>
  <c r="R150" i="32"/>
  <c r="L150" i="32"/>
  <c r="T149" i="32"/>
  <c r="R149" i="32"/>
  <c r="L149" i="32"/>
  <c r="T148" i="32"/>
  <c r="R148" i="32"/>
  <c r="L148" i="32"/>
  <c r="T147" i="32"/>
  <c r="R147" i="32"/>
  <c r="L147" i="32"/>
  <c r="T146" i="32"/>
  <c r="R146" i="32"/>
  <c r="L146" i="32"/>
  <c r="T145" i="32"/>
  <c r="R145" i="32"/>
  <c r="L145" i="32"/>
  <c r="T144" i="32"/>
  <c r="R144" i="32"/>
  <c r="L144" i="32"/>
  <c r="T143" i="32"/>
  <c r="R143" i="32"/>
  <c r="L143" i="32"/>
  <c r="T142" i="32"/>
  <c r="R142" i="32"/>
  <c r="L142" i="32"/>
  <c r="T141" i="32"/>
  <c r="R141" i="32"/>
  <c r="L141" i="32"/>
  <c r="T140" i="32"/>
  <c r="R140" i="32"/>
  <c r="L140" i="32"/>
  <c r="T139" i="32"/>
  <c r="R139" i="32"/>
  <c r="L139" i="32"/>
  <c r="T138" i="32"/>
  <c r="R138" i="32"/>
  <c r="L138" i="32"/>
  <c r="T137" i="32"/>
  <c r="R137" i="32"/>
  <c r="L137" i="32"/>
  <c r="T136" i="32"/>
  <c r="R136" i="32"/>
  <c r="L136" i="32"/>
  <c r="T135" i="32"/>
  <c r="R135" i="32"/>
  <c r="L135" i="32"/>
  <c r="T134" i="32"/>
  <c r="R134" i="32"/>
  <c r="L134" i="32"/>
  <c r="T133" i="32"/>
  <c r="R133" i="32"/>
  <c r="L133" i="32"/>
  <c r="T132" i="32"/>
  <c r="R132" i="32"/>
  <c r="L132" i="32"/>
  <c r="T131" i="32"/>
  <c r="R131" i="32"/>
  <c r="L131" i="32"/>
  <c r="T130" i="32"/>
  <c r="R130" i="32"/>
  <c r="L130" i="32"/>
  <c r="T129" i="32"/>
  <c r="R129" i="32"/>
  <c r="L129" i="32"/>
  <c r="T128" i="32"/>
  <c r="R128" i="32"/>
  <c r="L128" i="32"/>
  <c r="T127" i="32"/>
  <c r="R127" i="32"/>
  <c r="L127" i="32"/>
  <c r="T126" i="32"/>
  <c r="R126" i="32"/>
  <c r="L126" i="32"/>
  <c r="T125" i="32"/>
  <c r="R125" i="32"/>
  <c r="L125" i="32"/>
  <c r="T124" i="32"/>
  <c r="R124" i="32"/>
  <c r="L124" i="32"/>
  <c r="T123" i="32"/>
  <c r="R123" i="32"/>
  <c r="L123" i="32"/>
  <c r="T122" i="32"/>
  <c r="R122" i="32"/>
  <c r="L122" i="32"/>
  <c r="T121" i="32"/>
  <c r="R121" i="32"/>
  <c r="L121" i="32"/>
  <c r="T120" i="32"/>
  <c r="R120" i="32"/>
  <c r="L120" i="32"/>
  <c r="T119" i="32"/>
  <c r="R119" i="32"/>
  <c r="L119" i="32"/>
  <c r="T118" i="32"/>
  <c r="R118" i="32"/>
  <c r="L118" i="32"/>
  <c r="T117" i="32"/>
  <c r="R117" i="32"/>
  <c r="L117" i="32"/>
  <c r="T116" i="32"/>
  <c r="R116" i="32"/>
  <c r="L116" i="32"/>
  <c r="T115" i="32"/>
  <c r="R115" i="32"/>
  <c r="L115" i="32"/>
  <c r="T114" i="32"/>
  <c r="R114" i="32"/>
  <c r="L114" i="32"/>
  <c r="T113" i="32"/>
  <c r="R113" i="32"/>
  <c r="L113" i="32"/>
  <c r="T112" i="32"/>
  <c r="R112" i="32"/>
  <c r="L112" i="32"/>
  <c r="T111" i="32"/>
  <c r="R111" i="32"/>
  <c r="L111" i="32"/>
  <c r="T110" i="32"/>
  <c r="R110" i="32"/>
  <c r="L110" i="32"/>
  <c r="T109" i="32"/>
  <c r="R109" i="32"/>
  <c r="L109" i="32"/>
  <c r="T108" i="32"/>
  <c r="R108" i="32"/>
  <c r="L108" i="32"/>
  <c r="T107" i="32"/>
  <c r="R107" i="32"/>
  <c r="L107" i="32"/>
  <c r="T106" i="32"/>
  <c r="R106" i="32"/>
  <c r="L106" i="32"/>
  <c r="T105" i="32"/>
  <c r="R105" i="32"/>
  <c r="L105" i="32"/>
  <c r="T104" i="32"/>
  <c r="R104" i="32"/>
  <c r="L104" i="32"/>
  <c r="T103" i="32"/>
  <c r="R103" i="32"/>
  <c r="L103" i="32"/>
  <c r="T102" i="32"/>
  <c r="R102" i="32"/>
  <c r="L102" i="32"/>
  <c r="T101" i="32"/>
  <c r="R101" i="32"/>
  <c r="L101" i="32"/>
  <c r="T100" i="32"/>
  <c r="R100" i="32"/>
  <c r="L100" i="32"/>
  <c r="T99" i="32"/>
  <c r="R99" i="32"/>
  <c r="L99" i="32"/>
  <c r="T98" i="32"/>
  <c r="R98" i="32"/>
  <c r="L98" i="32"/>
  <c r="T97" i="32"/>
  <c r="R97" i="32"/>
  <c r="L97" i="32"/>
  <c r="T96" i="32"/>
  <c r="R96" i="32"/>
  <c r="L96" i="32"/>
  <c r="T95" i="32"/>
  <c r="R95" i="32"/>
  <c r="L95" i="32"/>
  <c r="T94" i="32"/>
  <c r="R94" i="32"/>
  <c r="L94" i="32"/>
  <c r="T93" i="32"/>
  <c r="R93" i="32"/>
  <c r="L93" i="32"/>
  <c r="T92" i="32"/>
  <c r="R92" i="32"/>
  <c r="L92" i="32"/>
  <c r="T91" i="32"/>
  <c r="R91" i="32"/>
  <c r="L91" i="32"/>
  <c r="T90" i="32"/>
  <c r="R90" i="32"/>
  <c r="L90" i="32"/>
  <c r="T89" i="32"/>
  <c r="R89" i="32"/>
  <c r="L89" i="32"/>
  <c r="T88" i="32"/>
  <c r="R88" i="32"/>
  <c r="L88" i="32"/>
  <c r="T87" i="32"/>
  <c r="R87" i="32"/>
  <c r="L87" i="32"/>
  <c r="T86" i="32"/>
  <c r="R86" i="32"/>
  <c r="L86" i="32"/>
  <c r="T85" i="32"/>
  <c r="R85" i="32"/>
  <c r="L85" i="32"/>
  <c r="T84" i="32"/>
  <c r="R84" i="32"/>
  <c r="L84" i="32"/>
  <c r="T83" i="32"/>
  <c r="R83" i="32"/>
  <c r="L83" i="32"/>
  <c r="T82" i="32"/>
  <c r="R82" i="32"/>
  <c r="L82" i="32"/>
  <c r="T81" i="32"/>
  <c r="R81" i="32"/>
  <c r="L81" i="32"/>
  <c r="T80" i="32"/>
  <c r="R80" i="32"/>
  <c r="L80" i="32"/>
  <c r="T79" i="32"/>
  <c r="R79" i="32"/>
  <c r="L79" i="32"/>
  <c r="T78" i="32"/>
  <c r="R78" i="32"/>
  <c r="L78" i="32"/>
  <c r="T77" i="32"/>
  <c r="R77" i="32"/>
  <c r="L77" i="32"/>
  <c r="T76" i="32"/>
  <c r="R76" i="32"/>
  <c r="L76" i="32"/>
  <c r="T75" i="32"/>
  <c r="R75" i="32"/>
  <c r="L75" i="32"/>
  <c r="T74" i="32"/>
  <c r="R74" i="32"/>
  <c r="L74" i="32"/>
  <c r="T73" i="32"/>
  <c r="R73" i="32"/>
  <c r="L73" i="32"/>
  <c r="T72" i="32"/>
  <c r="R72" i="32"/>
  <c r="L72" i="32"/>
  <c r="T71" i="32"/>
  <c r="R71" i="32"/>
  <c r="L71" i="32"/>
  <c r="T70" i="32"/>
  <c r="R70" i="32"/>
  <c r="L70" i="32"/>
  <c r="T69" i="32"/>
  <c r="R69" i="32"/>
  <c r="L69" i="32"/>
  <c r="T68" i="32"/>
  <c r="R68" i="32"/>
  <c r="L68" i="32"/>
  <c r="T67" i="32"/>
  <c r="R67" i="32"/>
  <c r="L67" i="32"/>
  <c r="T66" i="32"/>
  <c r="R66" i="32"/>
  <c r="L66" i="32"/>
  <c r="T65" i="32"/>
  <c r="R65" i="32"/>
  <c r="L65" i="32"/>
  <c r="T64" i="32"/>
  <c r="R64" i="32"/>
  <c r="L64" i="32"/>
  <c r="T63" i="32"/>
  <c r="R63" i="32"/>
  <c r="L63" i="32"/>
  <c r="T62" i="32"/>
  <c r="R62" i="32"/>
  <c r="L62" i="32"/>
  <c r="T61" i="32"/>
  <c r="R61" i="32"/>
  <c r="L61" i="32"/>
  <c r="T60" i="32"/>
  <c r="R60" i="32"/>
  <c r="L60" i="32"/>
  <c r="T59" i="32"/>
  <c r="R59" i="32"/>
  <c r="L59" i="32"/>
  <c r="T58" i="32"/>
  <c r="R58" i="32"/>
  <c r="L58" i="32"/>
  <c r="T57" i="32"/>
  <c r="R57" i="32"/>
  <c r="L57" i="32"/>
  <c r="T56" i="32"/>
  <c r="R56" i="32"/>
  <c r="L56" i="32"/>
  <c r="T55" i="32"/>
  <c r="R55" i="32"/>
  <c r="L55" i="32"/>
  <c r="T54" i="32"/>
  <c r="R54" i="32"/>
  <c r="L54" i="32"/>
  <c r="T53" i="32"/>
  <c r="R53" i="32"/>
  <c r="L53" i="32"/>
  <c r="T52" i="32"/>
  <c r="R52" i="32"/>
  <c r="L52" i="32"/>
  <c r="T51" i="32"/>
  <c r="R51" i="32"/>
  <c r="L51" i="32"/>
  <c r="T50" i="32"/>
  <c r="R50" i="32"/>
  <c r="L50" i="32"/>
  <c r="T49" i="32"/>
  <c r="R49" i="32"/>
  <c r="L49" i="32"/>
  <c r="T48" i="32"/>
  <c r="R48" i="32"/>
  <c r="L48" i="32"/>
  <c r="T47" i="32"/>
  <c r="R47" i="32"/>
  <c r="L47" i="32"/>
  <c r="T46" i="32"/>
  <c r="R46" i="32"/>
  <c r="L46" i="32"/>
  <c r="T45" i="32"/>
  <c r="R45" i="32"/>
  <c r="L45" i="32"/>
  <c r="T44" i="32"/>
  <c r="R44" i="32"/>
  <c r="L44" i="32"/>
  <c r="T43" i="32"/>
  <c r="R43" i="32"/>
  <c r="L43" i="32"/>
  <c r="T42" i="32"/>
  <c r="R42" i="32"/>
  <c r="L42" i="32"/>
  <c r="T41" i="32"/>
  <c r="R41" i="32"/>
  <c r="L41" i="32"/>
  <c r="T40" i="32"/>
  <c r="R40" i="32"/>
  <c r="L40" i="32"/>
  <c r="T39" i="32"/>
  <c r="R39" i="32"/>
  <c r="L39" i="32"/>
  <c r="T38" i="32"/>
  <c r="R38" i="32"/>
  <c r="L38" i="32"/>
  <c r="T37" i="32"/>
  <c r="R37" i="32"/>
  <c r="L37" i="32"/>
  <c r="T36" i="32"/>
  <c r="R36" i="32"/>
  <c r="L36" i="32"/>
  <c r="T35" i="32"/>
  <c r="R35" i="32"/>
  <c r="L35" i="32"/>
  <c r="T34" i="32"/>
  <c r="R34" i="32"/>
  <c r="L34" i="32"/>
  <c r="T33" i="32"/>
  <c r="R33" i="32"/>
  <c r="L33" i="32"/>
  <c r="T32" i="32"/>
  <c r="R32" i="32"/>
  <c r="L32" i="32"/>
  <c r="T31" i="32"/>
  <c r="R31" i="32"/>
  <c r="L31" i="32"/>
  <c r="T30" i="32"/>
  <c r="R30" i="32"/>
  <c r="L30" i="32"/>
  <c r="T29" i="32"/>
  <c r="R29" i="32"/>
  <c r="L29" i="32"/>
  <c r="T28" i="32"/>
  <c r="R28" i="32"/>
  <c r="L28" i="32"/>
  <c r="T27" i="32"/>
  <c r="R27" i="32"/>
  <c r="L27" i="32"/>
  <c r="T26" i="32"/>
  <c r="R26" i="32"/>
  <c r="L26" i="32"/>
  <c r="T25" i="32"/>
  <c r="R25" i="32"/>
  <c r="L25" i="32"/>
  <c r="T24" i="32"/>
  <c r="R24" i="32"/>
  <c r="L24" i="32"/>
  <c r="T23" i="32"/>
  <c r="R23" i="32"/>
  <c r="L23" i="32"/>
  <c r="T22" i="32"/>
  <c r="R22" i="32"/>
  <c r="L22" i="32"/>
  <c r="T21" i="32"/>
  <c r="R21" i="32"/>
  <c r="L21" i="32"/>
  <c r="T20" i="32"/>
  <c r="R20" i="32"/>
  <c r="L20" i="32"/>
  <c r="T19" i="32"/>
  <c r="R19" i="32"/>
  <c r="L19" i="32"/>
  <c r="T18" i="32"/>
  <c r="R18" i="32"/>
  <c r="L18" i="32"/>
  <c r="T17" i="32"/>
  <c r="R17" i="32"/>
  <c r="L17" i="32"/>
  <c r="T16" i="32"/>
  <c r="R16" i="32"/>
  <c r="L16" i="32"/>
  <c r="T15" i="32"/>
  <c r="R15" i="32"/>
  <c r="L15" i="32"/>
  <c r="T14" i="32"/>
  <c r="R14" i="32"/>
  <c r="L14" i="32"/>
  <c r="T13" i="32"/>
  <c r="R13" i="32"/>
  <c r="L13" i="32"/>
  <c r="T12" i="32"/>
  <c r="R12" i="32"/>
  <c r="L12" i="32"/>
  <c r="T11" i="32"/>
  <c r="R11" i="32"/>
  <c r="L11" i="32"/>
  <c r="T10" i="32"/>
  <c r="R10" i="32"/>
  <c r="L10" i="32"/>
  <c r="T9" i="32"/>
  <c r="R9" i="32"/>
  <c r="L9" i="32"/>
  <c r="T8" i="32"/>
  <c r="R8" i="32"/>
  <c r="L8" i="32"/>
  <c r="T7" i="32"/>
  <c r="R7" i="32"/>
  <c r="L7" i="32"/>
  <c r="E151" i="34" l="1"/>
  <c r="G151" i="34" s="1"/>
  <c r="C97" i="34" s="1"/>
  <c r="E157" i="34"/>
  <c r="H157" i="34" s="1"/>
  <c r="D103" i="34" s="1"/>
  <c r="E160" i="34"/>
  <c r="H160" i="34" s="1"/>
  <c r="D106" i="34" s="1"/>
  <c r="E159" i="34"/>
  <c r="G159" i="34" s="1"/>
  <c r="C105" i="34" s="1"/>
  <c r="E158" i="34"/>
  <c r="G158" i="34" s="1"/>
  <c r="C104" i="34" s="1"/>
  <c r="E147" i="34"/>
  <c r="D190" i="34"/>
  <c r="H165" i="34"/>
  <c r="D111" i="34" s="1"/>
  <c r="G162" i="34"/>
  <c r="C108" i="34" s="1"/>
  <c r="G168" i="34"/>
  <c r="C114" i="34" s="1"/>
  <c r="H167" i="34"/>
  <c r="D113" i="34" s="1"/>
  <c r="G155" i="34"/>
  <c r="C101" i="34" s="1"/>
  <c r="G154" i="34"/>
  <c r="C100" i="34" s="1"/>
  <c r="H151" i="34"/>
  <c r="D97" i="34" s="1"/>
  <c r="H156" i="34"/>
  <c r="D102" i="34" s="1"/>
  <c r="G149" i="34"/>
  <c r="C95" i="34" s="1"/>
  <c r="H152" i="34"/>
  <c r="D98" i="34" s="1"/>
  <c r="G161" i="34"/>
  <c r="C107" i="34" s="1"/>
  <c r="G150" i="34"/>
  <c r="C96" i="34" s="1"/>
  <c r="C190" i="34"/>
  <c r="H163" i="34"/>
  <c r="D109" i="34" s="1"/>
  <c r="G163" i="34"/>
  <c r="C109" i="34" s="1"/>
  <c r="H153" i="34"/>
  <c r="D99" i="34" s="1"/>
  <c r="G148" i="34"/>
  <c r="C94" i="34" s="1"/>
  <c r="AN10" i="1"/>
  <c r="AR10" i="1" s="1"/>
  <c r="E181" i="33"/>
  <c r="G181" i="33" s="1"/>
  <c r="C128" i="33" s="1"/>
  <c r="E175" i="33"/>
  <c r="H175" i="33" s="1"/>
  <c r="D122" i="33" s="1"/>
  <c r="E182" i="33"/>
  <c r="H182" i="33" s="1"/>
  <c r="D129" i="33" s="1"/>
  <c r="E183" i="33"/>
  <c r="G183" i="33" s="1"/>
  <c r="C130" i="33" s="1"/>
  <c r="E184" i="33"/>
  <c r="E185" i="33"/>
  <c r="E178" i="33"/>
  <c r="E186" i="33"/>
  <c r="H186" i="33" s="1"/>
  <c r="D133" i="33" s="1"/>
  <c r="E179" i="33"/>
  <c r="H179" i="33" s="1"/>
  <c r="D126" i="33" s="1"/>
  <c r="E187" i="33"/>
  <c r="H187" i="33" s="1"/>
  <c r="D134" i="33" s="1"/>
  <c r="E180" i="33"/>
  <c r="H180" i="33" s="1"/>
  <c r="D127" i="33" s="1"/>
  <c r="E188" i="33"/>
  <c r="H188" i="33" s="1"/>
  <c r="D135" i="33" s="1"/>
  <c r="P24" i="33"/>
  <c r="F24" i="33"/>
  <c r="J24" i="33"/>
  <c r="O24" i="33"/>
  <c r="E50" i="33" s="1"/>
  <c r="U24" i="33"/>
  <c r="M24" i="33"/>
  <c r="D49" i="33" s="1"/>
  <c r="L24" i="33"/>
  <c r="D24" i="33"/>
  <c r="V24" i="33"/>
  <c r="E37" i="33" s="1"/>
  <c r="D146" i="33" s="1"/>
  <c r="K24" i="33"/>
  <c r="C24" i="33"/>
  <c r="R24" i="33"/>
  <c r="E53" i="33" s="1"/>
  <c r="H24" i="33"/>
  <c r="Q24" i="33"/>
  <c r="G24" i="33"/>
  <c r="T24" i="33"/>
  <c r="T312" i="32"/>
  <c r="L312" i="32"/>
  <c r="R312" i="32"/>
  <c r="H169" i="34"/>
  <c r="D115" i="34" s="1"/>
  <c r="G169" i="34"/>
  <c r="C115" i="34" s="1"/>
  <c r="G178" i="33"/>
  <c r="C125" i="33" s="1"/>
  <c r="H178" i="33"/>
  <c r="D125" i="33" s="1"/>
  <c r="G184" i="33"/>
  <c r="C131" i="33" s="1"/>
  <c r="H184" i="33"/>
  <c r="D131" i="33" s="1"/>
  <c r="H183" i="33"/>
  <c r="D130" i="33" s="1"/>
  <c r="G185" i="33"/>
  <c r="C132" i="33" s="1"/>
  <c r="H185" i="33"/>
  <c r="D132" i="33" s="1"/>
  <c r="A29" i="33"/>
  <c r="D68" i="33"/>
  <c r="C88" i="33"/>
  <c r="D170" i="33" s="1"/>
  <c r="E190" i="34" l="1"/>
  <c r="G147" i="34" s="1"/>
  <c r="C93" i="34" s="1"/>
  <c r="H159" i="34"/>
  <c r="D105" i="34" s="1"/>
  <c r="H158" i="34"/>
  <c r="D104" i="34" s="1"/>
  <c r="G160" i="34"/>
  <c r="C106" i="34" s="1"/>
  <c r="G157" i="34"/>
  <c r="C103" i="34" s="1"/>
  <c r="H147" i="34"/>
  <c r="D93" i="34" s="1"/>
  <c r="AG268" i="1" s="1"/>
  <c r="AO268" i="1" s="1"/>
  <c r="G180" i="33"/>
  <c r="C127" i="33" s="1"/>
  <c r="G182" i="33"/>
  <c r="C129" i="33" s="1"/>
  <c r="G179" i="33"/>
  <c r="C126" i="33" s="1"/>
  <c r="G187" i="33"/>
  <c r="C134" i="33" s="1"/>
  <c r="G175" i="33"/>
  <c r="C122" i="33" s="1"/>
  <c r="H181" i="33"/>
  <c r="D128" i="33" s="1"/>
  <c r="AD268" i="1"/>
  <c r="AN268" i="1" s="1"/>
  <c r="G188" i="33"/>
  <c r="C135" i="33" s="1"/>
  <c r="G186" i="33"/>
  <c r="C133" i="33" s="1"/>
  <c r="D35" i="33"/>
  <c r="C145" i="33" s="1"/>
  <c r="C146" i="33"/>
  <c r="E51" i="33"/>
  <c r="D47" i="33"/>
  <c r="C164" i="33" s="1"/>
  <c r="D48" i="33"/>
  <c r="C165" i="33" s="1"/>
  <c r="D46" i="33"/>
  <c r="C163" i="33" s="1"/>
  <c r="E35" i="33"/>
  <c r="R29" i="33"/>
  <c r="D45" i="33" s="1"/>
  <c r="C170" i="33" s="1"/>
  <c r="H29" i="33"/>
  <c r="Q29" i="33"/>
  <c r="D44" i="33" s="1"/>
  <c r="D169" i="33" s="1"/>
  <c r="G29" i="33"/>
  <c r="P29" i="33"/>
  <c r="F29" i="33"/>
  <c r="L29" i="33"/>
  <c r="E40" i="33" s="1"/>
  <c r="O29" i="33"/>
  <c r="D42" i="33" s="1"/>
  <c r="D167" i="33" s="1"/>
  <c r="C29" i="33"/>
  <c r="M29" i="33"/>
  <c r="V29" i="33"/>
  <c r="U29" i="33"/>
  <c r="K29" i="33"/>
  <c r="T29" i="33"/>
  <c r="J29" i="33"/>
  <c r="E38" i="33" s="1"/>
  <c r="C162" i="33"/>
  <c r="C171" i="33"/>
  <c r="D166" i="33"/>
  <c r="C166" i="33"/>
  <c r="D88" i="33"/>
  <c r="E24" i="33"/>
  <c r="E36" i="33"/>
  <c r="D145" i="33" s="1"/>
  <c r="C136" i="34" l="1"/>
  <c r="C138" i="34" s="1"/>
  <c r="H190" i="34"/>
  <c r="G190" i="34"/>
  <c r="D136" i="34"/>
  <c r="D138" i="34" s="1"/>
  <c r="C167" i="33"/>
  <c r="E167" i="33" s="1"/>
  <c r="G167" i="33" s="1"/>
  <c r="C114" i="33" s="1"/>
  <c r="E41" i="33"/>
  <c r="Y66" i="1"/>
  <c r="D148" i="33"/>
  <c r="D159" i="33"/>
  <c r="D157" i="33"/>
  <c r="D162" i="33"/>
  <c r="D149" i="33"/>
  <c r="D147" i="33"/>
  <c r="D160" i="33"/>
  <c r="D161" i="33"/>
  <c r="D155" i="33"/>
  <c r="D153" i="33"/>
  <c r="D154" i="33"/>
  <c r="D156" i="33"/>
  <c r="D152" i="33"/>
  <c r="D158" i="33"/>
  <c r="D150" i="33"/>
  <c r="D151" i="33"/>
  <c r="E39" i="33"/>
  <c r="D164" i="33" s="1"/>
  <c r="E164" i="33" s="1"/>
  <c r="G164" i="33" s="1"/>
  <c r="D43" i="33"/>
  <c r="C168" i="33" s="1"/>
  <c r="E171" i="33"/>
  <c r="G171" i="33" s="1"/>
  <c r="C118" i="33" s="1"/>
  <c r="D165" i="33"/>
  <c r="E165" i="33" s="1"/>
  <c r="H165" i="33" s="1"/>
  <c r="D112" i="33" s="1"/>
  <c r="Y68" i="1"/>
  <c r="D163" i="33"/>
  <c r="E163" i="33" s="1"/>
  <c r="G163" i="33" s="1"/>
  <c r="C110" i="33" s="1"/>
  <c r="AD67" i="1" s="1"/>
  <c r="Y67" i="1"/>
  <c r="E166" i="33"/>
  <c r="H166" i="33" s="1"/>
  <c r="D113" i="33" s="1"/>
  <c r="AG66" i="1" s="1"/>
  <c r="E169" i="33"/>
  <c r="G169" i="33" s="1"/>
  <c r="C116" i="33" s="1"/>
  <c r="AD115" i="1" s="1"/>
  <c r="AN115" i="1" s="1"/>
  <c r="E170" i="33"/>
  <c r="H170" i="33" s="1"/>
  <c r="D117" i="33" s="1"/>
  <c r="AG113" i="1" s="1"/>
  <c r="AO113" i="1" s="1"/>
  <c r="E29" i="33"/>
  <c r="C152" i="33"/>
  <c r="C147" i="33"/>
  <c r="C153" i="33"/>
  <c r="C161" i="33"/>
  <c r="C156" i="33"/>
  <c r="C159" i="33"/>
  <c r="C158" i="33"/>
  <c r="C148" i="33"/>
  <c r="C149" i="33"/>
  <c r="C150" i="33"/>
  <c r="C160" i="33"/>
  <c r="C155" i="33"/>
  <c r="C154" i="33"/>
  <c r="C157" i="33"/>
  <c r="C151" i="33"/>
  <c r="N15" i="33"/>
  <c r="K33" i="33"/>
  <c r="Y69" i="1" s="1"/>
  <c r="E145" i="33"/>
  <c r="AD114" i="1" l="1"/>
  <c r="AN114" i="1" s="1"/>
  <c r="D168" i="33"/>
  <c r="E168" i="33" s="1"/>
  <c r="AG68" i="1"/>
  <c r="AO68" i="1" s="1"/>
  <c r="AD65" i="1"/>
  <c r="AN65" i="1" s="1"/>
  <c r="C111" i="33"/>
  <c r="AD69" i="1" s="1"/>
  <c r="AN69" i="1" s="1"/>
  <c r="H171" i="33"/>
  <c r="D118" i="33" s="1"/>
  <c r="G165" i="33"/>
  <c r="C112" i="33" s="1"/>
  <c r="H163" i="33"/>
  <c r="D110" i="33" s="1"/>
  <c r="AO66" i="1"/>
  <c r="AN67" i="1"/>
  <c r="G166" i="33"/>
  <c r="C113" i="33" s="1"/>
  <c r="AD66" i="1" s="1"/>
  <c r="AN66" i="1" s="1"/>
  <c r="G170" i="33"/>
  <c r="C117" i="33" s="1"/>
  <c r="H167" i="33"/>
  <c r="H169" i="33"/>
  <c r="D116" i="33" s="1"/>
  <c r="H164" i="33"/>
  <c r="D111" i="33" s="1"/>
  <c r="H145" i="33"/>
  <c r="G145" i="33"/>
  <c r="C92" i="33" s="1"/>
  <c r="AG65" i="1" l="1"/>
  <c r="AO65" i="1" s="1"/>
  <c r="AS65" i="1" s="1"/>
  <c r="AE65" i="1"/>
  <c r="G168" i="33"/>
  <c r="C115" i="33" s="1"/>
  <c r="H168" i="33"/>
  <c r="D115" i="33" s="1"/>
  <c r="AD113" i="1"/>
  <c r="AN113" i="1" s="1"/>
  <c r="AG67" i="1"/>
  <c r="AO67" i="1" s="1"/>
  <c r="AG69" i="1"/>
  <c r="AO69" i="1" s="1"/>
  <c r="AD68" i="1"/>
  <c r="AN68" i="1" s="1"/>
  <c r="AR65" i="1"/>
  <c r="AD103" i="1"/>
  <c r="AN103" i="1" s="1"/>
  <c r="D114" i="33"/>
  <c r="AG114" i="1" s="1"/>
  <c r="AO114" i="1" s="1"/>
  <c r="I167" i="33"/>
  <c r="AO120" i="1"/>
  <c r="AG115" i="1"/>
  <c r="AO115" i="1" s="1"/>
  <c r="AG116" i="1"/>
  <c r="AO116" i="1" s="1"/>
  <c r="AR66" i="1"/>
  <c r="AN120" i="1"/>
  <c r="E58" i="33"/>
  <c r="D58" i="33"/>
  <c r="D92" i="33"/>
  <c r="E146" i="33"/>
  <c r="AS68" i="1" l="1"/>
  <c r="AR68" i="1"/>
  <c r="AS67" i="1"/>
  <c r="AR67" i="1"/>
  <c r="AS69" i="1"/>
  <c r="AR69" i="1"/>
  <c r="AR113" i="1"/>
  <c r="AS113" i="1"/>
  <c r="AD116" i="1"/>
  <c r="AN116" i="1" s="1"/>
  <c r="AG103" i="1"/>
  <c r="AO103" i="1" s="1"/>
  <c r="AR114" i="1"/>
  <c r="AS114" i="1"/>
  <c r="AS115" i="1"/>
  <c r="AR115" i="1"/>
  <c r="AS66" i="1"/>
  <c r="E160" i="33"/>
  <c r="H160" i="33" s="1"/>
  <c r="D107" i="33" s="1"/>
  <c r="AR116" i="1" l="1"/>
  <c r="AS116" i="1"/>
  <c r="AS103" i="1"/>
  <c r="AR103" i="1"/>
  <c r="E147" i="33"/>
  <c r="G147" i="33" s="1"/>
  <c r="C94" i="33" s="1"/>
  <c r="AD275" i="1" s="1"/>
  <c r="AN275" i="1" s="1"/>
  <c r="E151" i="33"/>
  <c r="G151" i="33" s="1"/>
  <c r="C98" i="33" s="1"/>
  <c r="AD303" i="1" s="1"/>
  <c r="AN303" i="1" s="1"/>
  <c r="E161" i="33"/>
  <c r="H161" i="33" s="1"/>
  <c r="D108" i="33" s="1"/>
  <c r="E148" i="33"/>
  <c r="H148" i="33" s="1"/>
  <c r="D95" i="33" s="1"/>
  <c r="E158" i="33"/>
  <c r="G158" i="33" s="1"/>
  <c r="C105" i="33" s="1"/>
  <c r="AD352" i="1" s="1"/>
  <c r="AN352" i="1" s="1"/>
  <c r="E156" i="33"/>
  <c r="H156" i="33" s="1"/>
  <c r="D103" i="33" s="1"/>
  <c r="E154" i="33"/>
  <c r="H154" i="33" s="1"/>
  <c r="D101" i="33" s="1"/>
  <c r="E152" i="33"/>
  <c r="G152" i="33" s="1"/>
  <c r="C99" i="33" s="1"/>
  <c r="AD310" i="1" s="1"/>
  <c r="AN310" i="1" s="1"/>
  <c r="E162" i="33"/>
  <c r="G162" i="33" s="1"/>
  <c r="C109" i="33" s="1"/>
  <c r="AD380" i="1" s="1"/>
  <c r="AN380" i="1" s="1"/>
  <c r="E150" i="33"/>
  <c r="G150" i="33" s="1"/>
  <c r="C97" i="33" s="1"/>
  <c r="AD296" i="1" s="1"/>
  <c r="AN296" i="1" s="1"/>
  <c r="E149" i="33"/>
  <c r="G149" i="33" s="1"/>
  <c r="C96" i="33" s="1"/>
  <c r="AD289" i="1" s="1"/>
  <c r="AN289" i="1" s="1"/>
  <c r="E153" i="33"/>
  <c r="G153" i="33" s="1"/>
  <c r="C100" i="33" s="1"/>
  <c r="AD317" i="1" s="1"/>
  <c r="AN317" i="1" s="1"/>
  <c r="G160" i="33"/>
  <c r="C107" i="33" s="1"/>
  <c r="AD366" i="1" s="1"/>
  <c r="AN366" i="1" s="1"/>
  <c r="E157" i="33"/>
  <c r="G157" i="33" s="1"/>
  <c r="C104" i="33" s="1"/>
  <c r="AD345" i="1" s="1"/>
  <c r="AN345" i="1" s="1"/>
  <c r="C189" i="33"/>
  <c r="E155" i="33"/>
  <c r="H155" i="33" s="1"/>
  <c r="D102" i="33" s="1"/>
  <c r="D189" i="33"/>
  <c r="E159" i="33"/>
  <c r="H147" i="33" l="1"/>
  <c r="D94" i="33" s="1"/>
  <c r="H151" i="33"/>
  <c r="D98" i="33" s="1"/>
  <c r="H150" i="33"/>
  <c r="D97" i="33" s="1"/>
  <c r="G156" i="33"/>
  <c r="C103" i="33" s="1"/>
  <c r="AD338" i="1" s="1"/>
  <c r="AN338" i="1" s="1"/>
  <c r="G161" i="33"/>
  <c r="C108" i="33" s="1"/>
  <c r="AD373" i="1" s="1"/>
  <c r="AN373" i="1" s="1"/>
  <c r="H162" i="33"/>
  <c r="D109" i="33" s="1"/>
  <c r="H153" i="33"/>
  <c r="D100" i="33" s="1"/>
  <c r="H158" i="33"/>
  <c r="D105" i="33" s="1"/>
  <c r="G154" i="33"/>
  <c r="C101" i="33" s="1"/>
  <c r="AD324" i="1" s="1"/>
  <c r="AN324" i="1" s="1"/>
  <c r="G148" i="33"/>
  <c r="C95" i="33" s="1"/>
  <c r="AD282" i="1" s="1"/>
  <c r="AN282" i="1" s="1"/>
  <c r="H152" i="33"/>
  <c r="D99" i="33" s="1"/>
  <c r="G155" i="33"/>
  <c r="C102" i="33" s="1"/>
  <c r="AD331" i="1" s="1"/>
  <c r="AN331" i="1" s="1"/>
  <c r="H157" i="33"/>
  <c r="D104" i="33" s="1"/>
  <c r="H149" i="33"/>
  <c r="D96" i="33" s="1"/>
  <c r="E189" i="33"/>
  <c r="H146" i="33" s="1"/>
  <c r="G159" i="33"/>
  <c r="C106" i="33" s="1"/>
  <c r="AD359" i="1" s="1"/>
  <c r="AN359" i="1" s="1"/>
  <c r="H159" i="33"/>
  <c r="D106" i="33" s="1"/>
  <c r="D93" i="33" l="1"/>
  <c r="G146" i="33"/>
  <c r="C93" i="33" s="1"/>
  <c r="AD267" i="1" s="1"/>
  <c r="D137" i="33" l="1"/>
  <c r="AG267" i="1"/>
  <c r="AO267" i="1" s="1"/>
  <c r="H189" i="33"/>
  <c r="C137" i="33"/>
  <c r="AN267" i="1"/>
  <c r="G189" i="33"/>
  <c r="E54" i="25" l="1"/>
  <c r="B24" i="25" l="1"/>
  <c r="B29" i="25"/>
  <c r="U302" i="29"/>
  <c r="T302" i="29"/>
  <c r="S302" i="29"/>
  <c r="Q302" i="29"/>
  <c r="P302" i="29"/>
  <c r="O302" i="29"/>
  <c r="N302" i="29"/>
  <c r="L302" i="29"/>
  <c r="K302" i="29"/>
  <c r="J302" i="29"/>
  <c r="I302" i="29"/>
  <c r="G302" i="29"/>
  <c r="F302" i="29"/>
  <c r="E302" i="29"/>
  <c r="D302" i="29"/>
  <c r="C302" i="29"/>
  <c r="F297" i="27" l="1"/>
  <c r="V121" i="1" l="1"/>
  <c r="U121" i="1"/>
  <c r="V112" i="1" l="1"/>
  <c r="U112" i="1"/>
  <c r="W112" i="1" s="1"/>
  <c r="V111" i="1"/>
  <c r="U111" i="1"/>
  <c r="W111" i="1" s="1"/>
  <c r="V110" i="1"/>
  <c r="U110" i="1"/>
  <c r="W110" i="1" s="1"/>
  <c r="V109" i="1"/>
  <c r="U109" i="1"/>
  <c r="W109" i="1" s="1"/>
  <c r="V71" i="1"/>
  <c r="X71" i="1" s="1"/>
  <c r="U71" i="1"/>
  <c r="W71" i="1" s="1"/>
  <c r="V70" i="1"/>
  <c r="X70" i="1" s="1"/>
  <c r="U70" i="1"/>
  <c r="W70" i="1" s="1"/>
  <c r="V64" i="1"/>
  <c r="X64" i="1" s="1"/>
  <c r="U64" i="1"/>
  <c r="V63" i="1"/>
  <c r="X63" i="1" s="1"/>
  <c r="U63" i="1"/>
  <c r="V62" i="1"/>
  <c r="X62" i="1" s="1"/>
  <c r="U62" i="1"/>
  <c r="V61" i="1"/>
  <c r="X61" i="1" s="1"/>
  <c r="U61" i="1"/>
  <c r="A29" i="25" l="1"/>
  <c r="U298" i="27"/>
  <c r="T298" i="27"/>
  <c r="S298" i="27"/>
  <c r="Q298" i="27"/>
  <c r="P298" i="27"/>
  <c r="O298" i="27"/>
  <c r="N298" i="27"/>
  <c r="L298" i="27"/>
  <c r="K298" i="27"/>
  <c r="J298" i="27"/>
  <c r="I298" i="27"/>
  <c r="G298" i="27"/>
  <c r="E298" i="27"/>
  <c r="F295" i="27"/>
  <c r="F294" i="27"/>
  <c r="F293" i="27"/>
  <c r="F292" i="27"/>
  <c r="F291" i="27"/>
  <c r="F290" i="27"/>
  <c r="F289" i="27"/>
  <c r="F288" i="27"/>
  <c r="F287" i="27"/>
  <c r="F286" i="27"/>
  <c r="F285" i="27"/>
  <c r="F284" i="27"/>
  <c r="F283" i="27"/>
  <c r="F282" i="27"/>
  <c r="F281" i="27"/>
  <c r="F280" i="27"/>
  <c r="F279" i="27"/>
  <c r="F278" i="27"/>
  <c r="F277" i="27"/>
  <c r="F276" i="27"/>
  <c r="F275" i="27"/>
  <c r="F274" i="27"/>
  <c r="F273" i="27"/>
  <c r="F272" i="27"/>
  <c r="F271" i="27"/>
  <c r="F270" i="27"/>
  <c r="F269" i="27"/>
  <c r="F268" i="27"/>
  <c r="F267" i="27"/>
  <c r="F266" i="27"/>
  <c r="F265" i="27"/>
  <c r="F264" i="27"/>
  <c r="F263" i="27"/>
  <c r="F262" i="27"/>
  <c r="F261" i="27"/>
  <c r="F260" i="27"/>
  <c r="F259" i="27"/>
  <c r="F258" i="27"/>
  <c r="F257" i="27"/>
  <c r="F256" i="27"/>
  <c r="F255" i="27"/>
  <c r="F254" i="27"/>
  <c r="F253" i="27"/>
  <c r="F252" i="27"/>
  <c r="F251" i="27"/>
  <c r="F250" i="27"/>
  <c r="F249" i="27"/>
  <c r="F248" i="27"/>
  <c r="F247" i="27"/>
  <c r="F246" i="27"/>
  <c r="F245" i="27"/>
  <c r="F244" i="27"/>
  <c r="F243" i="27"/>
  <c r="F242" i="27"/>
  <c r="F241" i="27"/>
  <c r="F240" i="27"/>
  <c r="F239" i="27"/>
  <c r="F238" i="27"/>
  <c r="F237" i="27"/>
  <c r="F236" i="27"/>
  <c r="F235" i="27"/>
  <c r="F234" i="27"/>
  <c r="F233" i="27"/>
  <c r="F232" i="27"/>
  <c r="F231" i="27"/>
  <c r="F230" i="27"/>
  <c r="F229" i="27"/>
  <c r="F228" i="27"/>
  <c r="F227" i="27"/>
  <c r="F226" i="27"/>
  <c r="F225" i="27"/>
  <c r="F224" i="27"/>
  <c r="F223" i="27"/>
  <c r="F222" i="27"/>
  <c r="F221" i="27"/>
  <c r="F220" i="27"/>
  <c r="F219" i="27"/>
  <c r="F218" i="27"/>
  <c r="F217" i="27"/>
  <c r="F216" i="27"/>
  <c r="F215" i="27"/>
  <c r="F214" i="27"/>
  <c r="F213" i="27"/>
  <c r="F212" i="27"/>
  <c r="F211" i="27"/>
  <c r="F210" i="27"/>
  <c r="F209" i="27"/>
  <c r="F208" i="27"/>
  <c r="F207" i="27"/>
  <c r="F206" i="27"/>
  <c r="F205" i="27"/>
  <c r="F204" i="27"/>
  <c r="F203" i="27"/>
  <c r="F202" i="27"/>
  <c r="F201" i="27"/>
  <c r="F200" i="27"/>
  <c r="F199" i="27"/>
  <c r="F198" i="27"/>
  <c r="F197" i="27"/>
  <c r="F196" i="27"/>
  <c r="F195" i="27"/>
  <c r="F194" i="27"/>
  <c r="F193" i="27"/>
  <c r="F192" i="27"/>
  <c r="F191" i="27"/>
  <c r="F190" i="27"/>
  <c r="F189" i="27"/>
  <c r="F188" i="27"/>
  <c r="F187" i="27"/>
  <c r="F186" i="27"/>
  <c r="F185" i="27"/>
  <c r="F184" i="27"/>
  <c r="F183" i="27"/>
  <c r="F182" i="27"/>
  <c r="F181" i="27"/>
  <c r="F180" i="27"/>
  <c r="F179" i="27"/>
  <c r="F178" i="27"/>
  <c r="F177" i="27"/>
  <c r="F176" i="27"/>
  <c r="F175" i="27"/>
  <c r="F174" i="27"/>
  <c r="F173" i="27"/>
  <c r="F172" i="27"/>
  <c r="F171" i="27"/>
  <c r="F170" i="27"/>
  <c r="F169" i="27"/>
  <c r="F168" i="27"/>
  <c r="F167" i="27"/>
  <c r="F166" i="27"/>
  <c r="F165" i="27"/>
  <c r="F164" i="27"/>
  <c r="F163" i="27"/>
  <c r="F162" i="27"/>
  <c r="F161" i="27"/>
  <c r="F160" i="27"/>
  <c r="F159" i="27"/>
  <c r="F158" i="27"/>
  <c r="F157" i="27"/>
  <c r="F156" i="27"/>
  <c r="F155" i="27"/>
  <c r="F154" i="27"/>
  <c r="F153" i="27"/>
  <c r="F152" i="27"/>
  <c r="F151" i="27"/>
  <c r="F150" i="27"/>
  <c r="F149" i="27"/>
  <c r="F148" i="27"/>
  <c r="F147" i="27"/>
  <c r="F146" i="27"/>
  <c r="F145" i="27"/>
  <c r="F144" i="27"/>
  <c r="F143" i="27"/>
  <c r="F142" i="27"/>
  <c r="F141" i="27"/>
  <c r="F140" i="27"/>
  <c r="F139" i="27"/>
  <c r="F138" i="27"/>
  <c r="F137" i="27"/>
  <c r="F136" i="27"/>
  <c r="F135" i="27"/>
  <c r="F134" i="27"/>
  <c r="F133" i="27"/>
  <c r="F132" i="27"/>
  <c r="F131" i="27"/>
  <c r="F130" i="27"/>
  <c r="F129" i="27"/>
  <c r="F128" i="27"/>
  <c r="F127" i="27"/>
  <c r="F126" i="27"/>
  <c r="F125" i="27"/>
  <c r="F124" i="27"/>
  <c r="F123" i="27"/>
  <c r="F122" i="27"/>
  <c r="F121" i="27"/>
  <c r="F120" i="27"/>
  <c r="F119" i="27"/>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1" i="27"/>
  <c r="F90" i="27"/>
  <c r="F89" i="27"/>
  <c r="F88" i="27"/>
  <c r="F87" i="27"/>
  <c r="F86" i="27"/>
  <c r="F85" i="27"/>
  <c r="F84" i="27"/>
  <c r="F83" i="27"/>
  <c r="F82" i="27"/>
  <c r="F81" i="27"/>
  <c r="F80" i="27"/>
  <c r="F79" i="27"/>
  <c r="F78" i="27"/>
  <c r="F77" i="27"/>
  <c r="F76" i="27"/>
  <c r="F75" i="27"/>
  <c r="F74" i="27"/>
  <c r="F73" i="27"/>
  <c r="F72" i="27"/>
  <c r="F71" i="27"/>
  <c r="F70" i="27"/>
  <c r="F69" i="27"/>
  <c r="F68" i="27"/>
  <c r="F67" i="27"/>
  <c r="F66" i="27"/>
  <c r="F65" i="27"/>
  <c r="F64" i="27"/>
  <c r="F63" i="27"/>
  <c r="F62" i="27"/>
  <c r="F61" i="27"/>
  <c r="F60" i="27"/>
  <c r="F59" i="27"/>
  <c r="F58" i="27"/>
  <c r="F57" i="27"/>
  <c r="F56" i="27"/>
  <c r="F55" i="27"/>
  <c r="F54" i="27"/>
  <c r="F53" i="27"/>
  <c r="F52" i="27"/>
  <c r="F51" i="27"/>
  <c r="F50" i="27"/>
  <c r="F49" i="27"/>
  <c r="F48" i="27"/>
  <c r="F47" i="27"/>
  <c r="F46" i="27"/>
  <c r="F45" i="27"/>
  <c r="F44" i="27"/>
  <c r="F43" i="27"/>
  <c r="F42" i="27"/>
  <c r="F41" i="27"/>
  <c r="F40" i="27"/>
  <c r="F39" i="27"/>
  <c r="F38" i="27"/>
  <c r="F37" i="27"/>
  <c r="F36" i="27"/>
  <c r="F35" i="27"/>
  <c r="F34" i="27"/>
  <c r="F33" i="27"/>
  <c r="F32" i="27"/>
  <c r="F31" i="27"/>
  <c r="F30" i="27"/>
  <c r="F29" i="27"/>
  <c r="F28" i="27"/>
  <c r="F27" i="27"/>
  <c r="F26" i="27"/>
  <c r="F25" i="27"/>
  <c r="F24" i="27"/>
  <c r="F23" i="27"/>
  <c r="F22" i="27"/>
  <c r="F21" i="27"/>
  <c r="F20" i="27"/>
  <c r="F19" i="27"/>
  <c r="F18" i="27"/>
  <c r="F17" i="27"/>
  <c r="F16" i="27"/>
  <c r="F15" i="27"/>
  <c r="F14" i="27"/>
  <c r="F13" i="27"/>
  <c r="F12" i="27"/>
  <c r="F11" i="27"/>
  <c r="F10" i="27"/>
  <c r="F9" i="27"/>
  <c r="F8" i="27"/>
  <c r="F7" i="27"/>
  <c r="F6" i="27"/>
  <c r="F5" i="27"/>
  <c r="F4" i="27"/>
  <c r="F3" i="27"/>
  <c r="A24" i="25" l="1"/>
  <c r="T24" i="25" l="1"/>
  <c r="H24" i="25"/>
  <c r="E36" i="25" s="1"/>
  <c r="G24" i="25"/>
  <c r="D35" i="25" s="1"/>
  <c r="V24" i="25"/>
  <c r="D37" i="25" s="1"/>
  <c r="U24" i="25"/>
  <c r="D24" i="25"/>
  <c r="C24" i="25"/>
  <c r="R24" i="25"/>
  <c r="E53" i="25" s="1"/>
  <c r="F24" i="25"/>
  <c r="Q24" i="25"/>
  <c r="E52" i="25" s="1"/>
  <c r="P24" i="25"/>
  <c r="T29" i="25"/>
  <c r="O29" i="25"/>
  <c r="D42" i="25" s="1"/>
  <c r="J29" i="25"/>
  <c r="E38" i="25" s="1"/>
  <c r="P29" i="25"/>
  <c r="O24" i="25"/>
  <c r="E50" i="25" s="1"/>
  <c r="U29" i="25"/>
  <c r="M24" i="25"/>
  <c r="D49" i="25" s="1"/>
  <c r="L24" i="25"/>
  <c r="D48" i="25" s="1"/>
  <c r="R29" i="25"/>
  <c r="D45" i="25" s="1"/>
  <c r="M29" i="25"/>
  <c r="E41" i="25" s="1"/>
  <c r="K24" i="25"/>
  <c r="J24" i="25"/>
  <c r="D46" i="25" s="1"/>
  <c r="V29" i="25"/>
  <c r="Q29" i="25"/>
  <c r="D44" i="25" s="1"/>
  <c r="L29" i="25"/>
  <c r="E40" i="25" s="1"/>
  <c r="K29" i="25"/>
  <c r="H29" i="25"/>
  <c r="G29" i="25"/>
  <c r="F29" i="25"/>
  <c r="D29" i="25"/>
  <c r="C29" i="25"/>
  <c r="E24" i="25" l="1"/>
  <c r="D43" i="25"/>
  <c r="K33" i="25"/>
  <c r="Z112" i="1" s="1"/>
  <c r="E39" i="25"/>
  <c r="N15" i="25"/>
  <c r="E29" i="25"/>
  <c r="E55" i="25"/>
  <c r="D55" i="25"/>
  <c r="D47" i="25"/>
  <c r="E51" i="25"/>
  <c r="E56" i="25" l="1"/>
  <c r="E57" i="25" s="1"/>
  <c r="D56" i="25"/>
  <c r="Q293" i="15"/>
  <c r="D57" i="25" l="1"/>
  <c r="C86" i="25"/>
  <c r="C85" i="25"/>
  <c r="C84" i="25"/>
  <c r="C83" i="25"/>
  <c r="C82" i="25"/>
  <c r="C81" i="25"/>
  <c r="C80" i="25"/>
  <c r="C79" i="25"/>
  <c r="C78" i="25"/>
  <c r="C77" i="25"/>
  <c r="C76" i="25"/>
  <c r="C75" i="25"/>
  <c r="C74" i="25"/>
  <c r="C73" i="25"/>
  <c r="C72" i="25"/>
  <c r="C71" i="25"/>
  <c r="L229" i="15"/>
  <c r="W286" i="15" s="1"/>
  <c r="L228" i="15"/>
  <c r="W285" i="15" s="1"/>
  <c r="L227" i="15"/>
  <c r="W284" i="15" s="1"/>
  <c r="L226" i="15"/>
  <c r="W283" i="15" s="1"/>
  <c r="L225" i="15"/>
  <c r="W282" i="15" s="1"/>
  <c r="L224" i="15"/>
  <c r="W281" i="15" s="1"/>
  <c r="L223" i="15"/>
  <c r="W280" i="15" s="1"/>
  <c r="L222" i="15"/>
  <c r="W279" i="15" s="1"/>
  <c r="L221" i="15"/>
  <c r="W278" i="15" s="1"/>
  <c r="L220" i="15"/>
  <c r="W277" i="15" s="1"/>
  <c r="L219" i="15"/>
  <c r="W276" i="15" s="1"/>
  <c r="L218" i="15"/>
  <c r="W275" i="15" s="1"/>
  <c r="L217" i="15"/>
  <c r="W274" i="15" s="1"/>
  <c r="L216" i="15"/>
  <c r="W273" i="15" s="1"/>
  <c r="L215" i="15"/>
  <c r="W272" i="15" s="1"/>
  <c r="L214" i="15"/>
  <c r="W271" i="15" s="1"/>
  <c r="L213" i="15"/>
  <c r="W270" i="15" s="1"/>
  <c r="L208" i="15"/>
  <c r="N208" i="15" s="1"/>
  <c r="L188" i="15"/>
  <c r="M188" i="15" s="1"/>
  <c r="D158" i="25" l="1"/>
  <c r="Y64" i="1"/>
  <c r="D157" i="25"/>
  <c r="D155" i="25"/>
  <c r="D153" i="25"/>
  <c r="D151" i="25"/>
  <c r="C157" i="25"/>
  <c r="C155" i="25"/>
  <c r="C153" i="25"/>
  <c r="C151" i="25"/>
  <c r="D156" i="25"/>
  <c r="D154" i="25"/>
  <c r="D152" i="25"/>
  <c r="D150" i="25"/>
  <c r="C156" i="25"/>
  <c r="C154" i="25"/>
  <c r="C152" i="25"/>
  <c r="C150" i="25"/>
  <c r="D133" i="25"/>
  <c r="D141" i="25"/>
  <c r="C141" i="25"/>
  <c r="D145" i="25"/>
  <c r="C145" i="25"/>
  <c r="D138" i="25"/>
  <c r="C138" i="25"/>
  <c r="D146" i="25"/>
  <c r="C146" i="25"/>
  <c r="D136" i="25"/>
  <c r="C136" i="25"/>
  <c r="D140" i="25"/>
  <c r="C140" i="25"/>
  <c r="D144" i="25"/>
  <c r="C144" i="25"/>
  <c r="D148" i="25"/>
  <c r="C148" i="25"/>
  <c r="D137" i="25"/>
  <c r="C137" i="25"/>
  <c r="D149" i="25"/>
  <c r="C149" i="25"/>
  <c r="D134" i="25"/>
  <c r="C134" i="25"/>
  <c r="D142" i="25"/>
  <c r="C142" i="25"/>
  <c r="C133" i="25"/>
  <c r="C132" i="25"/>
  <c r="C158" i="25"/>
  <c r="D132" i="25"/>
  <c r="D135" i="25"/>
  <c r="C135" i="25"/>
  <c r="D139" i="25"/>
  <c r="C139" i="25"/>
  <c r="D143" i="25"/>
  <c r="C143" i="25"/>
  <c r="D147" i="25"/>
  <c r="C147" i="25"/>
  <c r="Z109" i="1"/>
  <c r="Y62" i="1"/>
  <c r="Z111" i="1"/>
  <c r="Z102" i="1"/>
  <c r="Y63" i="1"/>
  <c r="Z110" i="1"/>
  <c r="Y61" i="1"/>
  <c r="X110" i="1"/>
  <c r="X111" i="1"/>
  <c r="W63" i="1"/>
  <c r="X109" i="1"/>
  <c r="W61" i="1"/>
  <c r="W62" i="1"/>
  <c r="C87" i="25"/>
  <c r="D87" i="25" s="1"/>
  <c r="C67" i="25"/>
  <c r="D67" i="25" s="1"/>
  <c r="L230" i="15"/>
  <c r="U289" i="15" s="1"/>
  <c r="Y121" i="1" l="1"/>
  <c r="E132" i="25"/>
  <c r="G132" i="25" s="1"/>
  <c r="E154" i="25"/>
  <c r="H154" i="25" s="1"/>
  <c r="Z121" i="1"/>
  <c r="W64" i="1"/>
  <c r="X121" i="1"/>
  <c r="X112" i="1"/>
  <c r="W121" i="1"/>
  <c r="E158" i="25"/>
  <c r="H158" i="25" s="1"/>
  <c r="E156" i="25"/>
  <c r="E152" i="25"/>
  <c r="E157" i="25"/>
  <c r="V23" i="1"/>
  <c r="X23" i="1" s="1"/>
  <c r="AO23" i="1" s="1"/>
  <c r="U23" i="1"/>
  <c r="W23" i="1" s="1"/>
  <c r="V60" i="1"/>
  <c r="X60" i="1" s="1"/>
  <c r="U60" i="1"/>
  <c r="W60" i="1" s="1"/>
  <c r="V102" i="1"/>
  <c r="X102" i="1" s="1"/>
  <c r="U102" i="1"/>
  <c r="W102" i="1" s="1"/>
  <c r="V108" i="1"/>
  <c r="X108" i="1" s="1"/>
  <c r="U108" i="1"/>
  <c r="W108" i="1" s="1"/>
  <c r="V119" i="1"/>
  <c r="X119" i="1" s="1"/>
  <c r="U119" i="1"/>
  <c r="W119" i="1" s="1"/>
  <c r="G154" i="25" l="1"/>
  <c r="C114" i="25" s="1"/>
  <c r="D114" i="25"/>
  <c r="AG110" i="1" s="1"/>
  <c r="D118" i="25"/>
  <c r="AG60" i="1" s="1"/>
  <c r="AN121" i="1"/>
  <c r="AO121" i="1"/>
  <c r="G158" i="25"/>
  <c r="H157" i="25"/>
  <c r="G157" i="25"/>
  <c r="H152" i="25"/>
  <c r="G152" i="25"/>
  <c r="H156" i="25"/>
  <c r="G156" i="25"/>
  <c r="Y289" i="15"/>
  <c r="N254" i="15" s="1"/>
  <c r="X294" i="15"/>
  <c r="X293" i="15"/>
  <c r="X292" i="15"/>
  <c r="X290" i="15"/>
  <c r="Y288" i="15"/>
  <c r="Y287" i="15"/>
  <c r="W295" i="15"/>
  <c r="AD110" i="1" l="1"/>
  <c r="D116" i="25"/>
  <c r="C112" i="25"/>
  <c r="D112" i="25"/>
  <c r="AG63" i="1" s="1"/>
  <c r="C118" i="25"/>
  <c r="C116" i="25"/>
  <c r="C117" i="25"/>
  <c r="D117" i="25"/>
  <c r="AG109" i="1" s="1"/>
  <c r="AO109" i="1" s="1"/>
  <c r="C27" i="24"/>
  <c r="C65" i="24" s="1"/>
  <c r="C25" i="24"/>
  <c r="C26" i="24" s="1"/>
  <c r="C64" i="24" s="1"/>
  <c r="C23" i="24"/>
  <c r="C61" i="24" s="1"/>
  <c r="C21" i="24"/>
  <c r="C22" i="24" s="1"/>
  <c r="C60" i="24" s="1"/>
  <c r="C19" i="24"/>
  <c r="C57" i="24" s="1"/>
  <c r="C18" i="24"/>
  <c r="C56" i="24" s="1"/>
  <c r="C17" i="24"/>
  <c r="C55" i="24" s="1"/>
  <c r="C47" i="5"/>
  <c r="C78" i="5" s="1"/>
  <c r="C46" i="5"/>
  <c r="C77" i="5" s="1"/>
  <c r="C45" i="5"/>
  <c r="C76" i="5" s="1"/>
  <c r="C44" i="5"/>
  <c r="C75" i="5" s="1"/>
  <c r="C43" i="5"/>
  <c r="C74" i="5" s="1"/>
  <c r="C42" i="5"/>
  <c r="C73" i="5" s="1"/>
  <c r="E158" i="3"/>
  <c r="E157" i="3"/>
  <c r="E156" i="3"/>
  <c r="E155" i="3"/>
  <c r="E154" i="3"/>
  <c r="C57" i="1"/>
  <c r="C52" i="1"/>
  <c r="C56" i="3"/>
  <c r="E107" i="3" s="1"/>
  <c r="C55" i="3"/>
  <c r="E106" i="3" s="1"/>
  <c r="C54" i="3"/>
  <c r="E105" i="3" s="1"/>
  <c r="C53" i="3"/>
  <c r="E104" i="3" s="1"/>
  <c r="C52" i="3"/>
  <c r="E103" i="3" s="1"/>
  <c r="C51" i="3"/>
  <c r="E102" i="3" s="1"/>
  <c r="C50" i="3"/>
  <c r="E101" i="3" s="1"/>
  <c r="C49" i="3"/>
  <c r="E100" i="3" s="1"/>
  <c r="S22" i="4"/>
  <c r="C259" i="4" s="1"/>
  <c r="R22" i="4"/>
  <c r="R43" i="4" s="1"/>
  <c r="Q22" i="4"/>
  <c r="P22" i="4"/>
  <c r="C256" i="4" s="1"/>
  <c r="O22" i="4"/>
  <c r="C243" i="4" s="1"/>
  <c r="M23" i="4"/>
  <c r="C254" i="4" s="1"/>
  <c r="L23" i="4"/>
  <c r="F217" i="4" s="1"/>
  <c r="Q122" i="4"/>
  <c r="D240" i="19"/>
  <c r="E248" i="19" s="1"/>
  <c r="D239" i="19"/>
  <c r="E247" i="19" s="1"/>
  <c r="C98" i="19"/>
  <c r="C96" i="19"/>
  <c r="AN108" i="1"/>
  <c r="AO108" i="1"/>
  <c r="U106" i="1"/>
  <c r="W106" i="1" s="1"/>
  <c r="V106" i="1"/>
  <c r="X106" i="1" s="1"/>
  <c r="U78" i="1"/>
  <c r="W78" i="1" s="1"/>
  <c r="V78" i="1"/>
  <c r="X78" i="1" s="1"/>
  <c r="V375" i="1"/>
  <c r="X375" i="1" s="1"/>
  <c r="U375" i="1"/>
  <c r="W375" i="1" s="1"/>
  <c r="AJ149" i="1"/>
  <c r="AJ147" i="1"/>
  <c r="AJ146" i="1"/>
  <c r="AJ145" i="1"/>
  <c r="AJ144" i="1"/>
  <c r="AJ143" i="1"/>
  <c r="AJ142" i="1"/>
  <c r="AJ141" i="1"/>
  <c r="AJ140" i="1"/>
  <c r="AJ139" i="1"/>
  <c r="AJ138" i="1"/>
  <c r="AJ137" i="1"/>
  <c r="AJ136" i="1"/>
  <c r="AJ135" i="1"/>
  <c r="AJ134" i="1"/>
  <c r="AJ133" i="1"/>
  <c r="AJ132" i="1"/>
  <c r="AJ131" i="1"/>
  <c r="AJ130" i="1"/>
  <c r="AJ129" i="1"/>
  <c r="AJ128" i="1"/>
  <c r="AJ127" i="1"/>
  <c r="L312" i="19"/>
  <c r="AK128" i="1" s="1"/>
  <c r="L162" i="19"/>
  <c r="L310" i="19" s="1"/>
  <c r="AK129" i="1" s="1"/>
  <c r="V128" i="1"/>
  <c r="X128" i="1" s="1"/>
  <c r="U128" i="1"/>
  <c r="W128" i="1" s="1"/>
  <c r="AN128" i="1" s="1"/>
  <c r="N198" i="2"/>
  <c r="AB216" i="1" s="1"/>
  <c r="AF97" i="1"/>
  <c r="AC97" i="1"/>
  <c r="N177" i="15"/>
  <c r="T290" i="15" s="1"/>
  <c r="L259" i="15"/>
  <c r="L258" i="15"/>
  <c r="L257" i="15"/>
  <c r="L255" i="15"/>
  <c r="AD97" i="1" s="1"/>
  <c r="N253" i="15"/>
  <c r="N252" i="15"/>
  <c r="R272" i="15"/>
  <c r="R286" i="15"/>
  <c r="R285" i="15"/>
  <c r="R284" i="15"/>
  <c r="R283" i="15"/>
  <c r="R282" i="15"/>
  <c r="R281" i="15"/>
  <c r="R280" i="15"/>
  <c r="R279" i="15"/>
  <c r="R278" i="15"/>
  <c r="R277" i="15"/>
  <c r="R276" i="15"/>
  <c r="R275" i="15"/>
  <c r="R274" i="15"/>
  <c r="R273" i="15"/>
  <c r="R271" i="15"/>
  <c r="R270" i="15"/>
  <c r="K76" i="24"/>
  <c r="Z97" i="1" s="1"/>
  <c r="N155" i="15"/>
  <c r="V97" i="1"/>
  <c r="X97" i="1" s="1"/>
  <c r="U97" i="1"/>
  <c r="W97" i="1" s="1"/>
  <c r="L33" i="15"/>
  <c r="J279" i="15" s="1"/>
  <c r="L32" i="15"/>
  <c r="J278" i="15" s="1"/>
  <c r="J55" i="15"/>
  <c r="F279" i="15" s="1"/>
  <c r="J54" i="15"/>
  <c r="F278" i="15" s="1"/>
  <c r="L278" i="15"/>
  <c r="O278" i="15"/>
  <c r="L279" i="15"/>
  <c r="O279" i="15"/>
  <c r="N158" i="2"/>
  <c r="AB166" i="1" s="1"/>
  <c r="N166" i="2"/>
  <c r="AB176" i="1" s="1"/>
  <c r="N185" i="2"/>
  <c r="AB200" i="1" s="1"/>
  <c r="N199" i="2"/>
  <c r="AB217" i="1" s="1"/>
  <c r="J46" i="15"/>
  <c r="F270" i="15" s="1"/>
  <c r="L270" i="15"/>
  <c r="O270" i="15"/>
  <c r="J270" i="15"/>
  <c r="Y270" i="15" s="1"/>
  <c r="AG264" i="1" s="1"/>
  <c r="J47" i="15"/>
  <c r="F271" i="15" s="1"/>
  <c r="L271" i="15"/>
  <c r="O271" i="15"/>
  <c r="J271" i="15"/>
  <c r="J48" i="15"/>
  <c r="L272" i="15"/>
  <c r="O272" i="15"/>
  <c r="J272" i="15"/>
  <c r="J49" i="15"/>
  <c r="F273" i="15" s="1"/>
  <c r="L273" i="15"/>
  <c r="O273" i="15"/>
  <c r="J273" i="15"/>
  <c r="J50" i="15"/>
  <c r="F274" i="15" s="1"/>
  <c r="L274" i="15"/>
  <c r="O274" i="15"/>
  <c r="L28" i="15"/>
  <c r="J274" i="15" s="1"/>
  <c r="Y274" i="15" s="1"/>
  <c r="J51" i="15"/>
  <c r="F275" i="15" s="1"/>
  <c r="L275" i="15"/>
  <c r="O275" i="15"/>
  <c r="L29" i="15"/>
  <c r="J275" i="15" s="1"/>
  <c r="J52" i="15"/>
  <c r="F276" i="15" s="1"/>
  <c r="L276" i="15"/>
  <c r="O276" i="15"/>
  <c r="J276" i="15"/>
  <c r="Y276" i="15" s="1"/>
  <c r="J53" i="15"/>
  <c r="F277" i="15" s="1"/>
  <c r="L277" i="15"/>
  <c r="O277" i="15"/>
  <c r="J277" i="15"/>
  <c r="J56" i="15"/>
  <c r="F280" i="15" s="1"/>
  <c r="L280" i="15"/>
  <c r="O280" i="15"/>
  <c r="J280" i="15"/>
  <c r="J57" i="15"/>
  <c r="F281" i="15" s="1"/>
  <c r="L281" i="15"/>
  <c r="O281" i="15"/>
  <c r="J281" i="15"/>
  <c r="J58" i="15"/>
  <c r="F282" i="15" s="1"/>
  <c r="L282" i="15"/>
  <c r="O282" i="15"/>
  <c r="J282" i="15"/>
  <c r="J59" i="15"/>
  <c r="F283" i="15" s="1"/>
  <c r="L283" i="15"/>
  <c r="O283" i="15"/>
  <c r="J283" i="15"/>
  <c r="J60" i="15"/>
  <c r="F284" i="15" s="1"/>
  <c r="L284" i="15"/>
  <c r="O284" i="15"/>
  <c r="L38" i="15"/>
  <c r="J284" i="15" s="1"/>
  <c r="J61" i="15"/>
  <c r="F285" i="15" s="1"/>
  <c r="L285" i="15"/>
  <c r="O285" i="15"/>
  <c r="L39" i="15"/>
  <c r="J285" i="15" s="1"/>
  <c r="J62" i="15"/>
  <c r="F286" i="15" s="1"/>
  <c r="L286" i="15"/>
  <c r="O286" i="15"/>
  <c r="L40" i="15"/>
  <c r="J286" i="15" s="1"/>
  <c r="L287" i="15"/>
  <c r="O287" i="15"/>
  <c r="L288" i="15"/>
  <c r="O288" i="15"/>
  <c r="K74" i="24"/>
  <c r="Z96" i="1" s="1"/>
  <c r="K75" i="24"/>
  <c r="Z93" i="1" s="1"/>
  <c r="K77" i="24"/>
  <c r="Z98" i="1" s="1"/>
  <c r="K78" i="24"/>
  <c r="Z99" i="1" s="1"/>
  <c r="K79" i="24"/>
  <c r="Z100" i="1" s="1"/>
  <c r="K80" i="24"/>
  <c r="Z101" i="1" s="1"/>
  <c r="J236" i="19"/>
  <c r="AI94" i="1" s="1"/>
  <c r="J235" i="19"/>
  <c r="AI93" i="1" s="1"/>
  <c r="L244" i="19"/>
  <c r="AK88" i="1" s="1"/>
  <c r="L243" i="19"/>
  <c r="AK87" i="1" s="1"/>
  <c r="L103" i="12"/>
  <c r="AD94" i="1" s="1"/>
  <c r="L102" i="12"/>
  <c r="AD93" i="1" s="1"/>
  <c r="AJ91" i="1"/>
  <c r="AJ90" i="1"/>
  <c r="AJ89" i="1"/>
  <c r="AJ88" i="1"/>
  <c r="AJ87" i="1"/>
  <c r="AJ86" i="1"/>
  <c r="AJ85" i="1"/>
  <c r="AJ84" i="1"/>
  <c r="U88" i="1"/>
  <c r="W88" i="1" s="1"/>
  <c r="AN88" i="1" s="1"/>
  <c r="V88" i="1"/>
  <c r="X88" i="1" s="1"/>
  <c r="L246" i="19"/>
  <c r="AK85" i="1" s="1"/>
  <c r="U87" i="1"/>
  <c r="W87" i="1" s="1"/>
  <c r="AN87" i="1" s="1"/>
  <c r="V87" i="1"/>
  <c r="X87" i="1" s="1"/>
  <c r="L245" i="19"/>
  <c r="AK89" i="1" s="1"/>
  <c r="N38" i="13"/>
  <c r="AG92" i="1" s="1"/>
  <c r="N41" i="13"/>
  <c r="AG95" i="1" s="1"/>
  <c r="N40" i="13"/>
  <c r="AG94" i="1" s="1"/>
  <c r="N39" i="13"/>
  <c r="L37" i="13"/>
  <c r="AD405" i="1" s="1"/>
  <c r="L36" i="13"/>
  <c r="AD407" i="1" s="1"/>
  <c r="L35" i="13"/>
  <c r="AD406" i="1" s="1"/>
  <c r="AH95" i="1"/>
  <c r="AH94" i="1"/>
  <c r="AH93" i="1"/>
  <c r="AH92" i="1"/>
  <c r="AF95" i="1"/>
  <c r="AF94" i="1"/>
  <c r="AF93" i="1"/>
  <c r="AF92" i="1"/>
  <c r="AC95" i="1"/>
  <c r="AC94" i="1"/>
  <c r="AC93" i="1"/>
  <c r="AC92" i="1"/>
  <c r="U94" i="1"/>
  <c r="W94" i="1" s="1"/>
  <c r="J238" i="19"/>
  <c r="AI98" i="1" s="1"/>
  <c r="V94" i="1"/>
  <c r="X94" i="1" s="1"/>
  <c r="U93" i="1"/>
  <c r="W93" i="1" s="1"/>
  <c r="L104" i="12"/>
  <c r="AD95" i="1" s="1"/>
  <c r="J237" i="19"/>
  <c r="AI95" i="1" s="1"/>
  <c r="V93" i="1"/>
  <c r="X93" i="1" s="1"/>
  <c r="AC407" i="1"/>
  <c r="AC406" i="1"/>
  <c r="AC405" i="1"/>
  <c r="U407" i="1"/>
  <c r="W407" i="1" s="1"/>
  <c r="V407" i="1"/>
  <c r="X407" i="1" s="1"/>
  <c r="AO407" i="1" s="1"/>
  <c r="U406" i="1"/>
  <c r="W406" i="1" s="1"/>
  <c r="V406" i="1"/>
  <c r="X406" i="1" s="1"/>
  <c r="AO406" i="1" s="1"/>
  <c r="J264" i="19"/>
  <c r="AI361" i="1" s="1"/>
  <c r="J263" i="19"/>
  <c r="AI354" i="1" s="1"/>
  <c r="J262" i="19"/>
  <c r="AI347" i="1" s="1"/>
  <c r="J261" i="19"/>
  <c r="AI340" i="1" s="1"/>
  <c r="AH354" i="1"/>
  <c r="AH347" i="1"/>
  <c r="AH340" i="1"/>
  <c r="AH333" i="1"/>
  <c r="J260" i="19"/>
  <c r="AI333" i="1" s="1"/>
  <c r="J259" i="19"/>
  <c r="AI326" i="1" s="1"/>
  <c r="J258" i="19"/>
  <c r="AI319" i="1" s="1"/>
  <c r="J257" i="19"/>
  <c r="AI312" i="1" s="1"/>
  <c r="J256" i="19"/>
  <c r="AI305" i="1" s="1"/>
  <c r="J255" i="19"/>
  <c r="AI298" i="1" s="1"/>
  <c r="L300" i="19"/>
  <c r="AK237" i="1" s="1"/>
  <c r="L283" i="19"/>
  <c r="AK236" i="1" s="1"/>
  <c r="L299" i="19"/>
  <c r="AK232" i="1" s="1"/>
  <c r="L282" i="19"/>
  <c r="AK231" i="1" s="1"/>
  <c r="L298" i="19"/>
  <c r="AK227" i="1" s="1"/>
  <c r="L281" i="19"/>
  <c r="AK226" i="1" s="1"/>
  <c r="L297" i="19"/>
  <c r="AK222" i="1" s="1"/>
  <c r="L280" i="19"/>
  <c r="AK221" i="1" s="1"/>
  <c r="AJ237" i="1"/>
  <c r="AJ236" i="1"/>
  <c r="AJ232" i="1"/>
  <c r="AJ231" i="1"/>
  <c r="AJ227" i="1"/>
  <c r="AJ226" i="1"/>
  <c r="AJ221" i="1"/>
  <c r="L296" i="19"/>
  <c r="AK217" i="1" s="1"/>
  <c r="L279" i="19"/>
  <c r="AK216" i="1" s="1"/>
  <c r="L295" i="19"/>
  <c r="AK212" i="1" s="1"/>
  <c r="L278" i="19"/>
  <c r="AK211" i="1" s="1"/>
  <c r="L294" i="19"/>
  <c r="AK207" i="1" s="1"/>
  <c r="L277" i="19"/>
  <c r="AK206" i="1" s="1"/>
  <c r="L293" i="19"/>
  <c r="AK202" i="1" s="1"/>
  <c r="L276" i="19"/>
  <c r="AK201" i="1" s="1"/>
  <c r="L292" i="19"/>
  <c r="AK197" i="1" s="1"/>
  <c r="L275" i="19"/>
  <c r="AK196" i="1" s="1"/>
  <c r="L291" i="19"/>
  <c r="AK192" i="1" s="1"/>
  <c r="L274" i="19"/>
  <c r="AK191" i="1" s="1"/>
  <c r="U409" i="1"/>
  <c r="W409" i="1" s="1"/>
  <c r="AN409" i="1" s="1"/>
  <c r="V409" i="1"/>
  <c r="X409" i="1" s="1"/>
  <c r="AF409" i="1"/>
  <c r="L34" i="13"/>
  <c r="AD404" i="1" s="1"/>
  <c r="N83" i="12"/>
  <c r="AG265" i="1" s="1"/>
  <c r="N84" i="12"/>
  <c r="AG273" i="1" s="1"/>
  <c r="N85" i="12"/>
  <c r="AG280" i="1"/>
  <c r="N86" i="12"/>
  <c r="AG287" i="1" s="1"/>
  <c r="N87" i="12"/>
  <c r="AG294" i="1" s="1"/>
  <c r="N88" i="12"/>
  <c r="AG301" i="1" s="1"/>
  <c r="N89" i="12"/>
  <c r="AG308" i="1" s="1"/>
  <c r="N90" i="12"/>
  <c r="AG315" i="1" s="1"/>
  <c r="N91" i="12"/>
  <c r="AG322" i="1" s="1"/>
  <c r="N92" i="12"/>
  <c r="AG329" i="1" s="1"/>
  <c r="N93" i="12"/>
  <c r="AG336" i="1" s="1"/>
  <c r="N94" i="12"/>
  <c r="AG343" i="1" s="1"/>
  <c r="N95" i="12"/>
  <c r="AG350" i="1" s="1"/>
  <c r="N96" i="12"/>
  <c r="AG357" i="1" s="1"/>
  <c r="N97" i="12"/>
  <c r="AG364" i="1" s="1"/>
  <c r="N98" i="12"/>
  <c r="AG371" i="1" s="1"/>
  <c r="N99" i="12"/>
  <c r="AG378" i="1" s="1"/>
  <c r="L101" i="12"/>
  <c r="N108" i="12"/>
  <c r="AG82" i="1" s="1"/>
  <c r="N110" i="12"/>
  <c r="L110" i="12"/>
  <c r="AD83" i="1" s="1"/>
  <c r="J42" i="12"/>
  <c r="L81" i="12" s="1"/>
  <c r="AD393" i="1" s="1"/>
  <c r="L42" i="12"/>
  <c r="L82" i="12" s="1"/>
  <c r="AD395" i="1" s="1"/>
  <c r="L107" i="12"/>
  <c r="AD118" i="1" s="1"/>
  <c r="M122" i="3"/>
  <c r="AG361" i="1" s="1"/>
  <c r="M121" i="3"/>
  <c r="AG354" i="1"/>
  <c r="M120" i="3"/>
  <c r="AG347" i="1" s="1"/>
  <c r="M78" i="3"/>
  <c r="K145" i="3" s="1"/>
  <c r="AD355" i="1" s="1"/>
  <c r="J67" i="5"/>
  <c r="AD354" i="1" s="1"/>
  <c r="M77" i="3"/>
  <c r="K144" i="3" s="1"/>
  <c r="AD348" i="1" s="1"/>
  <c r="J66" i="5"/>
  <c r="AD347" i="1" s="1"/>
  <c r="AC357" i="1"/>
  <c r="AC356" i="1"/>
  <c r="AC355" i="1"/>
  <c r="AC354" i="1"/>
  <c r="AC350" i="1"/>
  <c r="AC349" i="1"/>
  <c r="AC348" i="1"/>
  <c r="AC347" i="1"/>
  <c r="M119" i="3"/>
  <c r="AG340" i="1" s="1"/>
  <c r="M118" i="3"/>
  <c r="AG333" i="1" s="1"/>
  <c r="M117" i="3"/>
  <c r="AG326" i="1" s="1"/>
  <c r="M116" i="3"/>
  <c r="AG319" i="1" s="1"/>
  <c r="M115" i="3"/>
  <c r="AG312" i="1" s="1"/>
  <c r="M114" i="3"/>
  <c r="AG305" i="1" s="1"/>
  <c r="M113" i="3"/>
  <c r="AG298" i="1" s="1"/>
  <c r="AC343" i="1"/>
  <c r="AC342" i="1"/>
  <c r="AC341" i="1"/>
  <c r="AC340" i="1"/>
  <c r="AC336" i="1"/>
  <c r="AC335" i="1"/>
  <c r="AC334" i="1"/>
  <c r="AC333" i="1"/>
  <c r="M76" i="3"/>
  <c r="K143" i="3" s="1"/>
  <c r="AD341" i="1" s="1"/>
  <c r="M75" i="3"/>
  <c r="K142" i="3" s="1"/>
  <c r="AD334" i="1" s="1"/>
  <c r="M74" i="3"/>
  <c r="K141" i="3" s="1"/>
  <c r="AD328" i="1" s="1"/>
  <c r="M73" i="3"/>
  <c r="K140" i="3" s="1"/>
  <c r="AD321" i="1" s="1"/>
  <c r="M72" i="3"/>
  <c r="K139" i="3" s="1"/>
  <c r="AD314" i="1" s="1"/>
  <c r="M71" i="3"/>
  <c r="K138" i="3" s="1"/>
  <c r="AD307" i="1" s="1"/>
  <c r="M70" i="3"/>
  <c r="K137" i="3" s="1"/>
  <c r="AD300" i="1" s="1"/>
  <c r="AD56" i="1"/>
  <c r="AC31" i="1"/>
  <c r="N213" i="2"/>
  <c r="AB235" i="1" s="1"/>
  <c r="N211" i="2"/>
  <c r="AB232" i="1" s="1"/>
  <c r="N210" i="2"/>
  <c r="AB231" i="1" s="1"/>
  <c r="N207" i="2"/>
  <c r="AB227" i="1" s="1"/>
  <c r="N206" i="2"/>
  <c r="AB226" i="1" s="1"/>
  <c r="V424" i="1"/>
  <c r="X424" i="1" s="1"/>
  <c r="AO424" i="1" s="1"/>
  <c r="U424" i="1"/>
  <c r="W424" i="1" s="1"/>
  <c r="AN424" i="1" s="1"/>
  <c r="V421" i="1"/>
  <c r="X421" i="1" s="1"/>
  <c r="U421" i="1"/>
  <c r="W421" i="1" s="1"/>
  <c r="AN421" i="1" s="1"/>
  <c r="L196" i="19"/>
  <c r="L329" i="19" s="1"/>
  <c r="AK147" i="1" s="1"/>
  <c r="L195" i="19"/>
  <c r="L328" i="19" s="1"/>
  <c r="AK146" i="1" s="1"/>
  <c r="L194" i="19"/>
  <c r="L327" i="19" s="1"/>
  <c r="AK145" i="1" s="1"/>
  <c r="L193" i="19"/>
  <c r="L326" i="19" s="1"/>
  <c r="AK144" i="1" s="1"/>
  <c r="L192" i="19"/>
  <c r="L325" i="19" s="1"/>
  <c r="AK143" i="1" s="1"/>
  <c r="L191" i="19"/>
  <c r="L324" i="19" s="1"/>
  <c r="AK142" i="1" s="1"/>
  <c r="L190" i="19"/>
  <c r="L323" i="19" s="1"/>
  <c r="AK141" i="1" s="1"/>
  <c r="L189" i="19"/>
  <c r="L322" i="19" s="1"/>
  <c r="L188" i="19"/>
  <c r="L321" i="19" s="1"/>
  <c r="AK139" i="1" s="1"/>
  <c r="L187" i="19"/>
  <c r="L320" i="19" s="1"/>
  <c r="AK138" i="1" s="1"/>
  <c r="L186" i="19"/>
  <c r="L319" i="19" s="1"/>
  <c r="AK137" i="1" s="1"/>
  <c r="L185" i="19"/>
  <c r="L318" i="19" s="1"/>
  <c r="AK136" i="1" s="1"/>
  <c r="L184" i="19"/>
  <c r="L317" i="19" s="1"/>
  <c r="AK135" i="1" s="1"/>
  <c r="L183" i="19"/>
  <c r="L316" i="19" s="1"/>
  <c r="AK134" i="1" s="1"/>
  <c r="L182" i="19"/>
  <c r="L315" i="19" s="1"/>
  <c r="AK133" i="1" s="1"/>
  <c r="L181" i="19"/>
  <c r="L314" i="19" s="1"/>
  <c r="L302" i="19"/>
  <c r="AK247" i="1" s="1"/>
  <c r="L301" i="19"/>
  <c r="AK242" i="1" s="1"/>
  <c r="L290" i="19"/>
  <c r="AK187" i="1" s="1"/>
  <c r="L289" i="19"/>
  <c r="AK182" i="1" s="1"/>
  <c r="L288" i="19"/>
  <c r="AK177" i="1" s="1"/>
  <c r="L287" i="19"/>
  <c r="AK172" i="1" s="1"/>
  <c r="L285" i="19"/>
  <c r="AK246" i="1" s="1"/>
  <c r="L284" i="19"/>
  <c r="AK241" i="1" s="1"/>
  <c r="L273" i="19"/>
  <c r="AK186" i="1" s="1"/>
  <c r="L272" i="19"/>
  <c r="AK181" i="1" s="1"/>
  <c r="L271" i="19"/>
  <c r="AK176" i="1" s="1"/>
  <c r="V357" i="1"/>
  <c r="X357" i="1" s="1"/>
  <c r="U357" i="1"/>
  <c r="W357" i="1" s="1"/>
  <c r="AF357" i="1"/>
  <c r="V356" i="1"/>
  <c r="X356" i="1" s="1"/>
  <c r="U356" i="1"/>
  <c r="W356" i="1" s="1"/>
  <c r="AF356" i="1"/>
  <c r="V355" i="1"/>
  <c r="X355" i="1" s="1"/>
  <c r="U355" i="1"/>
  <c r="W355" i="1" s="1"/>
  <c r="AF355" i="1"/>
  <c r="U354" i="1"/>
  <c r="W354" i="1" s="1"/>
  <c r="V354" i="1"/>
  <c r="X354" i="1" s="1"/>
  <c r="AF354" i="1"/>
  <c r="V350" i="1"/>
  <c r="X350" i="1" s="1"/>
  <c r="U350" i="1"/>
  <c r="W350" i="1" s="1"/>
  <c r="AF350" i="1"/>
  <c r="V349" i="1"/>
  <c r="X349" i="1" s="1"/>
  <c r="U349" i="1"/>
  <c r="W349" i="1" s="1"/>
  <c r="AF349" i="1"/>
  <c r="V348" i="1"/>
  <c r="X348" i="1" s="1"/>
  <c r="U348" i="1"/>
  <c r="W348" i="1" s="1"/>
  <c r="AF348" i="1"/>
  <c r="U347" i="1"/>
  <c r="W347" i="1" s="1"/>
  <c r="V347" i="1"/>
  <c r="X347" i="1" s="1"/>
  <c r="L241" i="19"/>
  <c r="AK84" i="1" s="1"/>
  <c r="AF347" i="1"/>
  <c r="V343" i="1"/>
  <c r="X343" i="1" s="1"/>
  <c r="U343" i="1"/>
  <c r="W343" i="1" s="1"/>
  <c r="AF343" i="1"/>
  <c r="V342" i="1"/>
  <c r="X342" i="1" s="1"/>
  <c r="U342" i="1"/>
  <c r="W342" i="1" s="1"/>
  <c r="AF342" i="1"/>
  <c r="V341" i="1"/>
  <c r="X341" i="1" s="1"/>
  <c r="U341" i="1"/>
  <c r="W341" i="1" s="1"/>
  <c r="AF341" i="1"/>
  <c r="U340" i="1"/>
  <c r="W340" i="1" s="1"/>
  <c r="J266" i="19"/>
  <c r="AI375" i="1" s="1"/>
  <c r="V340" i="1"/>
  <c r="X340" i="1" s="1"/>
  <c r="AF340" i="1"/>
  <c r="U230" i="1"/>
  <c r="W230" i="1" s="1"/>
  <c r="AN230" i="1" s="1"/>
  <c r="V230" i="1"/>
  <c r="X230" i="1" s="1"/>
  <c r="U231" i="1"/>
  <c r="W231" i="1" s="1"/>
  <c r="AN231" i="1" s="1"/>
  <c r="V231" i="1"/>
  <c r="X231" i="1" s="1"/>
  <c r="U232" i="1"/>
  <c r="W232" i="1" s="1"/>
  <c r="AN232" i="1" s="1"/>
  <c r="V232" i="1"/>
  <c r="X232" i="1" s="1"/>
  <c r="U227" i="1"/>
  <c r="W227" i="1" s="1"/>
  <c r="AN227" i="1" s="1"/>
  <c r="V227" i="1"/>
  <c r="X227" i="1" s="1"/>
  <c r="U226" i="1"/>
  <c r="W226" i="1" s="1"/>
  <c r="AN226" i="1" s="1"/>
  <c r="V226" i="1"/>
  <c r="X226" i="1" s="1"/>
  <c r="L286" i="19"/>
  <c r="AK167" i="1" s="1"/>
  <c r="U225" i="1"/>
  <c r="W225" i="1" s="1"/>
  <c r="AN225" i="1" s="1"/>
  <c r="V225" i="1"/>
  <c r="X225" i="1" s="1"/>
  <c r="J265" i="19"/>
  <c r="AI368" i="1" s="1"/>
  <c r="J254" i="19"/>
  <c r="AI291" i="1" s="1"/>
  <c r="J253" i="19"/>
  <c r="AI284" i="1" s="1"/>
  <c r="J252" i="19"/>
  <c r="AI277" i="1" s="1"/>
  <c r="N111" i="14"/>
  <c r="AG118" i="1" s="1"/>
  <c r="N110" i="14"/>
  <c r="AG376" i="1" s="1"/>
  <c r="N109" i="14"/>
  <c r="AG369" i="1" s="1"/>
  <c r="N108" i="14"/>
  <c r="AG362" i="1" s="1"/>
  <c r="N107" i="14"/>
  <c r="AG355" i="1" s="1"/>
  <c r="N106" i="14"/>
  <c r="AG348" i="1" s="1"/>
  <c r="N105" i="14"/>
  <c r="AG341" i="1" s="1"/>
  <c r="N104" i="14"/>
  <c r="AG334" i="1" s="1"/>
  <c r="N103" i="14"/>
  <c r="AG327" i="1" s="1"/>
  <c r="N102" i="14"/>
  <c r="AG320" i="1" s="1"/>
  <c r="N101" i="14"/>
  <c r="AG313" i="1" s="1"/>
  <c r="N100" i="14"/>
  <c r="AG306" i="1" s="1"/>
  <c r="N99" i="14"/>
  <c r="AG299" i="1" s="1"/>
  <c r="N98" i="14"/>
  <c r="AG292" i="1" s="1"/>
  <c r="N97" i="14"/>
  <c r="AG285" i="1" s="1"/>
  <c r="N96" i="14"/>
  <c r="AG278" i="1" s="1"/>
  <c r="N95" i="14"/>
  <c r="AG271" i="1" s="1"/>
  <c r="U279" i="4"/>
  <c r="X279" i="4" s="1"/>
  <c r="M216" i="4" s="1"/>
  <c r="AD378" i="1" s="1"/>
  <c r="U278" i="4"/>
  <c r="X278" i="4" s="1"/>
  <c r="M215" i="4" s="1"/>
  <c r="AD371" i="1" s="1"/>
  <c r="U277" i="4"/>
  <c r="X277" i="4" s="1"/>
  <c r="M214" i="4" s="1"/>
  <c r="AD364" i="1" s="1"/>
  <c r="U276" i="4"/>
  <c r="X276" i="4" s="1"/>
  <c r="M213" i="4" s="1"/>
  <c r="AD356" i="1" s="1"/>
  <c r="U275" i="4"/>
  <c r="X275" i="4" s="1"/>
  <c r="M212" i="4" s="1"/>
  <c r="AD349" i="1" s="1"/>
  <c r="U274" i="4"/>
  <c r="X274" i="4" s="1"/>
  <c r="M211" i="4" s="1"/>
  <c r="AD342" i="1" s="1"/>
  <c r="U273" i="4"/>
  <c r="X273" i="4" s="1"/>
  <c r="M210" i="4" s="1"/>
  <c r="U272" i="4"/>
  <c r="X272" i="4" s="1"/>
  <c r="M209" i="4" s="1"/>
  <c r="AD329" i="1" s="1"/>
  <c r="U271" i="4"/>
  <c r="X271" i="4" s="1"/>
  <c r="M208" i="4" s="1"/>
  <c r="AD322" i="1" s="1"/>
  <c r="U270" i="4"/>
  <c r="X270" i="4" s="1"/>
  <c r="M207" i="4" s="1"/>
  <c r="AD315" i="1" s="1"/>
  <c r="U269" i="4"/>
  <c r="X269" i="4" s="1"/>
  <c r="M206" i="4" s="1"/>
  <c r="AD308" i="1" s="1"/>
  <c r="U268" i="4"/>
  <c r="X268" i="4" s="1"/>
  <c r="M205" i="4" s="1"/>
  <c r="AD301" i="1" s="1"/>
  <c r="U267" i="4"/>
  <c r="X267" i="4" s="1"/>
  <c r="M204" i="4" s="1"/>
  <c r="AD294" i="1" s="1"/>
  <c r="U266" i="4"/>
  <c r="X266" i="4" s="1"/>
  <c r="M203" i="4" s="1"/>
  <c r="AD287" i="1" s="1"/>
  <c r="U265" i="4"/>
  <c r="X265" i="4" s="1"/>
  <c r="M202" i="4" s="1"/>
  <c r="AD280" i="1" s="1"/>
  <c r="U264" i="4"/>
  <c r="X264" i="4" s="1"/>
  <c r="M201" i="4" s="1"/>
  <c r="AD273" i="1" s="1"/>
  <c r="L184" i="4"/>
  <c r="M81" i="3"/>
  <c r="K148" i="3" s="1"/>
  <c r="AD377" i="1" s="1"/>
  <c r="M80" i="3"/>
  <c r="K147" i="3" s="1"/>
  <c r="AD370" i="1" s="1"/>
  <c r="M79" i="3"/>
  <c r="K146" i="3" s="1"/>
  <c r="AD363" i="1" s="1"/>
  <c r="M69" i="3"/>
  <c r="K136" i="3" s="1"/>
  <c r="AD293" i="1" s="1"/>
  <c r="M68" i="3"/>
  <c r="K135" i="3" s="1"/>
  <c r="AD286" i="1" s="1"/>
  <c r="M67" i="3"/>
  <c r="K134" i="3" s="1"/>
  <c r="AD279" i="1" s="1"/>
  <c r="M66" i="3"/>
  <c r="K133" i="3" s="1"/>
  <c r="AD272" i="1" s="1"/>
  <c r="M65" i="3"/>
  <c r="K132" i="3" s="1"/>
  <c r="AD263" i="1" s="1"/>
  <c r="M124" i="3"/>
  <c r="AG375" i="1" s="1"/>
  <c r="M123" i="3"/>
  <c r="AG368" i="1" s="1"/>
  <c r="M112" i="3"/>
  <c r="AG291" i="1" s="1"/>
  <c r="M111" i="3"/>
  <c r="AG284" i="1" s="1"/>
  <c r="M110" i="3"/>
  <c r="AG277" i="1" s="1"/>
  <c r="M109" i="3"/>
  <c r="AG270" i="1" s="1"/>
  <c r="J70" i="5"/>
  <c r="AD375" i="1" s="1"/>
  <c r="J69" i="5"/>
  <c r="AD368" i="1" s="1"/>
  <c r="J68" i="5"/>
  <c r="AD361" i="1" s="1"/>
  <c r="J65" i="5"/>
  <c r="AD340" i="1" s="1"/>
  <c r="J64" i="5"/>
  <c r="AD333" i="1" s="1"/>
  <c r="J63" i="5"/>
  <c r="AD326" i="1" s="1"/>
  <c r="J62" i="5"/>
  <c r="AD319" i="1" s="1"/>
  <c r="J61" i="5"/>
  <c r="AD312" i="1" s="1"/>
  <c r="J60" i="5"/>
  <c r="AD305" i="1" s="1"/>
  <c r="J59" i="5"/>
  <c r="AD298" i="1" s="1"/>
  <c r="J58" i="5"/>
  <c r="AD291" i="1" s="1"/>
  <c r="J57" i="5"/>
  <c r="AD284" i="1" s="1"/>
  <c r="J56" i="5"/>
  <c r="AD277" i="1" s="1"/>
  <c r="J55" i="5"/>
  <c r="AD270" i="1" s="1"/>
  <c r="J54" i="5"/>
  <c r="AD262" i="1" s="1"/>
  <c r="N209" i="2"/>
  <c r="AB230" i="1" s="1"/>
  <c r="N205" i="2"/>
  <c r="AB225" i="1" s="1"/>
  <c r="N226" i="2"/>
  <c r="AB251" i="1" s="1"/>
  <c r="K102" i="3"/>
  <c r="AD29" i="1" s="1"/>
  <c r="M125" i="3"/>
  <c r="AG384" i="1" s="1"/>
  <c r="M93" i="4"/>
  <c r="O93" i="4"/>
  <c r="P93" i="4"/>
  <c r="Q93" i="4"/>
  <c r="R93" i="4"/>
  <c r="S93" i="4"/>
  <c r="O226" i="4"/>
  <c r="AG423" i="1" s="1"/>
  <c r="U262" i="4"/>
  <c r="X262" i="4" s="1"/>
  <c r="M226" i="4" s="1"/>
  <c r="AD418" i="1" s="1"/>
  <c r="V423" i="1"/>
  <c r="X423" i="1" s="1"/>
  <c r="N233" i="2"/>
  <c r="AB423" i="1" s="1"/>
  <c r="U423" i="1"/>
  <c r="W423" i="1" s="1"/>
  <c r="AN423" i="1" s="1"/>
  <c r="U417" i="1"/>
  <c r="W417" i="1" s="1"/>
  <c r="U418" i="1"/>
  <c r="W418" i="1" s="1"/>
  <c r="V417" i="1"/>
  <c r="X417" i="1" s="1"/>
  <c r="AO417" i="1" s="1"/>
  <c r="V418" i="1"/>
  <c r="X418" i="1" s="1"/>
  <c r="AO418" i="1" s="1"/>
  <c r="U263" i="4"/>
  <c r="X263" i="4" s="1"/>
  <c r="M200" i="4" s="1"/>
  <c r="AD264" i="1" s="1"/>
  <c r="V262" i="4"/>
  <c r="Y262" i="4" s="1"/>
  <c r="V260" i="4"/>
  <c r="V259" i="4"/>
  <c r="V258" i="4"/>
  <c r="V257" i="4"/>
  <c r="V256" i="4"/>
  <c r="V255" i="4"/>
  <c r="V254" i="4"/>
  <c r="V253" i="4"/>
  <c r="U251" i="4"/>
  <c r="X251" i="4" s="1"/>
  <c r="O198" i="4" s="1"/>
  <c r="L54" i="4"/>
  <c r="L60" i="4" s="1"/>
  <c r="M54" i="4"/>
  <c r="M60" i="4" s="1"/>
  <c r="O54" i="4"/>
  <c r="O60" i="4" s="1"/>
  <c r="P54" i="4"/>
  <c r="P60" i="4" s="1"/>
  <c r="Q54" i="4"/>
  <c r="Q60" i="4" s="1"/>
  <c r="R54" i="4"/>
  <c r="R60" i="4" s="1"/>
  <c r="S54" i="4"/>
  <c r="S60" i="4" s="1"/>
  <c r="M259" i="4"/>
  <c r="P259" i="4"/>
  <c r="R259" i="4"/>
  <c r="T259" i="4"/>
  <c r="M258" i="4"/>
  <c r="P258" i="4"/>
  <c r="R258" i="4"/>
  <c r="T258" i="4"/>
  <c r="M257" i="4"/>
  <c r="P257" i="4"/>
  <c r="R257" i="4"/>
  <c r="T257" i="4"/>
  <c r="M256" i="4"/>
  <c r="P256" i="4"/>
  <c r="R256" i="4"/>
  <c r="T256" i="4"/>
  <c r="M255" i="4"/>
  <c r="P255" i="4"/>
  <c r="R255" i="4"/>
  <c r="T255" i="4"/>
  <c r="M254" i="4"/>
  <c r="P254" i="4"/>
  <c r="R254" i="4"/>
  <c r="T254" i="4"/>
  <c r="M253" i="4"/>
  <c r="P253" i="4"/>
  <c r="R253" i="4"/>
  <c r="L35" i="4"/>
  <c r="L39" i="4" s="1"/>
  <c r="M35" i="4"/>
  <c r="M39" i="4" s="1"/>
  <c r="O35" i="4"/>
  <c r="O39" i="4" s="1"/>
  <c r="P35" i="4"/>
  <c r="P39" i="4" s="1"/>
  <c r="Q35" i="4"/>
  <c r="Q39" i="4" s="1"/>
  <c r="R35" i="4"/>
  <c r="R39" i="4" s="1"/>
  <c r="S35" i="4"/>
  <c r="S39" i="4" s="1"/>
  <c r="L242" i="4"/>
  <c r="O242" i="4"/>
  <c r="Q242" i="4"/>
  <c r="S242" i="4"/>
  <c r="L243" i="4"/>
  <c r="O243" i="4"/>
  <c r="Q243" i="4"/>
  <c r="S243" i="4"/>
  <c r="L244" i="4"/>
  <c r="O244" i="4"/>
  <c r="Q244" i="4"/>
  <c r="S244" i="4"/>
  <c r="L245" i="4"/>
  <c r="O245" i="4"/>
  <c r="Q245" i="4"/>
  <c r="S245" i="4"/>
  <c r="L246" i="4"/>
  <c r="O246" i="4"/>
  <c r="Q246" i="4"/>
  <c r="S246" i="4"/>
  <c r="L247" i="4"/>
  <c r="O247" i="4"/>
  <c r="Q247" i="4"/>
  <c r="S247" i="4"/>
  <c r="L248" i="4"/>
  <c r="O248" i="4"/>
  <c r="O249" i="4"/>
  <c r="X249" i="4" s="1"/>
  <c r="M196" i="4" s="1"/>
  <c r="AD255" i="1" s="1"/>
  <c r="S252" i="4"/>
  <c r="X252" i="4" s="1"/>
  <c r="M199" i="4" s="1"/>
  <c r="AD403" i="1" s="1"/>
  <c r="Q253" i="4"/>
  <c r="X253" i="4" s="1"/>
  <c r="M217" i="4" s="1"/>
  <c r="AD26" i="1" s="1"/>
  <c r="Q254" i="4"/>
  <c r="X254" i="4" s="1"/>
  <c r="M218" i="4" s="1"/>
  <c r="AD30" i="1" s="1"/>
  <c r="Q255" i="4"/>
  <c r="X255" i="4" s="1"/>
  <c r="M219" i="4" s="1"/>
  <c r="AD35" i="1" s="1"/>
  <c r="Q256" i="4"/>
  <c r="X256" i="4" s="1"/>
  <c r="M220" i="4" s="1"/>
  <c r="AD45" i="1" s="1"/>
  <c r="Q257" i="4"/>
  <c r="X257" i="4" s="1"/>
  <c r="M221" i="4" s="1"/>
  <c r="AD40" i="1" s="1"/>
  <c r="Q258" i="4"/>
  <c r="X258" i="4" s="1"/>
  <c r="M222" i="4" s="1"/>
  <c r="AD50" i="1" s="1"/>
  <c r="Q259" i="4"/>
  <c r="X259" i="4" s="1"/>
  <c r="M223" i="4" s="1"/>
  <c r="AD55" i="1" s="1"/>
  <c r="M129" i="4"/>
  <c r="L122" i="4"/>
  <c r="M122" i="4"/>
  <c r="O122" i="4"/>
  <c r="P122" i="4"/>
  <c r="Q135" i="4"/>
  <c r="H146" i="4"/>
  <c r="X144" i="4"/>
  <c r="M132" i="4"/>
  <c r="Q132" i="4" s="1"/>
  <c r="I32" i="24"/>
  <c r="N154" i="19"/>
  <c r="L309" i="19" s="1"/>
  <c r="AK127" i="1" s="1"/>
  <c r="K101" i="3"/>
  <c r="AD28" i="1" s="1"/>
  <c r="K100" i="3"/>
  <c r="AD25" i="1" s="1"/>
  <c r="K105" i="3"/>
  <c r="AD39" i="1" s="1"/>
  <c r="M23" i="3"/>
  <c r="M127" i="3"/>
  <c r="AG388" i="1" s="1"/>
  <c r="M87" i="3"/>
  <c r="M161" i="3" s="1"/>
  <c r="C33" i="2"/>
  <c r="B153" i="2" s="1"/>
  <c r="C32" i="2"/>
  <c r="B152" i="2" s="1"/>
  <c r="N231" i="2"/>
  <c r="AB255" i="1" s="1"/>
  <c r="N228" i="2"/>
  <c r="AB253" i="1" s="1"/>
  <c r="N230" i="2"/>
  <c r="AB257" i="1" s="1"/>
  <c r="N229" i="2"/>
  <c r="AB254" i="1" s="1"/>
  <c r="N227" i="2"/>
  <c r="AB252" i="1" s="1"/>
  <c r="N225" i="2"/>
  <c r="AB250" i="1" s="1"/>
  <c r="L150" i="2"/>
  <c r="AA156" i="1" s="1"/>
  <c r="N223" i="2"/>
  <c r="AB247" i="1" s="1"/>
  <c r="N222" i="2"/>
  <c r="AB246" i="1" s="1"/>
  <c r="N221" i="2"/>
  <c r="AB409" i="1" s="1"/>
  <c r="N215" i="2"/>
  <c r="AB237" i="1" s="1"/>
  <c r="N214" i="2"/>
  <c r="AB236" i="1" s="1"/>
  <c r="N219" i="2"/>
  <c r="AB242" i="1" s="1"/>
  <c r="N218" i="2"/>
  <c r="AB241" i="1" s="1"/>
  <c r="N217" i="2"/>
  <c r="AB240" i="1" s="1"/>
  <c r="N203" i="2"/>
  <c r="AB222" i="1" s="1"/>
  <c r="N202" i="2"/>
  <c r="AB221" i="1" s="1"/>
  <c r="N201" i="2"/>
  <c r="AB220" i="1" s="1"/>
  <c r="N197" i="2"/>
  <c r="AB215" i="1" s="1"/>
  <c r="N195" i="2"/>
  <c r="AB212" i="1" s="1"/>
  <c r="N194" i="2"/>
  <c r="AB211" i="1" s="1"/>
  <c r="N193" i="2"/>
  <c r="AB210" i="1" s="1"/>
  <c r="N191" i="2"/>
  <c r="AB207" i="1" s="1"/>
  <c r="N190" i="2"/>
  <c r="AB206" i="1" s="1"/>
  <c r="N189" i="2"/>
  <c r="AB205" i="1" s="1"/>
  <c r="N187" i="2"/>
  <c r="AB202" i="1" s="1"/>
  <c r="N186" i="2"/>
  <c r="AB201" i="1" s="1"/>
  <c r="N183" i="2"/>
  <c r="AB197" i="1" s="1"/>
  <c r="N182" i="2"/>
  <c r="AB196" i="1" s="1"/>
  <c r="N181" i="2"/>
  <c r="AB195" i="1" s="1"/>
  <c r="N179" i="2"/>
  <c r="AB192" i="1" s="1"/>
  <c r="N178" i="2"/>
  <c r="AB191" i="1" s="1"/>
  <c r="N177" i="2"/>
  <c r="AB190" i="1" s="1"/>
  <c r="N175" i="2"/>
  <c r="AB187" i="1" s="1"/>
  <c r="N174" i="2"/>
  <c r="AB186" i="1" s="1"/>
  <c r="N173" i="2"/>
  <c r="AB185" i="1" s="1"/>
  <c r="N171" i="2"/>
  <c r="AB182" i="1" s="1"/>
  <c r="N170" i="2"/>
  <c r="AB181" i="1" s="1"/>
  <c r="N169" i="2"/>
  <c r="AB180" i="1" s="1"/>
  <c r="N167" i="2"/>
  <c r="AB177" i="1" s="1"/>
  <c r="L155" i="2"/>
  <c r="AA161" i="1" s="1"/>
  <c r="L154" i="2"/>
  <c r="AA160" i="1" s="1"/>
  <c r="L153" i="2"/>
  <c r="AA159" i="1" s="1"/>
  <c r="L152" i="2"/>
  <c r="AA158" i="1" s="1"/>
  <c r="L148" i="2"/>
  <c r="AA153" i="1" s="1"/>
  <c r="N157" i="2"/>
  <c r="AB165" i="1" s="1"/>
  <c r="N159" i="2"/>
  <c r="AB167" i="1" s="1"/>
  <c r="N161" i="2"/>
  <c r="AB170" i="1" s="1"/>
  <c r="N162" i="2"/>
  <c r="AB171" i="1" s="1"/>
  <c r="N163" i="2"/>
  <c r="AB172" i="1" s="1"/>
  <c r="N165" i="2"/>
  <c r="AB175" i="1" s="1"/>
  <c r="N232" i="2"/>
  <c r="AB420" i="1" s="1"/>
  <c r="L149" i="2"/>
  <c r="AA154" i="1" s="1"/>
  <c r="L151" i="2"/>
  <c r="AA157" i="1" s="1"/>
  <c r="K234" i="2"/>
  <c r="J71" i="5"/>
  <c r="AD398" i="1" s="1"/>
  <c r="L73" i="5"/>
  <c r="AG32" i="1" s="1"/>
  <c r="L74" i="5"/>
  <c r="AG37" i="1" s="1"/>
  <c r="L75" i="5"/>
  <c r="AG47" i="1" s="1"/>
  <c r="L76" i="5"/>
  <c r="AG42" i="1" s="1"/>
  <c r="L77" i="5"/>
  <c r="AG52" i="1" s="1"/>
  <c r="L78" i="5"/>
  <c r="AG57" i="1" s="1"/>
  <c r="G48" i="5"/>
  <c r="C29" i="24"/>
  <c r="C67" i="24" s="1"/>
  <c r="K72" i="24"/>
  <c r="Z92" i="1" s="1"/>
  <c r="K73" i="24"/>
  <c r="Z95" i="1" s="1"/>
  <c r="I55" i="24"/>
  <c r="Y25" i="1" s="1"/>
  <c r="I56" i="24"/>
  <c r="Y28" i="1" s="1"/>
  <c r="I57" i="24"/>
  <c r="Y29" i="1" s="1"/>
  <c r="I59" i="24"/>
  <c r="Y34" i="1" s="1"/>
  <c r="I61" i="24"/>
  <c r="Y39" i="1" s="1"/>
  <c r="I63" i="24"/>
  <c r="Y44" i="1" s="1"/>
  <c r="I65" i="24"/>
  <c r="Y49" i="1" s="1"/>
  <c r="I67" i="24"/>
  <c r="K60" i="24"/>
  <c r="Z37" i="1" s="1"/>
  <c r="K62" i="24"/>
  <c r="Z42" i="1" s="1"/>
  <c r="K64" i="24"/>
  <c r="Z47" i="1" s="1"/>
  <c r="K66" i="24"/>
  <c r="Z52" i="1" s="1"/>
  <c r="K68" i="24"/>
  <c r="H32" i="24"/>
  <c r="H48" i="24"/>
  <c r="C46" i="24"/>
  <c r="C80" i="24" s="1"/>
  <c r="C45" i="24"/>
  <c r="C79" i="24" s="1"/>
  <c r="M162" i="3"/>
  <c r="AG421" i="1" s="1"/>
  <c r="M163" i="3"/>
  <c r="AG402" i="1" s="1"/>
  <c r="M63" i="3"/>
  <c r="K130" i="3" s="1"/>
  <c r="AD392" i="1" s="1"/>
  <c r="M64" i="3"/>
  <c r="I24" i="3"/>
  <c r="M126" i="3"/>
  <c r="AG386" i="1" s="1"/>
  <c r="K160" i="3"/>
  <c r="K159" i="3"/>
  <c r="AD51" i="1" s="1"/>
  <c r="K158" i="3"/>
  <c r="AD41" i="1" s="1"/>
  <c r="K157" i="3"/>
  <c r="AD46" i="1" s="1"/>
  <c r="K156" i="3"/>
  <c r="AD36" i="1" s="1"/>
  <c r="K155" i="3"/>
  <c r="AD31" i="1" s="1"/>
  <c r="K154" i="3"/>
  <c r="AD27" i="1" s="1"/>
  <c r="F82" i="3"/>
  <c r="K82" i="3"/>
  <c r="I82" i="3"/>
  <c r="M108" i="3"/>
  <c r="AG262" i="1" s="1"/>
  <c r="K107" i="3"/>
  <c r="AD54" i="1" s="1"/>
  <c r="K106" i="3"/>
  <c r="AD49" i="1" s="1"/>
  <c r="K104" i="3"/>
  <c r="AD34" i="1" s="1"/>
  <c r="K103" i="3"/>
  <c r="AD44" i="1" s="1"/>
  <c r="M149" i="3"/>
  <c r="AG385" i="1" s="1"/>
  <c r="M151" i="3"/>
  <c r="AG389" i="1" s="1"/>
  <c r="AC403" i="1"/>
  <c r="AF402" i="1"/>
  <c r="AF421" i="1"/>
  <c r="AH334" i="1"/>
  <c r="U123" i="1"/>
  <c r="W123" i="1" s="1"/>
  <c r="AN123" i="1" s="1"/>
  <c r="V123" i="1"/>
  <c r="X123" i="1" s="1"/>
  <c r="AO123" i="1" s="1"/>
  <c r="U166" i="1"/>
  <c r="W166" i="1" s="1"/>
  <c r="AN166" i="1" s="1"/>
  <c r="V166" i="1"/>
  <c r="X166" i="1" s="1"/>
  <c r="L269" i="19"/>
  <c r="AK166" i="1" s="1"/>
  <c r="U405" i="1"/>
  <c r="W405" i="1" s="1"/>
  <c r="V405" i="1"/>
  <c r="X405" i="1" s="1"/>
  <c r="AO405" i="1" s="1"/>
  <c r="U394" i="1"/>
  <c r="W394" i="1" s="1"/>
  <c r="U395" i="1"/>
  <c r="W395" i="1" s="1"/>
  <c r="U396" i="1"/>
  <c r="W396" i="1" s="1"/>
  <c r="V394" i="1"/>
  <c r="X394" i="1" s="1"/>
  <c r="J125" i="19"/>
  <c r="L267" i="19" s="1"/>
  <c r="AK394" i="1" s="1"/>
  <c r="V395" i="1"/>
  <c r="X395" i="1" s="1"/>
  <c r="AO395" i="1" s="1"/>
  <c r="V396" i="1"/>
  <c r="X396" i="1" s="1"/>
  <c r="AO396" i="1" s="1"/>
  <c r="U392" i="1"/>
  <c r="W392" i="1" s="1"/>
  <c r="U393" i="1"/>
  <c r="W393" i="1" s="1"/>
  <c r="V392" i="1"/>
  <c r="X392" i="1" s="1"/>
  <c r="V393" i="1"/>
  <c r="X393" i="1" s="1"/>
  <c r="AO393" i="1" s="1"/>
  <c r="U384" i="1"/>
  <c r="W384" i="1" s="1"/>
  <c r="AN384" i="1" s="1"/>
  <c r="U385" i="1"/>
  <c r="W385" i="1" s="1"/>
  <c r="AN385" i="1" s="1"/>
  <c r="V384" i="1"/>
  <c r="X384" i="1" s="1"/>
  <c r="V385" i="1"/>
  <c r="X385" i="1" s="1"/>
  <c r="U376" i="1"/>
  <c r="W376" i="1" s="1"/>
  <c r="U377" i="1"/>
  <c r="W377" i="1" s="1"/>
  <c r="U378" i="1"/>
  <c r="W378" i="1" s="1"/>
  <c r="L230" i="19"/>
  <c r="V376" i="1"/>
  <c r="X376" i="1" s="1"/>
  <c r="V377" i="1"/>
  <c r="X377" i="1" s="1"/>
  <c r="V378" i="1"/>
  <c r="X378" i="1" s="1"/>
  <c r="U368" i="1"/>
  <c r="W368" i="1" s="1"/>
  <c r="U369" i="1"/>
  <c r="W369" i="1" s="1"/>
  <c r="U370" i="1"/>
  <c r="W370" i="1" s="1"/>
  <c r="U371" i="1"/>
  <c r="W371" i="1" s="1"/>
  <c r="V368" i="1"/>
  <c r="X368" i="1" s="1"/>
  <c r="V369" i="1"/>
  <c r="X369" i="1" s="1"/>
  <c r="V370" i="1"/>
  <c r="X370" i="1" s="1"/>
  <c r="V371" i="1"/>
  <c r="X371" i="1" s="1"/>
  <c r="U361" i="1"/>
  <c r="W361" i="1" s="1"/>
  <c r="U362" i="1"/>
  <c r="W362" i="1" s="1"/>
  <c r="U363" i="1"/>
  <c r="W363" i="1" s="1"/>
  <c r="U364" i="1"/>
  <c r="W364" i="1" s="1"/>
  <c r="V361" i="1"/>
  <c r="X361" i="1" s="1"/>
  <c r="V362" i="1"/>
  <c r="X362" i="1" s="1"/>
  <c r="V363" i="1"/>
  <c r="X363" i="1" s="1"/>
  <c r="V364" i="1"/>
  <c r="X364" i="1" s="1"/>
  <c r="U326" i="1"/>
  <c r="W326" i="1" s="1"/>
  <c r="U327" i="1"/>
  <c r="W327" i="1" s="1"/>
  <c r="U328" i="1"/>
  <c r="W328" i="1" s="1"/>
  <c r="U329" i="1"/>
  <c r="W329" i="1" s="1"/>
  <c r="V326" i="1"/>
  <c r="X326" i="1" s="1"/>
  <c r="V327" i="1"/>
  <c r="X327" i="1" s="1"/>
  <c r="V328" i="1"/>
  <c r="X328" i="1" s="1"/>
  <c r="V329" i="1"/>
  <c r="X329" i="1" s="1"/>
  <c r="U312" i="1"/>
  <c r="W312" i="1" s="1"/>
  <c r="U313" i="1"/>
  <c r="W313" i="1" s="1"/>
  <c r="U314" i="1"/>
  <c r="W314" i="1" s="1"/>
  <c r="U315" i="1"/>
  <c r="W315" i="1" s="1"/>
  <c r="V312" i="1"/>
  <c r="X312" i="1" s="1"/>
  <c r="V313" i="1"/>
  <c r="X313" i="1" s="1"/>
  <c r="V314" i="1"/>
  <c r="X314" i="1" s="1"/>
  <c r="V315" i="1"/>
  <c r="X315" i="1" s="1"/>
  <c r="U305" i="1"/>
  <c r="W305" i="1" s="1"/>
  <c r="U306" i="1"/>
  <c r="W306" i="1" s="1"/>
  <c r="U307" i="1"/>
  <c r="W307" i="1" s="1"/>
  <c r="U308" i="1"/>
  <c r="W308" i="1" s="1"/>
  <c r="V305" i="1"/>
  <c r="X305" i="1" s="1"/>
  <c r="V306" i="1"/>
  <c r="X306" i="1" s="1"/>
  <c r="V307" i="1"/>
  <c r="X307" i="1" s="1"/>
  <c r="V308" i="1"/>
  <c r="X308" i="1" s="1"/>
  <c r="U298" i="1"/>
  <c r="W298" i="1" s="1"/>
  <c r="U299" i="1"/>
  <c r="W299" i="1" s="1"/>
  <c r="U300" i="1"/>
  <c r="W300" i="1" s="1"/>
  <c r="U301" i="1"/>
  <c r="W301" i="1" s="1"/>
  <c r="V298" i="1"/>
  <c r="X298" i="1" s="1"/>
  <c r="V299" i="1"/>
  <c r="X299" i="1" s="1"/>
  <c r="V300" i="1"/>
  <c r="X300" i="1" s="1"/>
  <c r="V301" i="1"/>
  <c r="X301" i="1" s="1"/>
  <c r="U291" i="1"/>
  <c r="W291" i="1" s="1"/>
  <c r="U292" i="1"/>
  <c r="W292" i="1" s="1"/>
  <c r="U293" i="1"/>
  <c r="W293" i="1" s="1"/>
  <c r="U294" i="1"/>
  <c r="W294" i="1" s="1"/>
  <c r="V291" i="1"/>
  <c r="X291" i="1" s="1"/>
  <c r="V292" i="1"/>
  <c r="X292" i="1" s="1"/>
  <c r="V293" i="1"/>
  <c r="X293" i="1" s="1"/>
  <c r="V294" i="1"/>
  <c r="X294" i="1" s="1"/>
  <c r="U284" i="1"/>
  <c r="W284" i="1" s="1"/>
  <c r="U285" i="1"/>
  <c r="W285" i="1" s="1"/>
  <c r="U286" i="1"/>
  <c r="W286" i="1" s="1"/>
  <c r="U287" i="1"/>
  <c r="W287" i="1" s="1"/>
  <c r="V284" i="1"/>
  <c r="X284" i="1" s="1"/>
  <c r="V285" i="1"/>
  <c r="X285" i="1" s="1"/>
  <c r="V286" i="1"/>
  <c r="X286" i="1" s="1"/>
  <c r="V287" i="1"/>
  <c r="X287" i="1" s="1"/>
  <c r="U277" i="1"/>
  <c r="W277" i="1" s="1"/>
  <c r="U278" i="1"/>
  <c r="W278" i="1" s="1"/>
  <c r="U279" i="1"/>
  <c r="W279" i="1" s="1"/>
  <c r="U280" i="1"/>
  <c r="W280" i="1" s="1"/>
  <c r="V277" i="1"/>
  <c r="X277" i="1" s="1"/>
  <c r="V278" i="1"/>
  <c r="X278" i="1" s="1"/>
  <c r="V279" i="1"/>
  <c r="X279" i="1" s="1"/>
  <c r="V280" i="1"/>
  <c r="X280" i="1" s="1"/>
  <c r="U270" i="1"/>
  <c r="W270" i="1" s="1"/>
  <c r="J251" i="19"/>
  <c r="AI270" i="1" s="1"/>
  <c r="U271" i="1"/>
  <c r="W271" i="1" s="1"/>
  <c r="U272" i="1"/>
  <c r="W272" i="1" s="1"/>
  <c r="U273" i="1"/>
  <c r="W273" i="1" s="1"/>
  <c r="V270" i="1"/>
  <c r="X270" i="1" s="1"/>
  <c r="V271" i="1"/>
  <c r="X271" i="1" s="1"/>
  <c r="V272" i="1"/>
  <c r="X272" i="1" s="1"/>
  <c r="V273" i="1"/>
  <c r="X273" i="1" s="1"/>
  <c r="U262" i="1"/>
  <c r="W262" i="1" s="1"/>
  <c r="AN262" i="1" s="1"/>
  <c r="J250" i="19"/>
  <c r="AI262" i="1" s="1"/>
  <c r="U263" i="1"/>
  <c r="W263" i="1" s="1"/>
  <c r="U264" i="1"/>
  <c r="W264" i="1" s="1"/>
  <c r="U265" i="1"/>
  <c r="W265" i="1" s="1"/>
  <c r="V262" i="1"/>
  <c r="X262" i="1" s="1"/>
  <c r="V263" i="1"/>
  <c r="X263" i="1" s="1"/>
  <c r="N94" i="14"/>
  <c r="AG263" i="1" s="1"/>
  <c r="V264" i="1"/>
  <c r="X264" i="1" s="1"/>
  <c r="V265" i="1"/>
  <c r="X265" i="1" s="1"/>
  <c r="U246" i="1"/>
  <c r="W246" i="1" s="1"/>
  <c r="AN246" i="1" s="1"/>
  <c r="V246" i="1"/>
  <c r="X246" i="1" s="1"/>
  <c r="U241" i="1"/>
  <c r="W241" i="1" s="1"/>
  <c r="AN241" i="1" s="1"/>
  <c r="V241" i="1"/>
  <c r="X241" i="1" s="1"/>
  <c r="U236" i="1"/>
  <c r="W236" i="1" s="1"/>
  <c r="AN236" i="1" s="1"/>
  <c r="V236" i="1"/>
  <c r="X236" i="1" s="1"/>
  <c r="U221" i="1"/>
  <c r="W221" i="1" s="1"/>
  <c r="AN221" i="1" s="1"/>
  <c r="V221" i="1"/>
  <c r="X221" i="1" s="1"/>
  <c r="U216" i="1"/>
  <c r="W216" i="1" s="1"/>
  <c r="AN216" i="1" s="1"/>
  <c r="V216" i="1"/>
  <c r="X216" i="1" s="1"/>
  <c r="U211" i="1"/>
  <c r="W211" i="1" s="1"/>
  <c r="AN211" i="1" s="1"/>
  <c r="V211" i="1"/>
  <c r="X211" i="1" s="1"/>
  <c r="U206" i="1"/>
  <c r="W206" i="1" s="1"/>
  <c r="AN206" i="1" s="1"/>
  <c r="V206" i="1"/>
  <c r="X206" i="1" s="1"/>
  <c r="U201" i="1"/>
  <c r="W201" i="1" s="1"/>
  <c r="AN201" i="1" s="1"/>
  <c r="V201" i="1"/>
  <c r="X201" i="1" s="1"/>
  <c r="U196" i="1"/>
  <c r="W196" i="1" s="1"/>
  <c r="AN196" i="1" s="1"/>
  <c r="V196" i="1"/>
  <c r="X196" i="1" s="1"/>
  <c r="U191" i="1"/>
  <c r="W191" i="1" s="1"/>
  <c r="AN191" i="1" s="1"/>
  <c r="V191" i="1"/>
  <c r="X191" i="1" s="1"/>
  <c r="U186" i="1"/>
  <c r="W186" i="1" s="1"/>
  <c r="AN186" i="1" s="1"/>
  <c r="V186" i="1"/>
  <c r="X186" i="1" s="1"/>
  <c r="U181" i="1"/>
  <c r="W181" i="1" s="1"/>
  <c r="AN181" i="1" s="1"/>
  <c r="V181" i="1"/>
  <c r="X181" i="1" s="1"/>
  <c r="U176" i="1"/>
  <c r="W176" i="1" s="1"/>
  <c r="AN176" i="1" s="1"/>
  <c r="V176" i="1"/>
  <c r="X176" i="1" s="1"/>
  <c r="U171" i="1"/>
  <c r="W171" i="1" s="1"/>
  <c r="AN171" i="1" s="1"/>
  <c r="V171" i="1"/>
  <c r="X171" i="1" s="1"/>
  <c r="L270" i="19"/>
  <c r="AK171" i="1" s="1"/>
  <c r="V389" i="1"/>
  <c r="X389" i="1" s="1"/>
  <c r="U389" i="1"/>
  <c r="W389" i="1" s="1"/>
  <c r="AN389" i="1" s="1"/>
  <c r="U167" i="1"/>
  <c r="W167" i="1" s="1"/>
  <c r="AN167" i="1" s="1"/>
  <c r="V167" i="1"/>
  <c r="X167" i="1" s="1"/>
  <c r="U107" i="1"/>
  <c r="W107" i="1" s="1"/>
  <c r="AN107" i="1" s="1"/>
  <c r="V107" i="1"/>
  <c r="X107" i="1" s="1"/>
  <c r="AO107" i="1" s="1"/>
  <c r="U19" i="1"/>
  <c r="W19" i="1" s="1"/>
  <c r="L221" i="19"/>
  <c r="AK17" i="1" s="1"/>
  <c r="L222" i="19"/>
  <c r="J218" i="19"/>
  <c r="AI81" i="1" s="1"/>
  <c r="J219" i="19"/>
  <c r="AI75" i="1" s="1"/>
  <c r="V19" i="1"/>
  <c r="X19" i="1" s="1"/>
  <c r="AO19" i="1" s="1"/>
  <c r="C91" i="1"/>
  <c r="C90" i="1"/>
  <c r="N93" i="14"/>
  <c r="AF257" i="1"/>
  <c r="AF378" i="1"/>
  <c r="AF371" i="1"/>
  <c r="AF364" i="1"/>
  <c r="AF336" i="1"/>
  <c r="AF329" i="1"/>
  <c r="AF322" i="1"/>
  <c r="AF315" i="1"/>
  <c r="AF308" i="1"/>
  <c r="AF301" i="1"/>
  <c r="AF294" i="1"/>
  <c r="AF287" i="1"/>
  <c r="AF280" i="1"/>
  <c r="AF273" i="1"/>
  <c r="AF265" i="1"/>
  <c r="AC395" i="1"/>
  <c r="AC393" i="1"/>
  <c r="AF314" i="1"/>
  <c r="AF83" i="1"/>
  <c r="AF394" i="1"/>
  <c r="AC394" i="1"/>
  <c r="AC83" i="1"/>
  <c r="AC396" i="1"/>
  <c r="AC392" i="1"/>
  <c r="AF255" i="1"/>
  <c r="AC56" i="1"/>
  <c r="AC51" i="1"/>
  <c r="AC46" i="1"/>
  <c r="AC41" i="1"/>
  <c r="AC36" i="1"/>
  <c r="AC27" i="1"/>
  <c r="U8" i="1"/>
  <c r="W8" i="1" s="1"/>
  <c r="AN8" i="1" s="1"/>
  <c r="V8" i="1"/>
  <c r="X8" i="1" s="1"/>
  <c r="AO8" i="1" s="1"/>
  <c r="U9" i="1"/>
  <c r="W9" i="1" s="1"/>
  <c r="AN9" i="1" s="1"/>
  <c r="V9" i="1"/>
  <c r="X9" i="1" s="1"/>
  <c r="AO9" i="1" s="1"/>
  <c r="U11" i="1"/>
  <c r="W11" i="1" s="1"/>
  <c r="V11" i="1"/>
  <c r="X11" i="1" s="1"/>
  <c r="AO11" i="1" s="1"/>
  <c r="AC11" i="1"/>
  <c r="U12" i="1"/>
  <c r="W12" i="1" s="1"/>
  <c r="AN12" i="1" s="1"/>
  <c r="V12" i="1"/>
  <c r="X12" i="1" s="1"/>
  <c r="U13" i="1"/>
  <c r="W13" i="1" s="1"/>
  <c r="AN13" i="1" s="1"/>
  <c r="V13" i="1"/>
  <c r="X13" i="1" s="1"/>
  <c r="U14" i="1"/>
  <c r="W14" i="1" s="1"/>
  <c r="AN14" i="1" s="1"/>
  <c r="V14" i="1"/>
  <c r="X14" i="1" s="1"/>
  <c r="U15" i="1"/>
  <c r="W15" i="1" s="1"/>
  <c r="V15" i="1"/>
  <c r="X15" i="1" s="1"/>
  <c r="AO15" i="1" s="1"/>
  <c r="U16" i="1"/>
  <c r="W16" i="1" s="1"/>
  <c r="AN16" i="1" s="1"/>
  <c r="V16" i="1"/>
  <c r="X16" i="1" s="1"/>
  <c r="AO16" i="1" s="1"/>
  <c r="U17" i="1"/>
  <c r="W17" i="1" s="1"/>
  <c r="AN17" i="1" s="1"/>
  <c r="V17" i="1"/>
  <c r="X17" i="1" s="1"/>
  <c r="U18" i="1"/>
  <c r="W18" i="1" s="1"/>
  <c r="AN18" i="1" s="1"/>
  <c r="V18" i="1"/>
  <c r="X18" i="1" s="1"/>
  <c r="U20" i="1"/>
  <c r="W20" i="1" s="1"/>
  <c r="AN20" i="1" s="1"/>
  <c r="V20" i="1"/>
  <c r="X20" i="1" s="1"/>
  <c r="AO20" i="1" s="1"/>
  <c r="U21" i="1"/>
  <c r="W21" i="1" s="1"/>
  <c r="AN21" i="1" s="1"/>
  <c r="V21" i="1"/>
  <c r="X21" i="1" s="1"/>
  <c r="AO21" i="1" s="1"/>
  <c r="U22" i="1"/>
  <c r="W22" i="1" s="1"/>
  <c r="AN22" i="1" s="1"/>
  <c r="V22" i="1"/>
  <c r="X22" i="1" s="1"/>
  <c r="AO22" i="1" s="1"/>
  <c r="U25" i="1"/>
  <c r="W25" i="1" s="1"/>
  <c r="V25" i="1"/>
  <c r="X25" i="1" s="1"/>
  <c r="AC25" i="1"/>
  <c r="AF25" i="1"/>
  <c r="U26" i="1"/>
  <c r="W26" i="1" s="1"/>
  <c r="V26" i="1"/>
  <c r="X26" i="1" s="1"/>
  <c r="AO26" i="1" s="1"/>
  <c r="AC26" i="1"/>
  <c r="U27" i="1"/>
  <c r="W27" i="1" s="1"/>
  <c r="V27" i="1"/>
  <c r="X27" i="1" s="1"/>
  <c r="AO27" i="1" s="1"/>
  <c r="U28" i="1"/>
  <c r="W28" i="1" s="1"/>
  <c r="V28" i="1"/>
  <c r="X28" i="1" s="1"/>
  <c r="AO28" i="1" s="1"/>
  <c r="AC28" i="1"/>
  <c r="U29" i="1"/>
  <c r="W29" i="1" s="1"/>
  <c r="V29" i="1"/>
  <c r="X29" i="1" s="1"/>
  <c r="AC29" i="1"/>
  <c r="AF29" i="1"/>
  <c r="U30" i="1"/>
  <c r="W30" i="1" s="1"/>
  <c r="V30" i="1"/>
  <c r="X30" i="1" s="1"/>
  <c r="AO30" i="1" s="1"/>
  <c r="AC30" i="1"/>
  <c r="U31" i="1"/>
  <c r="W31" i="1" s="1"/>
  <c r="V31" i="1"/>
  <c r="X31" i="1" s="1"/>
  <c r="AO31" i="1" s="1"/>
  <c r="U32" i="1"/>
  <c r="W32" i="1" s="1"/>
  <c r="V32" i="1"/>
  <c r="X32" i="1" s="1"/>
  <c r="AC32" i="1"/>
  <c r="AF32" i="1"/>
  <c r="U34" i="1"/>
  <c r="W34" i="1" s="1"/>
  <c r="V34" i="1"/>
  <c r="X34" i="1" s="1"/>
  <c r="AC34" i="1"/>
  <c r="AF34" i="1"/>
  <c r="U35" i="1"/>
  <c r="W35" i="1" s="1"/>
  <c r="V35" i="1"/>
  <c r="X35" i="1" s="1"/>
  <c r="AO35" i="1" s="1"/>
  <c r="AC35" i="1"/>
  <c r="U36" i="1"/>
  <c r="W36" i="1" s="1"/>
  <c r="V36" i="1"/>
  <c r="X36" i="1" s="1"/>
  <c r="AO36" i="1" s="1"/>
  <c r="U37" i="1"/>
  <c r="W37" i="1" s="1"/>
  <c r="V37" i="1"/>
  <c r="X37" i="1" s="1"/>
  <c r="AC37" i="1"/>
  <c r="AF37" i="1"/>
  <c r="U39" i="1"/>
  <c r="W39" i="1" s="1"/>
  <c r="V39" i="1"/>
  <c r="X39" i="1" s="1"/>
  <c r="AC39" i="1"/>
  <c r="AF39" i="1"/>
  <c r="U40" i="1"/>
  <c r="W40" i="1" s="1"/>
  <c r="V40" i="1"/>
  <c r="X40" i="1" s="1"/>
  <c r="AO40" i="1" s="1"/>
  <c r="AC40" i="1"/>
  <c r="U41" i="1"/>
  <c r="W41" i="1" s="1"/>
  <c r="V41" i="1"/>
  <c r="X41" i="1" s="1"/>
  <c r="AO41" i="1" s="1"/>
  <c r="U42" i="1"/>
  <c r="W42" i="1" s="1"/>
  <c r="V42" i="1"/>
  <c r="X42" i="1" s="1"/>
  <c r="AC42" i="1"/>
  <c r="AF42" i="1"/>
  <c r="U44" i="1"/>
  <c r="W44" i="1" s="1"/>
  <c r="V44" i="1"/>
  <c r="X44" i="1" s="1"/>
  <c r="AC44" i="1"/>
  <c r="AF44" i="1"/>
  <c r="U45" i="1"/>
  <c r="W45" i="1" s="1"/>
  <c r="V45" i="1"/>
  <c r="X45" i="1" s="1"/>
  <c r="AO45" i="1" s="1"/>
  <c r="AC45" i="1"/>
  <c r="U46" i="1"/>
  <c r="W46" i="1" s="1"/>
  <c r="V46" i="1"/>
  <c r="X46" i="1" s="1"/>
  <c r="AO46" i="1" s="1"/>
  <c r="U47" i="1"/>
  <c r="W47" i="1" s="1"/>
  <c r="V47" i="1"/>
  <c r="X47" i="1" s="1"/>
  <c r="AC47" i="1"/>
  <c r="AF47" i="1"/>
  <c r="U49" i="1"/>
  <c r="W49" i="1" s="1"/>
  <c r="V49" i="1"/>
  <c r="X49" i="1" s="1"/>
  <c r="AC49" i="1"/>
  <c r="AF49" i="1"/>
  <c r="U50" i="1"/>
  <c r="W50" i="1" s="1"/>
  <c r="V50" i="1"/>
  <c r="X50" i="1" s="1"/>
  <c r="AO50" i="1" s="1"/>
  <c r="AC50" i="1"/>
  <c r="U51" i="1"/>
  <c r="W51" i="1" s="1"/>
  <c r="V51" i="1"/>
  <c r="X51" i="1" s="1"/>
  <c r="AO51" i="1" s="1"/>
  <c r="U52" i="1"/>
  <c r="W52" i="1" s="1"/>
  <c r="V52" i="1"/>
  <c r="X52" i="1" s="1"/>
  <c r="AC52" i="1"/>
  <c r="AF52" i="1"/>
  <c r="U54" i="1"/>
  <c r="W54" i="1" s="1"/>
  <c r="V54" i="1"/>
  <c r="X54" i="1" s="1"/>
  <c r="AC54" i="1"/>
  <c r="AF54" i="1"/>
  <c r="U55" i="1"/>
  <c r="W55" i="1" s="1"/>
  <c r="V55" i="1"/>
  <c r="X55" i="1" s="1"/>
  <c r="AO55" i="1" s="1"/>
  <c r="AC55" i="1"/>
  <c r="U56" i="1"/>
  <c r="W56" i="1" s="1"/>
  <c r="V56" i="1"/>
  <c r="X56" i="1" s="1"/>
  <c r="AO56" i="1" s="1"/>
  <c r="U57" i="1"/>
  <c r="W57" i="1" s="1"/>
  <c r="V57" i="1"/>
  <c r="X57" i="1" s="1"/>
  <c r="AC57" i="1"/>
  <c r="AF57" i="1"/>
  <c r="U72" i="1"/>
  <c r="W72" i="1" s="1"/>
  <c r="AN72" i="1" s="1"/>
  <c r="V72" i="1"/>
  <c r="X72" i="1" s="1"/>
  <c r="AO72" i="1" s="1"/>
  <c r="U73" i="1"/>
  <c r="W73" i="1" s="1"/>
  <c r="AN73" i="1" s="1"/>
  <c r="V73" i="1"/>
  <c r="X73" i="1" s="1"/>
  <c r="AO73" i="1" s="1"/>
  <c r="U74" i="1"/>
  <c r="W74" i="1" s="1"/>
  <c r="V74" i="1"/>
  <c r="X74" i="1" s="1"/>
  <c r="AO74" i="1" s="1"/>
  <c r="U75" i="1"/>
  <c r="W75" i="1" s="1"/>
  <c r="V75" i="1"/>
  <c r="X75" i="1" s="1"/>
  <c r="AO75" i="1" s="1"/>
  <c r="U76" i="1"/>
  <c r="W76" i="1" s="1"/>
  <c r="V76" i="1"/>
  <c r="X76" i="1" s="1"/>
  <c r="AO76" i="1" s="1"/>
  <c r="U77" i="1"/>
  <c r="W77" i="1" s="1"/>
  <c r="AN77" i="1" s="1"/>
  <c r="V77" i="1"/>
  <c r="X77" i="1" s="1"/>
  <c r="U79" i="1"/>
  <c r="W79" i="1" s="1"/>
  <c r="AN79" i="1" s="1"/>
  <c r="V79" i="1"/>
  <c r="X79" i="1" s="1"/>
  <c r="AO79" i="1" s="1"/>
  <c r="U80" i="1"/>
  <c r="W80" i="1" s="1"/>
  <c r="V80" i="1"/>
  <c r="X80" i="1" s="1"/>
  <c r="AO80" i="1" s="1"/>
  <c r="U81" i="1"/>
  <c r="W81" i="1" s="1"/>
  <c r="V81" i="1"/>
  <c r="X81" i="1" s="1"/>
  <c r="AO81" i="1" s="1"/>
  <c r="U82" i="1"/>
  <c r="W82" i="1" s="1"/>
  <c r="AN82" i="1" s="1"/>
  <c r="V82" i="1"/>
  <c r="X82" i="1" s="1"/>
  <c r="AF82" i="1"/>
  <c r="U83" i="1"/>
  <c r="W83" i="1" s="1"/>
  <c r="V83" i="1"/>
  <c r="X83" i="1" s="1"/>
  <c r="U84" i="1"/>
  <c r="W84" i="1" s="1"/>
  <c r="AN84" i="1" s="1"/>
  <c r="V84" i="1"/>
  <c r="X84" i="1" s="1"/>
  <c r="U85" i="1"/>
  <c r="W85" i="1" s="1"/>
  <c r="AN85" i="1" s="1"/>
  <c r="V85" i="1"/>
  <c r="X85" i="1" s="1"/>
  <c r="U86" i="1"/>
  <c r="W86" i="1" s="1"/>
  <c r="AN86" i="1" s="1"/>
  <c r="V86" i="1"/>
  <c r="X86" i="1" s="1"/>
  <c r="U89" i="1"/>
  <c r="W89" i="1" s="1"/>
  <c r="AN89" i="1" s="1"/>
  <c r="V89" i="1"/>
  <c r="X89" i="1" s="1"/>
  <c r="U90" i="1"/>
  <c r="W90" i="1" s="1"/>
  <c r="AN90" i="1" s="1"/>
  <c r="V90" i="1"/>
  <c r="X90" i="1" s="1"/>
  <c r="U91" i="1"/>
  <c r="W91" i="1" s="1"/>
  <c r="AN91" i="1" s="1"/>
  <c r="V91" i="1"/>
  <c r="X91" i="1" s="1"/>
  <c r="U92" i="1"/>
  <c r="W92" i="1" s="1"/>
  <c r="V92" i="1"/>
  <c r="X92" i="1" s="1"/>
  <c r="U95" i="1"/>
  <c r="W95" i="1" s="1"/>
  <c r="V95" i="1"/>
  <c r="X95" i="1" s="1"/>
  <c r="U96" i="1"/>
  <c r="W96" i="1" s="1"/>
  <c r="AN96" i="1" s="1"/>
  <c r="V96" i="1"/>
  <c r="X96" i="1" s="1"/>
  <c r="U98" i="1"/>
  <c r="W98" i="1" s="1"/>
  <c r="V98" i="1"/>
  <c r="X98" i="1" s="1"/>
  <c r="AC98" i="1"/>
  <c r="AF98" i="1"/>
  <c r="U99" i="1"/>
  <c r="W99" i="1" s="1"/>
  <c r="V99" i="1"/>
  <c r="X99" i="1" s="1"/>
  <c r="AF99" i="1"/>
  <c r="U100" i="1"/>
  <c r="W100" i="1" s="1"/>
  <c r="V100" i="1"/>
  <c r="X100" i="1" s="1"/>
  <c r="AF100" i="1"/>
  <c r="U101" i="1"/>
  <c r="W101" i="1" s="1"/>
  <c r="V101" i="1"/>
  <c r="X101" i="1" s="1"/>
  <c r="AF101" i="1"/>
  <c r="U118" i="1"/>
  <c r="W118" i="1" s="1"/>
  <c r="V118" i="1"/>
  <c r="X118" i="1" s="1"/>
  <c r="AC118" i="1"/>
  <c r="AF118" i="1"/>
  <c r="U124" i="1"/>
  <c r="W124" i="1" s="1"/>
  <c r="V124" i="1"/>
  <c r="X124" i="1" s="1"/>
  <c r="AO124" i="1" s="1"/>
  <c r="U127" i="1"/>
  <c r="W127" i="1" s="1"/>
  <c r="AN127" i="1" s="1"/>
  <c r="V127" i="1"/>
  <c r="X127" i="1" s="1"/>
  <c r="U129" i="1"/>
  <c r="W129" i="1" s="1"/>
  <c r="AN129" i="1" s="1"/>
  <c r="V129" i="1"/>
  <c r="X129" i="1" s="1"/>
  <c r="U130" i="1"/>
  <c r="W130" i="1" s="1"/>
  <c r="AN130" i="1" s="1"/>
  <c r="V130" i="1"/>
  <c r="X130" i="1" s="1"/>
  <c r="U131" i="1"/>
  <c r="W131" i="1" s="1"/>
  <c r="AN131" i="1" s="1"/>
  <c r="V131" i="1"/>
  <c r="X131" i="1" s="1"/>
  <c r="U132" i="1"/>
  <c r="W132" i="1" s="1"/>
  <c r="AN132" i="1" s="1"/>
  <c r="V132" i="1"/>
  <c r="X132" i="1" s="1"/>
  <c r="U133" i="1"/>
  <c r="W133" i="1" s="1"/>
  <c r="AN133" i="1" s="1"/>
  <c r="V133" i="1"/>
  <c r="X133" i="1" s="1"/>
  <c r="U134" i="1"/>
  <c r="W134" i="1" s="1"/>
  <c r="AN134" i="1" s="1"/>
  <c r="V134" i="1"/>
  <c r="X134" i="1" s="1"/>
  <c r="U135" i="1"/>
  <c r="W135" i="1" s="1"/>
  <c r="AN135" i="1" s="1"/>
  <c r="V135" i="1"/>
  <c r="X135" i="1" s="1"/>
  <c r="U136" i="1"/>
  <c r="W136" i="1" s="1"/>
  <c r="AN136" i="1" s="1"/>
  <c r="V136" i="1"/>
  <c r="X136" i="1" s="1"/>
  <c r="U137" i="1"/>
  <c r="W137" i="1" s="1"/>
  <c r="AN137" i="1" s="1"/>
  <c r="V137" i="1"/>
  <c r="X137" i="1" s="1"/>
  <c r="U138" i="1"/>
  <c r="W138" i="1" s="1"/>
  <c r="AN138" i="1" s="1"/>
  <c r="V138" i="1"/>
  <c r="X138" i="1" s="1"/>
  <c r="U139" i="1"/>
  <c r="W139" i="1" s="1"/>
  <c r="AN139" i="1" s="1"/>
  <c r="V139" i="1"/>
  <c r="X139" i="1" s="1"/>
  <c r="U140" i="1"/>
  <c r="W140" i="1" s="1"/>
  <c r="AN140" i="1" s="1"/>
  <c r="V140" i="1"/>
  <c r="X140" i="1" s="1"/>
  <c r="U141" i="1"/>
  <c r="W141" i="1" s="1"/>
  <c r="AN141" i="1" s="1"/>
  <c r="V141" i="1"/>
  <c r="X141" i="1" s="1"/>
  <c r="U142" i="1"/>
  <c r="W142" i="1" s="1"/>
  <c r="AN142" i="1" s="1"/>
  <c r="V142" i="1"/>
  <c r="X142" i="1" s="1"/>
  <c r="U143" i="1"/>
  <c r="W143" i="1" s="1"/>
  <c r="AN143" i="1" s="1"/>
  <c r="V143" i="1"/>
  <c r="X143" i="1" s="1"/>
  <c r="U144" i="1"/>
  <c r="W144" i="1" s="1"/>
  <c r="AN144" i="1" s="1"/>
  <c r="V144" i="1"/>
  <c r="X144" i="1" s="1"/>
  <c r="U145" i="1"/>
  <c r="W145" i="1" s="1"/>
  <c r="AN145" i="1" s="1"/>
  <c r="V145" i="1"/>
  <c r="X145" i="1" s="1"/>
  <c r="U146" i="1"/>
  <c r="W146" i="1" s="1"/>
  <c r="AN146" i="1" s="1"/>
  <c r="V146" i="1"/>
  <c r="X146" i="1" s="1"/>
  <c r="U147" i="1"/>
  <c r="W147" i="1" s="1"/>
  <c r="AN147" i="1" s="1"/>
  <c r="V147" i="1"/>
  <c r="X147" i="1" s="1"/>
  <c r="U149" i="1"/>
  <c r="W149" i="1" s="1"/>
  <c r="AN149" i="1" s="1"/>
  <c r="V149" i="1"/>
  <c r="X149" i="1" s="1"/>
  <c r="U152" i="1"/>
  <c r="W152" i="1" s="1"/>
  <c r="V152" i="1"/>
  <c r="U153" i="1"/>
  <c r="W153" i="1" s="1"/>
  <c r="V153" i="1"/>
  <c r="X153" i="1" s="1"/>
  <c r="AO153" i="1" s="1"/>
  <c r="U154" i="1"/>
  <c r="W154" i="1" s="1"/>
  <c r="V154" i="1"/>
  <c r="X154" i="1" s="1"/>
  <c r="AO154" i="1" s="1"/>
  <c r="U155" i="1"/>
  <c r="W155" i="1" s="1"/>
  <c r="V155" i="1"/>
  <c r="X155" i="1" s="1"/>
  <c r="AO155" i="1" s="1"/>
  <c r="U156" i="1"/>
  <c r="W156" i="1" s="1"/>
  <c r="V156" i="1"/>
  <c r="X156" i="1" s="1"/>
  <c r="AO156" i="1" s="1"/>
  <c r="U157" i="1"/>
  <c r="W157" i="1" s="1"/>
  <c r="V157" i="1"/>
  <c r="X157" i="1" s="1"/>
  <c r="AO157" i="1" s="1"/>
  <c r="U158" i="1"/>
  <c r="W158" i="1" s="1"/>
  <c r="V158" i="1"/>
  <c r="X158" i="1" s="1"/>
  <c r="AO158" i="1" s="1"/>
  <c r="U159" i="1"/>
  <c r="W159" i="1" s="1"/>
  <c r="V159" i="1"/>
  <c r="X159" i="1" s="1"/>
  <c r="AO159" i="1" s="1"/>
  <c r="U160" i="1"/>
  <c r="W160" i="1" s="1"/>
  <c r="V160" i="1"/>
  <c r="X160" i="1" s="1"/>
  <c r="AO160" i="1" s="1"/>
  <c r="U161" i="1"/>
  <c r="W161" i="1" s="1"/>
  <c r="V161" i="1"/>
  <c r="X161" i="1" s="1"/>
  <c r="AO161" i="1" s="1"/>
  <c r="U165" i="1"/>
  <c r="W165" i="1" s="1"/>
  <c r="AN165" i="1" s="1"/>
  <c r="V165" i="1"/>
  <c r="X165" i="1" s="1"/>
  <c r="U170" i="1"/>
  <c r="W170" i="1" s="1"/>
  <c r="AN170" i="1" s="1"/>
  <c r="V170" i="1"/>
  <c r="X170" i="1" s="1"/>
  <c r="U172" i="1"/>
  <c r="W172" i="1" s="1"/>
  <c r="AN172" i="1" s="1"/>
  <c r="V172" i="1"/>
  <c r="X172" i="1" s="1"/>
  <c r="U175" i="1"/>
  <c r="W175" i="1" s="1"/>
  <c r="AN175" i="1" s="1"/>
  <c r="V175" i="1"/>
  <c r="X175" i="1" s="1"/>
  <c r="U177" i="1"/>
  <c r="W177" i="1" s="1"/>
  <c r="AN177" i="1" s="1"/>
  <c r="V177" i="1"/>
  <c r="X177" i="1" s="1"/>
  <c r="U180" i="1"/>
  <c r="W180" i="1" s="1"/>
  <c r="AN180" i="1" s="1"/>
  <c r="V180" i="1"/>
  <c r="X180" i="1" s="1"/>
  <c r="U182" i="1"/>
  <c r="W182" i="1" s="1"/>
  <c r="AN182" i="1" s="1"/>
  <c r="V182" i="1"/>
  <c r="X182" i="1" s="1"/>
  <c r="U185" i="1"/>
  <c r="W185" i="1" s="1"/>
  <c r="AN185" i="1" s="1"/>
  <c r="V185" i="1"/>
  <c r="X185" i="1" s="1"/>
  <c r="U187" i="1"/>
  <c r="W187" i="1" s="1"/>
  <c r="AN187" i="1" s="1"/>
  <c r="V187" i="1"/>
  <c r="X187" i="1" s="1"/>
  <c r="U190" i="1"/>
  <c r="W190" i="1" s="1"/>
  <c r="AN190" i="1" s="1"/>
  <c r="V190" i="1"/>
  <c r="X190" i="1" s="1"/>
  <c r="U192" i="1"/>
  <c r="W192" i="1" s="1"/>
  <c r="AN192" i="1" s="1"/>
  <c r="V192" i="1"/>
  <c r="X192" i="1" s="1"/>
  <c r="U195" i="1"/>
  <c r="W195" i="1" s="1"/>
  <c r="AN195" i="1" s="1"/>
  <c r="V195" i="1"/>
  <c r="X195" i="1" s="1"/>
  <c r="U197" i="1"/>
  <c r="W197" i="1" s="1"/>
  <c r="AN197" i="1" s="1"/>
  <c r="V197" i="1"/>
  <c r="X197" i="1" s="1"/>
  <c r="U200" i="1"/>
  <c r="W200" i="1" s="1"/>
  <c r="AN200" i="1" s="1"/>
  <c r="V200" i="1"/>
  <c r="X200" i="1" s="1"/>
  <c r="U202" i="1"/>
  <c r="W202" i="1" s="1"/>
  <c r="AN202" i="1" s="1"/>
  <c r="V202" i="1"/>
  <c r="X202" i="1" s="1"/>
  <c r="U205" i="1"/>
  <c r="W205" i="1" s="1"/>
  <c r="AN205" i="1" s="1"/>
  <c r="V205" i="1"/>
  <c r="X205" i="1" s="1"/>
  <c r="U207" i="1"/>
  <c r="W207" i="1" s="1"/>
  <c r="AN207" i="1" s="1"/>
  <c r="V207" i="1"/>
  <c r="X207" i="1" s="1"/>
  <c r="U210" i="1"/>
  <c r="W210" i="1" s="1"/>
  <c r="AN210" i="1" s="1"/>
  <c r="V210" i="1"/>
  <c r="X210" i="1" s="1"/>
  <c r="U212" i="1"/>
  <c r="W212" i="1" s="1"/>
  <c r="AN212" i="1" s="1"/>
  <c r="V212" i="1"/>
  <c r="X212" i="1" s="1"/>
  <c r="U215" i="1"/>
  <c r="W215" i="1" s="1"/>
  <c r="V215" i="1"/>
  <c r="X215" i="1" s="1"/>
  <c r="U217" i="1"/>
  <c r="W217" i="1" s="1"/>
  <c r="AN217" i="1" s="1"/>
  <c r="V217" i="1"/>
  <c r="X217" i="1" s="1"/>
  <c r="U220" i="1"/>
  <c r="W220" i="1" s="1"/>
  <c r="AN220" i="1" s="1"/>
  <c r="V220" i="1"/>
  <c r="X220" i="1" s="1"/>
  <c r="U222" i="1"/>
  <c r="W222" i="1" s="1"/>
  <c r="AN222" i="1" s="1"/>
  <c r="V222" i="1"/>
  <c r="X222" i="1" s="1"/>
  <c r="U235" i="1"/>
  <c r="W235" i="1" s="1"/>
  <c r="AN235" i="1" s="1"/>
  <c r="V235" i="1"/>
  <c r="X235" i="1" s="1"/>
  <c r="U237" i="1"/>
  <c r="W237" i="1" s="1"/>
  <c r="AN237" i="1" s="1"/>
  <c r="V237" i="1"/>
  <c r="X237" i="1" s="1"/>
  <c r="U240" i="1"/>
  <c r="W240" i="1" s="1"/>
  <c r="AN240" i="1" s="1"/>
  <c r="V240" i="1"/>
  <c r="X240" i="1" s="1"/>
  <c r="U242" i="1"/>
  <c r="W242" i="1" s="1"/>
  <c r="AN242" i="1" s="1"/>
  <c r="V242" i="1"/>
  <c r="X242" i="1" s="1"/>
  <c r="U245" i="1"/>
  <c r="W245" i="1" s="1"/>
  <c r="AN245" i="1" s="1"/>
  <c r="V245" i="1"/>
  <c r="X245" i="1" s="1"/>
  <c r="U247" i="1"/>
  <c r="W247" i="1" s="1"/>
  <c r="AN247" i="1" s="1"/>
  <c r="V247" i="1"/>
  <c r="X247" i="1" s="1"/>
  <c r="U250" i="1"/>
  <c r="W250" i="1" s="1"/>
  <c r="AN250" i="1" s="1"/>
  <c r="V250" i="1"/>
  <c r="X250" i="1" s="1"/>
  <c r="U251" i="1"/>
  <c r="W251" i="1" s="1"/>
  <c r="AN251" i="1" s="1"/>
  <c r="V251" i="1"/>
  <c r="X251" i="1" s="1"/>
  <c r="U252" i="1"/>
  <c r="W252" i="1" s="1"/>
  <c r="AN252" i="1" s="1"/>
  <c r="V252" i="1"/>
  <c r="X252" i="1" s="1"/>
  <c r="U253" i="1"/>
  <c r="W253" i="1" s="1"/>
  <c r="V253" i="1"/>
  <c r="X253" i="1" s="1"/>
  <c r="U254" i="1"/>
  <c r="W254" i="1" s="1"/>
  <c r="AN254" i="1" s="1"/>
  <c r="V254" i="1"/>
  <c r="X254" i="1" s="1"/>
  <c r="U255" i="1"/>
  <c r="W255" i="1" s="1"/>
  <c r="V255" i="1"/>
  <c r="X255" i="1" s="1"/>
  <c r="AC255" i="1"/>
  <c r="U256" i="1"/>
  <c r="W256" i="1" s="1"/>
  <c r="AN256" i="1" s="1"/>
  <c r="V256" i="1"/>
  <c r="X256" i="1" s="1"/>
  <c r="AF256" i="1"/>
  <c r="U257" i="1"/>
  <c r="W257" i="1" s="1"/>
  <c r="V257" i="1"/>
  <c r="X257" i="1" s="1"/>
  <c r="AC257" i="1"/>
  <c r="AC262" i="1"/>
  <c r="AF262" i="1"/>
  <c r="AC263" i="1"/>
  <c r="AF263" i="1"/>
  <c r="AF264" i="1"/>
  <c r="AC265" i="1"/>
  <c r="AC270" i="1"/>
  <c r="AF270" i="1"/>
  <c r="AC271" i="1"/>
  <c r="AF271" i="1"/>
  <c r="AC272" i="1"/>
  <c r="AF272" i="1"/>
  <c r="AC277" i="1"/>
  <c r="AF277" i="1"/>
  <c r="AC278" i="1"/>
  <c r="AF278" i="1"/>
  <c r="AC279" i="1"/>
  <c r="AF279" i="1"/>
  <c r="AC284" i="1"/>
  <c r="AF284" i="1"/>
  <c r="AC285" i="1"/>
  <c r="AF285" i="1"/>
  <c r="AC286" i="1"/>
  <c r="AF286" i="1"/>
  <c r="AC291" i="1"/>
  <c r="AF291" i="1"/>
  <c r="AC292" i="1"/>
  <c r="AF292" i="1"/>
  <c r="AC293" i="1"/>
  <c r="AF293" i="1"/>
  <c r="AC298" i="1"/>
  <c r="AF298" i="1"/>
  <c r="AC299" i="1"/>
  <c r="AF299" i="1"/>
  <c r="AC300" i="1"/>
  <c r="AF300" i="1"/>
  <c r="AC305" i="1"/>
  <c r="AF305" i="1"/>
  <c r="AC306" i="1"/>
  <c r="AF306" i="1"/>
  <c r="AC307" i="1"/>
  <c r="AF307" i="1"/>
  <c r="AC312" i="1"/>
  <c r="AF312" i="1"/>
  <c r="AC313" i="1"/>
  <c r="AF313" i="1"/>
  <c r="AC314" i="1"/>
  <c r="U319" i="1"/>
  <c r="W319" i="1" s="1"/>
  <c r="V319" i="1"/>
  <c r="X319" i="1" s="1"/>
  <c r="AC319" i="1"/>
  <c r="AF319" i="1"/>
  <c r="U320" i="1"/>
  <c r="W320" i="1" s="1"/>
  <c r="V320" i="1"/>
  <c r="X320" i="1" s="1"/>
  <c r="AC320" i="1"/>
  <c r="AF320" i="1"/>
  <c r="U321" i="1"/>
  <c r="W321" i="1" s="1"/>
  <c r="V321" i="1"/>
  <c r="X321" i="1" s="1"/>
  <c r="AC321" i="1"/>
  <c r="AF321" i="1"/>
  <c r="U322" i="1"/>
  <c r="W322" i="1" s="1"/>
  <c r="V322" i="1"/>
  <c r="X322" i="1" s="1"/>
  <c r="AC326" i="1"/>
  <c r="AF326" i="1"/>
  <c r="AC327" i="1"/>
  <c r="AF327" i="1"/>
  <c r="AC328" i="1"/>
  <c r="AF328" i="1"/>
  <c r="U333" i="1"/>
  <c r="W333" i="1" s="1"/>
  <c r="AN333" i="1" s="1"/>
  <c r="V333" i="1"/>
  <c r="X333" i="1" s="1"/>
  <c r="AF333" i="1"/>
  <c r="U334" i="1"/>
  <c r="W334" i="1" s="1"/>
  <c r="V334" i="1"/>
  <c r="X334" i="1" s="1"/>
  <c r="AF334" i="1"/>
  <c r="U335" i="1"/>
  <c r="W335" i="1" s="1"/>
  <c r="V335" i="1"/>
  <c r="X335" i="1" s="1"/>
  <c r="AF335" i="1"/>
  <c r="U336" i="1"/>
  <c r="W336" i="1" s="1"/>
  <c r="V336" i="1"/>
  <c r="X336" i="1" s="1"/>
  <c r="AC361" i="1"/>
  <c r="AF361" i="1"/>
  <c r="AC362" i="1"/>
  <c r="AF362" i="1"/>
  <c r="AC363" i="1"/>
  <c r="AF363" i="1"/>
  <c r="AC368" i="1"/>
  <c r="AF368" i="1"/>
  <c r="AC369" i="1"/>
  <c r="AF369" i="1"/>
  <c r="AC370" i="1"/>
  <c r="AF370" i="1"/>
  <c r="AC375" i="1"/>
  <c r="AF375" i="1"/>
  <c r="AC376" i="1"/>
  <c r="AF376" i="1"/>
  <c r="AC377" i="1"/>
  <c r="AF377" i="1"/>
  <c r="AF384" i="1"/>
  <c r="AF385" i="1"/>
  <c r="U386" i="1"/>
  <c r="W386" i="1" s="1"/>
  <c r="AN386" i="1" s="1"/>
  <c r="V386" i="1"/>
  <c r="X386" i="1" s="1"/>
  <c r="AF386" i="1"/>
  <c r="U387" i="1"/>
  <c r="W387" i="1" s="1"/>
  <c r="AN387" i="1" s="1"/>
  <c r="V387" i="1"/>
  <c r="X387" i="1" s="1"/>
  <c r="AF387" i="1"/>
  <c r="U388" i="1"/>
  <c r="W388" i="1" s="1"/>
  <c r="AN388" i="1" s="1"/>
  <c r="V388" i="1"/>
  <c r="X388" i="1" s="1"/>
  <c r="AF388" i="1"/>
  <c r="AF389" i="1"/>
  <c r="AF392" i="1"/>
  <c r="U398" i="1"/>
  <c r="W398" i="1" s="1"/>
  <c r="V398" i="1"/>
  <c r="X398" i="1" s="1"/>
  <c r="AO398" i="1" s="1"/>
  <c r="AC398" i="1"/>
  <c r="U402" i="1"/>
  <c r="W402" i="1" s="1"/>
  <c r="V402" i="1"/>
  <c r="X402" i="1" s="1"/>
  <c r="U403" i="1"/>
  <c r="W403" i="1" s="1"/>
  <c r="V403" i="1"/>
  <c r="X403" i="1" s="1"/>
  <c r="U404" i="1"/>
  <c r="W404" i="1" s="1"/>
  <c r="V404" i="1"/>
  <c r="AC404" i="1"/>
  <c r="U408" i="1"/>
  <c r="W408" i="1" s="1"/>
  <c r="V408" i="1"/>
  <c r="X408" i="1" s="1"/>
  <c r="AO408" i="1" s="1"/>
  <c r="AC408" i="1"/>
  <c r="U411" i="1"/>
  <c r="W411" i="1" s="1"/>
  <c r="V411" i="1"/>
  <c r="X411" i="1" s="1"/>
  <c r="AO411" i="1" s="1"/>
  <c r="AC411" i="1"/>
  <c r="U412" i="1"/>
  <c r="W412" i="1" s="1"/>
  <c r="V412" i="1"/>
  <c r="X412" i="1" s="1"/>
  <c r="AO412" i="1" s="1"/>
  <c r="AC412" i="1"/>
  <c r="U416" i="1"/>
  <c r="W416" i="1" s="1"/>
  <c r="V416" i="1"/>
  <c r="X416" i="1" s="1"/>
  <c r="AO416" i="1" s="1"/>
  <c r="AC416" i="1"/>
  <c r="AC417" i="1"/>
  <c r="U420" i="1"/>
  <c r="W420" i="1" s="1"/>
  <c r="AN420" i="1" s="1"/>
  <c r="V420" i="1"/>
  <c r="X420" i="1" s="1"/>
  <c r="AF420" i="1"/>
  <c r="AJ256" i="1"/>
  <c r="AJ17" i="1"/>
  <c r="AH19" i="1"/>
  <c r="AJ172" i="1"/>
  <c r="AJ187" i="1"/>
  <c r="AJ186" i="1"/>
  <c r="AJ246" i="1"/>
  <c r="AJ242" i="1"/>
  <c r="AJ241" i="1"/>
  <c r="AJ222" i="1"/>
  <c r="AJ217" i="1"/>
  <c r="AJ216" i="1"/>
  <c r="AJ212" i="1"/>
  <c r="AJ211" i="1"/>
  <c r="AJ207" i="1"/>
  <c r="AJ206" i="1"/>
  <c r="AJ202" i="1"/>
  <c r="AJ201" i="1"/>
  <c r="AJ197" i="1"/>
  <c r="AJ196" i="1"/>
  <c r="AJ192" i="1"/>
  <c r="AJ191" i="1"/>
  <c r="AJ182" i="1"/>
  <c r="AJ181" i="1"/>
  <c r="AJ177" i="1"/>
  <c r="AJ176" i="1"/>
  <c r="AJ171" i="1"/>
  <c r="AJ167" i="1"/>
  <c r="AJ166" i="1"/>
  <c r="AH155" i="1"/>
  <c r="AJ18" i="1"/>
  <c r="AM426" i="1"/>
  <c r="AL426" i="1"/>
  <c r="T426" i="1"/>
  <c r="S426" i="1"/>
  <c r="R426" i="1"/>
  <c r="Q426" i="1"/>
  <c r="P426" i="1"/>
  <c r="O426" i="1"/>
  <c r="N426" i="1"/>
  <c r="M426" i="1"/>
  <c r="L426" i="1"/>
  <c r="J426" i="1"/>
  <c r="I426" i="1"/>
  <c r="H426" i="1"/>
  <c r="G426" i="1"/>
  <c r="F426" i="1"/>
  <c r="E426" i="1"/>
  <c r="AH124" i="1"/>
  <c r="AJ403" i="1"/>
  <c r="AH402" i="1"/>
  <c r="AH326" i="1"/>
  <c r="AH319" i="1"/>
  <c r="AH291" i="1"/>
  <c r="AH277" i="1"/>
  <c r="AH81" i="1"/>
  <c r="AH80" i="1"/>
  <c r="AH76" i="1"/>
  <c r="AH75" i="1"/>
  <c r="AH74" i="1"/>
  <c r="AJ77" i="1"/>
  <c r="AJ14" i="1"/>
  <c r="AJ13" i="1"/>
  <c r="AJ12" i="1"/>
  <c r="AH375" i="1"/>
  <c r="AH368" i="1"/>
  <c r="AH361" i="1"/>
  <c r="AH15" i="1"/>
  <c r="AH101" i="1"/>
  <c r="AH100" i="1"/>
  <c r="AH99" i="1"/>
  <c r="AH98" i="1"/>
  <c r="AH312" i="1"/>
  <c r="AH305" i="1"/>
  <c r="AH298" i="1"/>
  <c r="AH284" i="1"/>
  <c r="AH270" i="1"/>
  <c r="AH262" i="1"/>
  <c r="AJ375" i="1"/>
  <c r="AJ333" i="1"/>
  <c r="AJ247" i="1"/>
  <c r="AJ394" i="1"/>
  <c r="AH215" i="1"/>
  <c r="Q294" i="15"/>
  <c r="L63" i="15"/>
  <c r="K20" i="14"/>
  <c r="L91" i="14" s="1"/>
  <c r="AD411" i="1" s="1"/>
  <c r="K51" i="14"/>
  <c r="L92" i="14" s="1"/>
  <c r="AD412" i="1" s="1"/>
  <c r="L90" i="14"/>
  <c r="AD11" i="1" s="1"/>
  <c r="L93" i="14"/>
  <c r="AD257" i="1" s="1"/>
  <c r="J210" i="19"/>
  <c r="AI402" i="1" s="1"/>
  <c r="L211" i="19"/>
  <c r="AK403" i="1" s="1"/>
  <c r="L216" i="19"/>
  <c r="AK18" i="1" s="1"/>
  <c r="J214" i="19"/>
  <c r="AI80" i="1" s="1"/>
  <c r="L225" i="19"/>
  <c r="AK14" i="1" s="1"/>
  <c r="J224" i="19"/>
  <c r="AI15" i="1" s="1"/>
  <c r="J226" i="19"/>
  <c r="AI76" i="1" s="1"/>
  <c r="J213" i="19"/>
  <c r="L227" i="19"/>
  <c r="AK77" i="1" s="1"/>
  <c r="L247" i="19"/>
  <c r="AK90" i="1"/>
  <c r="L248" i="19"/>
  <c r="AK91" i="1" s="1"/>
  <c r="L180" i="19"/>
  <c r="L313" i="19" s="1"/>
  <c r="AK131" i="1" s="1"/>
  <c r="J229" i="19"/>
  <c r="AI215" i="1" s="1"/>
  <c r="L231" i="19"/>
  <c r="AK333" i="1" s="1"/>
  <c r="L242" i="19"/>
  <c r="AK86" i="1" s="1"/>
  <c r="L311" i="19"/>
  <c r="AK130" i="1" s="1"/>
  <c r="J233" i="19"/>
  <c r="AI99" i="1" s="1"/>
  <c r="J240" i="19"/>
  <c r="AI101" i="1" s="1"/>
  <c r="J239" i="19"/>
  <c r="AI100" i="1" s="1"/>
  <c r="J234" i="19"/>
  <c r="AI92" i="1" s="1"/>
  <c r="L125" i="19"/>
  <c r="N125" i="19"/>
  <c r="L215" i="19"/>
  <c r="AK12" i="1" s="1"/>
  <c r="N292" i="15"/>
  <c r="J41" i="15"/>
  <c r="L306" i="19"/>
  <c r="AK256" i="1" s="1"/>
  <c r="J305" i="19"/>
  <c r="AI334" i="1" s="1"/>
  <c r="T90" i="4"/>
  <c r="T26" i="4"/>
  <c r="T29" i="4"/>
  <c r="T32" i="4"/>
  <c r="T37" i="4"/>
  <c r="T45" i="4"/>
  <c r="T48" i="4"/>
  <c r="T51" i="4"/>
  <c r="T58" i="4"/>
  <c r="T57" i="4"/>
  <c r="T50" i="4"/>
  <c r="T31" i="4"/>
  <c r="T86" i="4"/>
  <c r="T88" i="4"/>
  <c r="T79" i="4"/>
  <c r="T68" i="4"/>
  <c r="L77" i="4"/>
  <c r="T71" i="4"/>
  <c r="T74" i="4"/>
  <c r="R77" i="4"/>
  <c r="S77" i="4"/>
  <c r="T73" i="4"/>
  <c r="Q77" i="4"/>
  <c r="P77" i="4"/>
  <c r="O77" i="4"/>
  <c r="M77" i="4"/>
  <c r="L54" i="12"/>
  <c r="L75" i="12"/>
  <c r="J28" i="13"/>
  <c r="K74" i="14"/>
  <c r="K42" i="14"/>
  <c r="O107" i="15"/>
  <c r="L122" i="15" s="1"/>
  <c r="N107" i="15"/>
  <c r="G122" i="15" s="1"/>
  <c r="A294" i="15"/>
  <c r="A293" i="15"/>
  <c r="E259" i="15"/>
  <c r="E258" i="15"/>
  <c r="N103" i="15"/>
  <c r="O99" i="15" s="1"/>
  <c r="G103" i="15"/>
  <c r="H99" i="15" s="1"/>
  <c r="J103" i="15"/>
  <c r="L99" i="15" s="1"/>
  <c r="G143" i="15"/>
  <c r="G145" i="15" s="1"/>
  <c r="O117" i="15"/>
  <c r="N117" i="15"/>
  <c r="N79" i="15"/>
  <c r="H63" i="15"/>
  <c r="H41" i="15"/>
  <c r="O143" i="15"/>
  <c r="O145" i="15" s="1"/>
  <c r="J143" i="15"/>
  <c r="J145" i="15" s="1"/>
  <c r="N143" i="15"/>
  <c r="N145" i="15" s="1"/>
  <c r="L143" i="15"/>
  <c r="L145" i="15" s="1"/>
  <c r="H143" i="15"/>
  <c r="H145" i="15" s="1"/>
  <c r="N63" i="15"/>
  <c r="N41" i="15"/>
  <c r="M260" i="15"/>
  <c r="H198" i="19"/>
  <c r="I198" i="19"/>
  <c r="J198" i="19"/>
  <c r="G198" i="19"/>
  <c r="M20" i="3"/>
  <c r="AI74" i="1"/>
  <c r="K131" i="3"/>
  <c r="AD396" i="1" s="1"/>
  <c r="L147" i="2"/>
  <c r="AA152" i="1" s="1"/>
  <c r="F24" i="3"/>
  <c r="F44" i="3" s="1"/>
  <c r="K426" i="1"/>
  <c r="K58" i="24"/>
  <c r="Z32" i="1" s="1"/>
  <c r="M21" i="3"/>
  <c r="H140" i="2"/>
  <c r="M22" i="3"/>
  <c r="F272" i="15"/>
  <c r="AK132" i="1"/>
  <c r="M150" i="3"/>
  <c r="AK140" i="1"/>
  <c r="H37" i="2"/>
  <c r="T281" i="4" l="1"/>
  <c r="AD109" i="1"/>
  <c r="AN109" i="1" s="1"/>
  <c r="AS109" i="1" s="1"/>
  <c r="AD63" i="1"/>
  <c r="O281" i="4"/>
  <c r="Y254" i="4"/>
  <c r="O218" i="4" s="1"/>
  <c r="AG29" i="1" s="1"/>
  <c r="AO29" i="1" s="1"/>
  <c r="AN257" i="1"/>
  <c r="X244" i="4"/>
  <c r="M191" i="4" s="1"/>
  <c r="AD47" i="1" s="1"/>
  <c r="L281" i="4"/>
  <c r="AR9" i="1"/>
  <c r="X248" i="4"/>
  <c r="M195" i="4" s="1"/>
  <c r="AD408" i="1" s="1"/>
  <c r="AN408" i="1" s="1"/>
  <c r="AQ408" i="1" s="1"/>
  <c r="L59" i="12"/>
  <c r="Y253" i="4"/>
  <c r="O217" i="4" s="1"/>
  <c r="AG25" i="1" s="1"/>
  <c r="AO25" i="1" s="1"/>
  <c r="R281" i="4"/>
  <c r="AB245" i="1"/>
  <c r="AB426" i="1" s="1"/>
  <c r="AN110" i="1"/>
  <c r="AD111" i="1"/>
  <c r="AN111" i="1" s="1"/>
  <c r="AO110" i="1"/>
  <c r="AG111" i="1"/>
  <c r="AO111" i="1" s="1"/>
  <c r="AR109" i="1"/>
  <c r="M152" i="3"/>
  <c r="L60" i="12"/>
  <c r="L73" i="14"/>
  <c r="T54" i="4"/>
  <c r="J220" i="19"/>
  <c r="I222" i="19" s="1"/>
  <c r="K164" i="3"/>
  <c r="J268" i="19"/>
  <c r="I303" i="19" s="1"/>
  <c r="Q281" i="4"/>
  <c r="Y256" i="4"/>
  <c r="O220" i="4" s="1"/>
  <c r="AG44" i="1" s="1"/>
  <c r="AO44" i="1" s="1"/>
  <c r="Y257" i="4"/>
  <c r="O221" i="4" s="1"/>
  <c r="AG39" i="1" s="1"/>
  <c r="AO39" i="1" s="1"/>
  <c r="Y259" i="4"/>
  <c r="O223" i="4" s="1"/>
  <c r="AG54" i="1" s="1"/>
  <c r="AO54" i="1" s="1"/>
  <c r="X404" i="1"/>
  <c r="AO404" i="1" s="1"/>
  <c r="X247" i="4"/>
  <c r="M194" i="4" s="1"/>
  <c r="AD57" i="1" s="1"/>
  <c r="AN57" i="1" s="1"/>
  <c r="X242" i="4"/>
  <c r="M189" i="4" s="1"/>
  <c r="AD32" i="1" s="1"/>
  <c r="AN32" i="1" s="1"/>
  <c r="P260" i="4"/>
  <c r="P281" i="4" s="1"/>
  <c r="O282" i="4" s="1"/>
  <c r="I211" i="19"/>
  <c r="T77" i="4"/>
  <c r="W79" i="4" s="1"/>
  <c r="T60" i="4"/>
  <c r="M135" i="4"/>
  <c r="M151" i="4" s="1"/>
  <c r="M183" i="4" s="1"/>
  <c r="V281" i="4"/>
  <c r="O174" i="15"/>
  <c r="AO402" i="1"/>
  <c r="AN405" i="1"/>
  <c r="AQ405" i="1" s="1"/>
  <c r="AO385" i="1"/>
  <c r="AL427" i="1"/>
  <c r="AO128" i="1"/>
  <c r="AR128" i="1" s="1"/>
  <c r="Q427" i="1"/>
  <c r="I231" i="19"/>
  <c r="AK13" i="1"/>
  <c r="AO13" i="1" s="1"/>
  <c r="Y258" i="4"/>
  <c r="O222" i="4" s="1"/>
  <c r="AG49" i="1" s="1"/>
  <c r="AO49" i="1" s="1"/>
  <c r="X245" i="4"/>
  <c r="M192" i="4" s="1"/>
  <c r="AD42" i="1" s="1"/>
  <c r="AN42" i="1" s="1"/>
  <c r="Y255" i="4"/>
  <c r="O219" i="4" s="1"/>
  <c r="AG34" i="1" s="1"/>
  <c r="AO34" i="1" s="1"/>
  <c r="I81" i="24"/>
  <c r="Y118" i="1" s="1"/>
  <c r="AN118" i="1" s="1"/>
  <c r="K82" i="24"/>
  <c r="I427" i="1"/>
  <c r="AO145" i="1"/>
  <c r="AS145" i="1" s="1"/>
  <c r="AO129" i="1"/>
  <c r="AS129" i="1" s="1"/>
  <c r="AN411" i="1"/>
  <c r="AQ411" i="1" s="1"/>
  <c r="G427" i="1"/>
  <c r="S427" i="1"/>
  <c r="AR107" i="1"/>
  <c r="AO298" i="1"/>
  <c r="AO341" i="1"/>
  <c r="S43" i="4"/>
  <c r="AO326" i="1"/>
  <c r="L86" i="3"/>
  <c r="E160" i="3" s="1"/>
  <c r="AO291" i="1"/>
  <c r="AN354" i="1"/>
  <c r="AO371" i="1"/>
  <c r="AO180" i="1"/>
  <c r="AP180" i="1" s="1"/>
  <c r="M164" i="3"/>
  <c r="AG255" i="1"/>
  <c r="AO255" i="1" s="1"/>
  <c r="AO185" i="1"/>
  <c r="AQ185" i="1" s="1"/>
  <c r="AO423" i="1"/>
  <c r="AQ423" i="1" s="1"/>
  <c r="AN83" i="1"/>
  <c r="F221" i="4"/>
  <c r="Q43" i="4"/>
  <c r="Q66" i="4" s="1"/>
  <c r="Q85" i="4" s="1"/>
  <c r="Q111" i="4" s="1"/>
  <c r="D143" i="4" s="1"/>
  <c r="L42" i="14"/>
  <c r="AO132" i="1"/>
  <c r="AR132" i="1" s="1"/>
  <c r="I216" i="19"/>
  <c r="N112" i="14"/>
  <c r="AG257" i="1"/>
  <c r="AO257" i="1" s="1"/>
  <c r="AN264" i="1"/>
  <c r="AN301" i="1"/>
  <c r="M261" i="4"/>
  <c r="Y261" i="4" s="1"/>
  <c r="O225" i="4" s="1"/>
  <c r="AG420" i="1" s="1"/>
  <c r="AO420" i="1" s="1"/>
  <c r="S250" i="4"/>
  <c r="X250" i="4" s="1"/>
  <c r="M197" i="4" s="1"/>
  <c r="AD335" i="1" s="1"/>
  <c r="AN335" i="1" s="1"/>
  <c r="AG83" i="1"/>
  <c r="AO83" i="1" s="1"/>
  <c r="L111" i="12"/>
  <c r="AD394" i="1" s="1"/>
  <c r="AN394" i="1" s="1"/>
  <c r="O295" i="15"/>
  <c r="X272" i="15"/>
  <c r="L237" i="15" s="1"/>
  <c r="AD278" i="1" s="1"/>
  <c r="AN278" i="1" s="1"/>
  <c r="K427" i="1"/>
  <c r="L42" i="13"/>
  <c r="AN412" i="1"/>
  <c r="AP412" i="1" s="1"/>
  <c r="M427" i="1"/>
  <c r="AG93" i="1"/>
  <c r="AO93" i="1" s="1"/>
  <c r="N42" i="13"/>
  <c r="AO57" i="1"/>
  <c r="N200" i="19"/>
  <c r="I227" i="19"/>
  <c r="U281" i="4"/>
  <c r="I306" i="19"/>
  <c r="L198" i="19"/>
  <c r="AN157" i="1"/>
  <c r="AP157" i="1" s="1"/>
  <c r="I248" i="19"/>
  <c r="X246" i="4"/>
  <c r="M193" i="4" s="1"/>
  <c r="AD52" i="1" s="1"/>
  <c r="AN52" i="1" s="1"/>
  <c r="X243" i="4"/>
  <c r="M190" i="4" s="1"/>
  <c r="AD37" i="1" s="1"/>
  <c r="AN37" i="1" s="1"/>
  <c r="AD92" i="1"/>
  <c r="AN92" i="1" s="1"/>
  <c r="N105" i="12"/>
  <c r="AG392" i="1" s="1"/>
  <c r="AO392" i="1" s="1"/>
  <c r="AO87" i="1"/>
  <c r="AS87" i="1" s="1"/>
  <c r="C24" i="24"/>
  <c r="C62" i="24" s="1"/>
  <c r="AN396" i="1"/>
  <c r="T93" i="4"/>
  <c r="T35" i="4"/>
  <c r="T39" i="4" s="1"/>
  <c r="O427" i="1"/>
  <c r="AN27" i="1"/>
  <c r="AO355" i="1"/>
  <c r="L112" i="14"/>
  <c r="AK375" i="1"/>
  <c r="AO375" i="1" s="1"/>
  <c r="N111" i="12"/>
  <c r="M82" i="3"/>
  <c r="I83" i="3" s="1"/>
  <c r="K152" i="3"/>
  <c r="M24" i="3"/>
  <c r="L79" i="5"/>
  <c r="AN319" i="1"/>
  <c r="J79" i="5"/>
  <c r="AO253" i="1"/>
  <c r="AP253" i="1" s="1"/>
  <c r="AO251" i="1"/>
  <c r="AP251" i="1" s="1"/>
  <c r="N234" i="2"/>
  <c r="J138" i="2"/>
  <c r="K32" i="24"/>
  <c r="K69" i="24"/>
  <c r="K70" i="24" s="1"/>
  <c r="AN28" i="1"/>
  <c r="AR28" i="1" s="1"/>
  <c r="I70" i="24"/>
  <c r="AN395" i="1"/>
  <c r="AO18" i="1"/>
  <c r="AO77" i="1"/>
  <c r="AR77" i="1" s="1"/>
  <c r="AO421" i="1"/>
  <c r="AN406" i="1"/>
  <c r="AQ406" i="1" s="1"/>
  <c r="L58" i="12"/>
  <c r="L61" i="12" s="1"/>
  <c r="N54" i="12" s="1"/>
  <c r="AN402" i="1"/>
  <c r="AN398" i="1"/>
  <c r="AP398" i="1" s="1"/>
  <c r="AO280" i="1"/>
  <c r="AN393" i="1"/>
  <c r="X287" i="15"/>
  <c r="L252" i="15" s="1"/>
  <c r="AD416" i="1" s="1"/>
  <c r="AN416" i="1" s="1"/>
  <c r="X286" i="15"/>
  <c r="L251" i="15" s="1"/>
  <c r="AD376" i="1" s="1"/>
  <c r="AN376" i="1" s="1"/>
  <c r="X285" i="15"/>
  <c r="L250" i="15" s="1"/>
  <c r="AD369" i="1" s="1"/>
  <c r="AN369" i="1" s="1"/>
  <c r="X284" i="15"/>
  <c r="L249" i="15" s="1"/>
  <c r="AD362" i="1" s="1"/>
  <c r="AN362" i="1" s="1"/>
  <c r="X283" i="15"/>
  <c r="L248" i="15" s="1"/>
  <c r="AD357" i="1" s="1"/>
  <c r="AN357" i="1" s="1"/>
  <c r="X282" i="15"/>
  <c r="L247" i="15" s="1"/>
  <c r="AD350" i="1" s="1"/>
  <c r="AN350" i="1" s="1"/>
  <c r="X281" i="15"/>
  <c r="L246" i="15" s="1"/>
  <c r="AD343" i="1" s="1"/>
  <c r="AN343" i="1" s="1"/>
  <c r="X280" i="15"/>
  <c r="L245" i="15" s="1"/>
  <c r="AD336" i="1" s="1"/>
  <c r="AN336" i="1" s="1"/>
  <c r="X277" i="15"/>
  <c r="L242" i="15" s="1"/>
  <c r="AD313" i="1" s="1"/>
  <c r="AN313" i="1" s="1"/>
  <c r="X276" i="15"/>
  <c r="L241" i="15" s="1"/>
  <c r="AD306" i="1" s="1"/>
  <c r="AN306" i="1" s="1"/>
  <c r="X275" i="15"/>
  <c r="L240" i="15" s="1"/>
  <c r="AD299" i="1" s="1"/>
  <c r="AN299" i="1" s="1"/>
  <c r="X274" i="15"/>
  <c r="L239" i="15" s="1"/>
  <c r="AD292" i="1" s="1"/>
  <c r="AN292" i="1" s="1"/>
  <c r="AN307" i="1"/>
  <c r="L234" i="2"/>
  <c r="E427" i="1"/>
  <c r="AO247" i="1"/>
  <c r="AQ247" i="1" s="1"/>
  <c r="AO242" i="1"/>
  <c r="AQ242" i="1" s="1"/>
  <c r="AN349" i="1"/>
  <c r="AO348" i="1"/>
  <c r="AO357" i="1"/>
  <c r="AN355" i="1"/>
  <c r="AN348" i="1"/>
  <c r="AO347" i="1"/>
  <c r="AO350" i="1"/>
  <c r="AO340" i="1"/>
  <c r="AN36" i="1"/>
  <c r="S66" i="4"/>
  <c r="S85" i="4" s="1"/>
  <c r="E194" i="4" s="1"/>
  <c r="F223" i="4"/>
  <c r="C20" i="24"/>
  <c r="C58" i="24" s="1"/>
  <c r="AO133" i="1"/>
  <c r="AR133" i="1" s="1"/>
  <c r="AN74" i="1"/>
  <c r="AO92" i="1"/>
  <c r="C28" i="24"/>
  <c r="C66" i="24" s="1"/>
  <c r="AN46" i="1"/>
  <c r="AO388" i="1"/>
  <c r="AN308" i="1"/>
  <c r="AO271" i="1"/>
  <c r="AO90" i="1"/>
  <c r="AR90" i="1" s="1"/>
  <c r="AO182" i="1"/>
  <c r="AQ182" i="1" s="1"/>
  <c r="AO177" i="1"/>
  <c r="AQ177" i="1" s="1"/>
  <c r="AN277" i="1"/>
  <c r="AO82" i="1"/>
  <c r="AN392" i="1"/>
  <c r="AN371" i="1"/>
  <c r="AN370" i="1"/>
  <c r="AO306" i="1"/>
  <c r="AO369" i="1"/>
  <c r="AN300" i="1"/>
  <c r="AO312" i="1"/>
  <c r="AO361" i="1"/>
  <c r="AO378" i="1"/>
  <c r="AO364" i="1"/>
  <c r="AO308" i="1"/>
  <c r="AO389" i="1"/>
  <c r="AN329" i="1"/>
  <c r="AO313" i="1"/>
  <c r="AN328" i="1"/>
  <c r="AO319" i="1"/>
  <c r="AO386" i="1"/>
  <c r="AN363" i="1"/>
  <c r="AN377" i="1"/>
  <c r="AN315" i="1"/>
  <c r="AN378" i="1"/>
  <c r="AO320" i="1"/>
  <c r="AO362" i="1"/>
  <c r="AN314" i="1"/>
  <c r="AO305" i="1"/>
  <c r="AO329" i="1"/>
  <c r="AO315" i="1"/>
  <c r="AO301" i="1"/>
  <c r="AO368" i="1"/>
  <c r="AO299" i="1"/>
  <c r="AO327" i="1"/>
  <c r="AN347" i="1"/>
  <c r="AR79" i="1"/>
  <c r="AN255" i="1"/>
  <c r="AO230" i="1"/>
  <c r="AQ230" i="1" s="1"/>
  <c r="AN298" i="1"/>
  <c r="AO226" i="1"/>
  <c r="AQ226" i="1" s="1"/>
  <c r="AO273" i="1"/>
  <c r="C59" i="24"/>
  <c r="AO284" i="1"/>
  <c r="AO264" i="1"/>
  <c r="AN375" i="1"/>
  <c r="AO94" i="1"/>
  <c r="AN45" i="1"/>
  <c r="AO165" i="1"/>
  <c r="AQ165" i="1" s="1"/>
  <c r="AN30" i="1"/>
  <c r="AO254" i="1"/>
  <c r="AP254" i="1" s="1"/>
  <c r="AO250" i="1"/>
  <c r="AQ250" i="1" s="1"/>
  <c r="AO222" i="1"/>
  <c r="AQ222" i="1" s="1"/>
  <c r="AN158" i="1"/>
  <c r="AP158" i="1" s="1"/>
  <c r="AN55" i="1"/>
  <c r="AO241" i="1"/>
  <c r="AP241" i="1" s="1"/>
  <c r="AN305" i="1"/>
  <c r="AN341" i="1"/>
  <c r="AO136" i="1"/>
  <c r="AS136" i="1" s="1"/>
  <c r="AO139" i="1"/>
  <c r="AR139" i="1" s="1"/>
  <c r="AO294" i="1"/>
  <c r="AO265" i="1"/>
  <c r="AO237" i="1"/>
  <c r="AP237" i="1" s="1"/>
  <c r="AN340" i="1"/>
  <c r="AO88" i="1"/>
  <c r="AR88" i="1" s="1"/>
  <c r="AO215" i="1"/>
  <c r="AN284" i="1"/>
  <c r="AO205" i="1"/>
  <c r="AP205" i="1" s="1"/>
  <c r="AO17" i="1"/>
  <c r="AN101" i="1"/>
  <c r="AO86" i="1"/>
  <c r="AR86" i="1" s="1"/>
  <c r="AO217" i="1"/>
  <c r="AP217" i="1" s="1"/>
  <c r="AO175" i="1"/>
  <c r="AP175" i="1" s="1"/>
  <c r="AO142" i="1"/>
  <c r="AS142" i="1" s="1"/>
  <c r="AO134" i="1"/>
  <c r="AS134" i="1" s="1"/>
  <c r="AN56" i="1"/>
  <c r="AN50" i="1"/>
  <c r="AN40" i="1"/>
  <c r="AN280" i="1"/>
  <c r="AN368" i="1"/>
  <c r="AO232" i="1"/>
  <c r="AP232" i="1" s="1"/>
  <c r="AO231" i="1"/>
  <c r="AQ231" i="1" s="1"/>
  <c r="C245" i="4"/>
  <c r="Y294" i="15"/>
  <c r="N259" i="15" s="1"/>
  <c r="AG101" i="1" s="1"/>
  <c r="AO101" i="1" s="1"/>
  <c r="T295" i="15"/>
  <c r="Y290" i="15"/>
  <c r="N255" i="15" s="1"/>
  <c r="AG97" i="1" s="1"/>
  <c r="AO97" i="1" s="1"/>
  <c r="Y292" i="15"/>
  <c r="N257" i="15" s="1"/>
  <c r="AG99" i="1" s="1"/>
  <c r="AO99" i="1" s="1"/>
  <c r="Q295" i="15"/>
  <c r="O296" i="15" s="1"/>
  <c r="Y293" i="15"/>
  <c r="N258" i="15" s="1"/>
  <c r="AG100" i="1" s="1"/>
  <c r="AO100" i="1" s="1"/>
  <c r="U295" i="15"/>
  <c r="X289" i="15"/>
  <c r="L254" i="15" s="1"/>
  <c r="AD60" i="1" s="1"/>
  <c r="AN60" i="1" s="1"/>
  <c r="X288" i="15"/>
  <c r="L253" i="15" s="1"/>
  <c r="AD417" i="1" s="1"/>
  <c r="AN417" i="1" s="1"/>
  <c r="X273" i="15"/>
  <c r="L238" i="15" s="1"/>
  <c r="AD285" i="1" s="1"/>
  <c r="AN285" i="1" s="1"/>
  <c r="X271" i="15"/>
  <c r="L236" i="15" s="1"/>
  <c r="AD271" i="1" s="1"/>
  <c r="AN271" i="1" s="1"/>
  <c r="X270" i="15"/>
  <c r="L235" i="15" s="1"/>
  <c r="AD265" i="1" s="1"/>
  <c r="AN265" i="1" s="1"/>
  <c r="X278" i="15"/>
  <c r="L243" i="15" s="1"/>
  <c r="AD320" i="1" s="1"/>
  <c r="AN320" i="1" s="1"/>
  <c r="R295" i="15"/>
  <c r="AN286" i="1"/>
  <c r="AN215" i="1"/>
  <c r="AO91" i="1"/>
  <c r="AS91" i="1" s="1"/>
  <c r="AO37" i="1"/>
  <c r="AO170" i="1"/>
  <c r="AQ170" i="1" s="1"/>
  <c r="AN75" i="1"/>
  <c r="AO47" i="1"/>
  <c r="AS22" i="1"/>
  <c r="AR8" i="1"/>
  <c r="AO262" i="1"/>
  <c r="AO42" i="1"/>
  <c r="AN159" i="1"/>
  <c r="AQ159" i="1" s="1"/>
  <c r="AO186" i="1"/>
  <c r="AQ186" i="1" s="1"/>
  <c r="AO252" i="1"/>
  <c r="AQ252" i="1" s="1"/>
  <c r="AO225" i="1"/>
  <c r="AP225" i="1" s="1"/>
  <c r="AO278" i="1"/>
  <c r="AO137" i="1"/>
  <c r="AR137" i="1" s="1"/>
  <c r="AO147" i="1"/>
  <c r="AS147" i="1" s="1"/>
  <c r="AO192" i="1"/>
  <c r="AP192" i="1" s="1"/>
  <c r="AO201" i="1"/>
  <c r="AQ201" i="1" s="1"/>
  <c r="AO227" i="1"/>
  <c r="AO235" i="1"/>
  <c r="AQ235" i="1" s="1"/>
  <c r="AN51" i="1"/>
  <c r="AO95" i="1"/>
  <c r="AO191" i="1"/>
  <c r="AP191" i="1" s="1"/>
  <c r="AO197" i="1"/>
  <c r="AQ197" i="1" s="1"/>
  <c r="AO202" i="1"/>
  <c r="AQ202" i="1" s="1"/>
  <c r="AO206" i="1"/>
  <c r="AP206" i="1" s="1"/>
  <c r="AO210" i="1"/>
  <c r="AQ210" i="1" s="1"/>
  <c r="AO221" i="1"/>
  <c r="AQ221" i="1" s="1"/>
  <c r="AO236" i="1"/>
  <c r="AP236" i="1" s="1"/>
  <c r="AN279" i="1"/>
  <c r="AN293" i="1"/>
  <c r="AN273" i="1"/>
  <c r="AO141" i="1"/>
  <c r="AS141" i="1" s="1"/>
  <c r="AO287" i="1"/>
  <c r="AO85" i="1"/>
  <c r="AR85" i="1" s="1"/>
  <c r="AO89" i="1"/>
  <c r="AR89" i="1" s="1"/>
  <c r="AO322" i="1"/>
  <c r="AO245" i="1"/>
  <c r="AQ245" i="1" s="1"/>
  <c r="AO143" i="1"/>
  <c r="AR143" i="1" s="1"/>
  <c r="AO270" i="1"/>
  <c r="AO292" i="1"/>
  <c r="C30" i="24"/>
  <c r="C68" i="24" s="1"/>
  <c r="AO334" i="1"/>
  <c r="AO220" i="1"/>
  <c r="AQ220" i="1" s="1"/>
  <c r="AN81" i="1"/>
  <c r="AO384" i="1"/>
  <c r="AO187" i="1"/>
  <c r="AQ187" i="1" s="1"/>
  <c r="AO212" i="1"/>
  <c r="AQ212" i="1" s="1"/>
  <c r="AO246" i="1"/>
  <c r="AP246" i="1" s="1"/>
  <c r="AN403" i="1"/>
  <c r="AN322" i="1"/>
  <c r="AO240" i="1"/>
  <c r="AN156" i="1"/>
  <c r="AP156" i="1" s="1"/>
  <c r="AN294" i="1"/>
  <c r="AN93" i="1"/>
  <c r="AR22" i="1"/>
  <c r="AN161" i="1"/>
  <c r="AQ161" i="1" s="1"/>
  <c r="AN94" i="1"/>
  <c r="AO190" i="1"/>
  <c r="AN154" i="1"/>
  <c r="AP154" i="1" s="1"/>
  <c r="AO211" i="1"/>
  <c r="AP211" i="1" s="1"/>
  <c r="AN80" i="1"/>
  <c r="AN31" i="1"/>
  <c r="AN41" i="1"/>
  <c r="AN34" i="1"/>
  <c r="AO181" i="1"/>
  <c r="AQ181" i="1" s="1"/>
  <c r="AO196" i="1"/>
  <c r="AQ196" i="1" s="1"/>
  <c r="AO207" i="1"/>
  <c r="AP207" i="1" s="1"/>
  <c r="AO176" i="1"/>
  <c r="AP176" i="1" s="1"/>
  <c r="AN54" i="1"/>
  <c r="K86" i="3"/>
  <c r="E159" i="3" s="1"/>
  <c r="AO14" i="1"/>
  <c r="AN404" i="1"/>
  <c r="AO96" i="1"/>
  <c r="AS96" i="1" s="1"/>
  <c r="AN35" i="1"/>
  <c r="AN364" i="1"/>
  <c r="AO376" i="1"/>
  <c r="F222" i="4"/>
  <c r="C242" i="4"/>
  <c r="AO172" i="1"/>
  <c r="AQ172" i="1" s="1"/>
  <c r="AN26" i="1"/>
  <c r="AO343" i="1"/>
  <c r="C246" i="4"/>
  <c r="F218" i="4"/>
  <c r="AN334" i="1"/>
  <c r="AO216" i="1"/>
  <c r="AN326" i="1"/>
  <c r="M44" i="4"/>
  <c r="M67" i="4" s="1"/>
  <c r="M85" i="4" s="1"/>
  <c r="M112" i="4" s="1"/>
  <c r="D140" i="4" s="1"/>
  <c r="C63" i="24"/>
  <c r="AS108" i="1"/>
  <c r="AR108" i="1"/>
  <c r="AR21" i="1"/>
  <c r="AR16" i="1"/>
  <c r="AS79" i="1"/>
  <c r="C247" i="4"/>
  <c r="AN407" i="1"/>
  <c r="AS8" i="1"/>
  <c r="AN100" i="1"/>
  <c r="AN49" i="1"/>
  <c r="AO263" i="1"/>
  <c r="AO166" i="1"/>
  <c r="AQ166" i="1" s="1"/>
  <c r="AO354" i="1"/>
  <c r="AR72" i="1"/>
  <c r="AR73" i="1"/>
  <c r="AS73" i="1"/>
  <c r="W426" i="1"/>
  <c r="AN99" i="1"/>
  <c r="AO144" i="1"/>
  <c r="AR144" i="1" s="1"/>
  <c r="AO403" i="1"/>
  <c r="AO140" i="1"/>
  <c r="AR140" i="1" s="1"/>
  <c r="AO138" i="1"/>
  <c r="AS138" i="1" s="1"/>
  <c r="AO84" i="1"/>
  <c r="AS84" i="1" s="1"/>
  <c r="AN76" i="1"/>
  <c r="AS16" i="1"/>
  <c r="AN15" i="1"/>
  <c r="AS15" i="1" s="1"/>
  <c r="AN11" i="1"/>
  <c r="AN29" i="1"/>
  <c r="AO167" i="1"/>
  <c r="AQ167" i="1" s="1"/>
  <c r="AN160" i="1"/>
  <c r="AQ160" i="1" s="1"/>
  <c r="AO130" i="1"/>
  <c r="AR130" i="1" s="1"/>
  <c r="AO52" i="1"/>
  <c r="C255" i="4"/>
  <c r="AO12" i="1"/>
  <c r="AN39" i="1"/>
  <c r="AO333" i="1"/>
  <c r="AN95" i="1"/>
  <c r="AN312" i="1"/>
  <c r="U426" i="1"/>
  <c r="AS21" i="1"/>
  <c r="AS72" i="1"/>
  <c r="V426" i="1"/>
  <c r="AO195" i="1"/>
  <c r="AR20" i="1"/>
  <c r="AS20" i="1"/>
  <c r="AO171" i="1"/>
  <c r="AO336" i="1"/>
  <c r="AN291" i="1"/>
  <c r="C257" i="4"/>
  <c r="AO146" i="1"/>
  <c r="AR146" i="1" s="1"/>
  <c r="AO131" i="1"/>
  <c r="AR131" i="1" s="1"/>
  <c r="AO135" i="1"/>
  <c r="AR135" i="1" s="1"/>
  <c r="AN47" i="1"/>
  <c r="AO200" i="1"/>
  <c r="AN153" i="1"/>
  <c r="AN44" i="1"/>
  <c r="AN287" i="1"/>
  <c r="O43" i="4"/>
  <c r="O66" i="4" s="1"/>
  <c r="O85" i="4" s="1"/>
  <c r="E190" i="4" s="1"/>
  <c r="AO277" i="1"/>
  <c r="AN270" i="1"/>
  <c r="F219" i="4"/>
  <c r="J63" i="15"/>
  <c r="G291" i="15" s="1"/>
  <c r="Y291" i="15" s="1"/>
  <c r="N256" i="15" s="1"/>
  <c r="AG98" i="1" s="1"/>
  <c r="AO98" i="1" s="1"/>
  <c r="AN361" i="1"/>
  <c r="Y279" i="15"/>
  <c r="N244" i="15" s="1"/>
  <c r="AG328" i="1" s="1"/>
  <c r="AO328" i="1" s="1"/>
  <c r="Y286" i="15"/>
  <c r="N251" i="15" s="1"/>
  <c r="AG377" i="1" s="1"/>
  <c r="AO377" i="1" s="1"/>
  <c r="Y285" i="15"/>
  <c r="N250" i="15" s="1"/>
  <c r="AG370" i="1" s="1"/>
  <c r="AO370" i="1" s="1"/>
  <c r="Y284" i="15"/>
  <c r="N249" i="15" s="1"/>
  <c r="AG363" i="1" s="1"/>
  <c r="AO363" i="1" s="1"/>
  <c r="Y283" i="15"/>
  <c r="AG356" i="1" s="1"/>
  <c r="AO356" i="1" s="1"/>
  <c r="Y282" i="15"/>
  <c r="AG349" i="1" s="1"/>
  <c r="AO349" i="1" s="1"/>
  <c r="Y281" i="15"/>
  <c r="AG342" i="1" s="1"/>
  <c r="AO342" i="1" s="1"/>
  <c r="Y280" i="15"/>
  <c r="AG335" i="1" s="1"/>
  <c r="AO335" i="1" s="1"/>
  <c r="Y277" i="15"/>
  <c r="AG314" i="1" s="1"/>
  <c r="AO314" i="1" s="1"/>
  <c r="Y275" i="15"/>
  <c r="N240" i="15" s="1"/>
  <c r="AG300" i="1" s="1"/>
  <c r="AO300" i="1" s="1"/>
  <c r="Y273" i="15"/>
  <c r="AG286" i="1" s="1"/>
  <c r="AO286" i="1" s="1"/>
  <c r="Y272" i="15"/>
  <c r="AG279" i="1" s="1"/>
  <c r="AO279" i="1" s="1"/>
  <c r="Y271" i="15"/>
  <c r="AG272" i="1" s="1"/>
  <c r="AO272" i="1" s="1"/>
  <c r="X279" i="15"/>
  <c r="L244" i="15" s="1"/>
  <c r="AD327" i="1" s="1"/>
  <c r="AN327" i="1" s="1"/>
  <c r="Y278" i="15"/>
  <c r="N243" i="15" s="1"/>
  <c r="AG321" i="1" s="1"/>
  <c r="AO321" i="1" s="1"/>
  <c r="L295" i="15"/>
  <c r="AN321" i="1"/>
  <c r="AO285" i="1"/>
  <c r="AN272" i="1"/>
  <c r="AN97" i="1"/>
  <c r="N239" i="15"/>
  <c r="AG293" i="1" s="1"/>
  <c r="AO293" i="1" s="1"/>
  <c r="J295" i="15"/>
  <c r="F295" i="15"/>
  <c r="L41" i="15"/>
  <c r="H291" i="15" s="1"/>
  <c r="X291" i="15" s="1"/>
  <c r="AO32" i="1"/>
  <c r="AG409" i="1"/>
  <c r="AO409" i="1" s="1"/>
  <c r="AA426" i="1"/>
  <c r="AN152" i="1"/>
  <c r="AO127" i="1"/>
  <c r="AS107" i="1"/>
  <c r="AG387" i="1"/>
  <c r="AO387" i="1" s="1"/>
  <c r="N295" i="15"/>
  <c r="K24" i="3"/>
  <c r="G36" i="5"/>
  <c r="I47" i="5" s="1"/>
  <c r="AN342" i="1"/>
  <c r="AN356" i="1"/>
  <c r="AN418" i="1"/>
  <c r="K128" i="3"/>
  <c r="M128" i="3"/>
  <c r="F57" i="3"/>
  <c r="H56" i="3" s="1"/>
  <c r="X152" i="1"/>
  <c r="P43" i="4"/>
  <c r="P66" i="4" s="1"/>
  <c r="P85" i="4" s="1"/>
  <c r="C244" i="4"/>
  <c r="F220" i="4"/>
  <c r="C258" i="4"/>
  <c r="R66" i="4"/>
  <c r="R85" i="4" s="1"/>
  <c r="L44" i="4"/>
  <c r="L67" i="4" s="1"/>
  <c r="L85" i="4" s="1"/>
  <c r="L112" i="4" s="1"/>
  <c r="D139" i="4" s="1"/>
  <c r="L113" i="12" l="1"/>
  <c r="I146" i="4"/>
  <c r="AP402" i="1"/>
  <c r="AI155" i="1"/>
  <c r="AN155" i="1" s="1"/>
  <c r="AP155" i="1" s="1"/>
  <c r="Y260" i="4"/>
  <c r="O224" i="4" s="1"/>
  <c r="AG256" i="1" s="1"/>
  <c r="AO256" i="1" s="1"/>
  <c r="AQ255" i="1" s="1"/>
  <c r="Q282" i="4"/>
  <c r="AS110" i="1"/>
  <c r="AR111" i="1"/>
  <c r="AP405" i="1"/>
  <c r="AS111" i="1"/>
  <c r="AR110" i="1"/>
  <c r="AP384" i="1"/>
  <c r="AI19" i="1"/>
  <c r="AN19" i="1" s="1"/>
  <c r="AR19" i="1" s="1"/>
  <c r="AQ404" i="1"/>
  <c r="U282" i="4"/>
  <c r="AR145" i="1"/>
  <c r="AQ158" i="1"/>
  <c r="AS128" i="1"/>
  <c r="AR129" i="1"/>
  <c r="AQ157" i="1"/>
  <c r="S281" i="4"/>
  <c r="S282" i="4" s="1"/>
  <c r="Y426" i="1"/>
  <c r="I82" i="24"/>
  <c r="H82" i="24" s="1"/>
  <c r="AP185" i="1"/>
  <c r="AR134" i="1"/>
  <c r="AS86" i="1"/>
  <c r="AP159" i="1"/>
  <c r="AP411" i="1"/>
  <c r="AP247" i="1"/>
  <c r="AS77" i="1"/>
  <c r="AS133" i="1"/>
  <c r="AQ192" i="1"/>
  <c r="AP231" i="1"/>
  <c r="AQ215" i="1"/>
  <c r="E192" i="4"/>
  <c r="AP212" i="1"/>
  <c r="AS144" i="1"/>
  <c r="AS28" i="1"/>
  <c r="AP197" i="1"/>
  <c r="AP196" i="1"/>
  <c r="AQ180" i="1"/>
  <c r="AS132" i="1"/>
  <c r="AP226" i="1"/>
  <c r="AP177" i="1"/>
  <c r="AP423" i="1"/>
  <c r="AS90" i="1"/>
  <c r="AQ251" i="1"/>
  <c r="AR80" i="1"/>
  <c r="AS57" i="1"/>
  <c r="S111" i="4"/>
  <c r="D145" i="4" s="1"/>
  <c r="AN25" i="1"/>
  <c r="AR25" i="1" s="1"/>
  <c r="AP406" i="1"/>
  <c r="AQ412" i="1"/>
  <c r="AP392" i="1"/>
  <c r="AQ384" i="1"/>
  <c r="AR74" i="1"/>
  <c r="AP210" i="1"/>
  <c r="AQ225" i="1"/>
  <c r="AP388" i="1"/>
  <c r="AS82" i="1"/>
  <c r="AS93" i="1"/>
  <c r="AR93" i="1"/>
  <c r="AR82" i="1"/>
  <c r="X281" i="4"/>
  <c r="AS17" i="1"/>
  <c r="AP182" i="1"/>
  <c r="M227" i="4"/>
  <c r="AQ392" i="1"/>
  <c r="AQ388" i="1"/>
  <c r="M281" i="4"/>
  <c r="L282" i="4" s="1"/>
  <c r="O227" i="4"/>
  <c r="Y281" i="4"/>
  <c r="AR57" i="1"/>
  <c r="AR87" i="1"/>
  <c r="AQ253" i="1"/>
  <c r="AQ257" i="1"/>
  <c r="AP257" i="1"/>
  <c r="AS85" i="1"/>
  <c r="G295" i="15"/>
  <c r="F296" i="15" s="1"/>
  <c r="AG394" i="1"/>
  <c r="AO394" i="1" s="1"/>
  <c r="N113" i="12"/>
  <c r="L114" i="12" s="1"/>
  <c r="AQ398" i="1"/>
  <c r="AQ211" i="1"/>
  <c r="AR47" i="1"/>
  <c r="Z118" i="1"/>
  <c r="Z426" i="1" s="1"/>
  <c r="H70" i="24"/>
  <c r="AQ156" i="1"/>
  <c r="AP242" i="1"/>
  <c r="AQ217" i="1"/>
  <c r="AQ237" i="1"/>
  <c r="AQ246" i="1"/>
  <c r="AP408" i="1"/>
  <c r="AQ205" i="1"/>
  <c r="AQ402" i="1"/>
  <c r="AS137" i="1"/>
  <c r="AP201" i="1"/>
  <c r="AP221" i="1"/>
  <c r="AQ254" i="1"/>
  <c r="AP230" i="1"/>
  <c r="AS37" i="1"/>
  <c r="AP186" i="1"/>
  <c r="AS92" i="1"/>
  <c r="L296" i="15"/>
  <c r="AS42" i="1"/>
  <c r="AS140" i="1"/>
  <c r="AQ232" i="1"/>
  <c r="AR147" i="1"/>
  <c r="AQ175" i="1"/>
  <c r="AP202" i="1"/>
  <c r="AR17" i="1"/>
  <c r="AS139" i="1"/>
  <c r="AR136" i="1"/>
  <c r="AS89" i="1"/>
  <c r="AP170" i="1"/>
  <c r="AQ236" i="1"/>
  <c r="AS143" i="1"/>
  <c r="AS80" i="1"/>
  <c r="AP250" i="1"/>
  <c r="AR34" i="1"/>
  <c r="AQ206" i="1"/>
  <c r="AP222" i="1"/>
  <c r="AQ241" i="1"/>
  <c r="AP165" i="1"/>
  <c r="AP166" i="1"/>
  <c r="AP160" i="1"/>
  <c r="AP220" i="1"/>
  <c r="AR42" i="1"/>
  <c r="AS94" i="1"/>
  <c r="AP255" i="1"/>
  <c r="AS34" i="1"/>
  <c r="AR29" i="1"/>
  <c r="AR91" i="1"/>
  <c r="AR142" i="1"/>
  <c r="AR92" i="1"/>
  <c r="AP245" i="1"/>
  <c r="AS97" i="1"/>
  <c r="AP161" i="1"/>
  <c r="AQ154" i="1"/>
  <c r="AS88" i="1"/>
  <c r="AR94" i="1"/>
  <c r="AQ191" i="1"/>
  <c r="AP187" i="1"/>
  <c r="AP235" i="1"/>
  <c r="AP181" i="1"/>
  <c r="AS131" i="1"/>
  <c r="AS54" i="1"/>
  <c r="AR99" i="1"/>
  <c r="AR101" i="1"/>
  <c r="AS101" i="1"/>
  <c r="E189" i="4"/>
  <c r="AP252" i="1"/>
  <c r="AR12" i="1"/>
  <c r="AR141" i="1"/>
  <c r="AS95" i="1"/>
  <c r="AP215" i="1"/>
  <c r="AP227" i="1"/>
  <c r="AQ227" i="1"/>
  <c r="AP240" i="1"/>
  <c r="AQ240" i="1"/>
  <c r="AS47" i="1"/>
  <c r="AP404" i="1"/>
  <c r="AR54" i="1"/>
  <c r="AQ207" i="1"/>
  <c r="AS52" i="1"/>
  <c r="AP172" i="1"/>
  <c r="AR37" i="1"/>
  <c r="AR96" i="1"/>
  <c r="AQ176" i="1"/>
  <c r="AQ190" i="1"/>
  <c r="AP190" i="1"/>
  <c r="AA427" i="1"/>
  <c r="AS29" i="1"/>
  <c r="AR44" i="1"/>
  <c r="AR97" i="1"/>
  <c r="AP216" i="1"/>
  <c r="AQ216" i="1"/>
  <c r="AS12" i="1"/>
  <c r="AR39" i="1"/>
  <c r="AS135" i="1"/>
  <c r="AS146" i="1"/>
  <c r="AS44" i="1"/>
  <c r="AR100" i="1"/>
  <c r="AR15" i="1"/>
  <c r="AR95" i="1"/>
  <c r="AQ407" i="1"/>
  <c r="AP407" i="1"/>
  <c r="AR52" i="1"/>
  <c r="AP167" i="1"/>
  <c r="AS74" i="1"/>
  <c r="AS39" i="1"/>
  <c r="O111" i="4"/>
  <c r="D141" i="4" s="1"/>
  <c r="AR138" i="1"/>
  <c r="AQ403" i="1"/>
  <c r="AP403" i="1"/>
  <c r="AS100" i="1"/>
  <c r="AR84" i="1"/>
  <c r="AS130" i="1"/>
  <c r="AR11" i="1"/>
  <c r="AS11" i="1"/>
  <c r="AS9" i="1"/>
  <c r="AS99" i="1"/>
  <c r="AP153" i="1"/>
  <c r="AQ195" i="1"/>
  <c r="AP195" i="1"/>
  <c r="U427" i="1"/>
  <c r="AQ200" i="1"/>
  <c r="AP200" i="1"/>
  <c r="AP171" i="1"/>
  <c r="AQ171" i="1"/>
  <c r="Y295" i="15"/>
  <c r="AD98" i="1"/>
  <c r="AN98" i="1" s="1"/>
  <c r="AR98" i="1" s="1"/>
  <c r="H295" i="15"/>
  <c r="H296" i="15" s="1"/>
  <c r="E193" i="4"/>
  <c r="R111" i="4"/>
  <c r="D144" i="4" s="1"/>
  <c r="E191" i="4"/>
  <c r="P111" i="4"/>
  <c r="D142" i="4" s="1"/>
  <c r="AQ386" i="1"/>
  <c r="AP386" i="1"/>
  <c r="AG307" i="1"/>
  <c r="AO307" i="1" s="1"/>
  <c r="N260" i="15"/>
  <c r="AR32" i="1"/>
  <c r="AS32" i="1"/>
  <c r="X426" i="1"/>
  <c r="AO152" i="1"/>
  <c r="AP152" i="1" s="1"/>
  <c r="AP417" i="1"/>
  <c r="AQ417" i="1"/>
  <c r="AR127" i="1"/>
  <c r="AS127" i="1"/>
  <c r="AP420" i="1"/>
  <c r="AQ420" i="1"/>
  <c r="AS49" i="1"/>
  <c r="AR49" i="1"/>
  <c r="AQ416" i="1"/>
  <c r="AP416" i="1"/>
  <c r="AP409" i="1"/>
  <c r="AQ409" i="1"/>
  <c r="AQ155" i="1" l="1"/>
  <c r="AS19" i="1"/>
  <c r="Y427" i="1"/>
  <c r="X282" i="4"/>
  <c r="AS25" i="1"/>
  <c r="AO118" i="1"/>
  <c r="AQ152" i="1"/>
  <c r="L260" i="15"/>
  <c r="L261" i="15" s="1"/>
  <c r="AP394" i="1"/>
  <c r="AQ394" i="1"/>
  <c r="AS98" i="1"/>
  <c r="X295" i="15"/>
  <c r="X296" i="15" s="1"/>
  <c r="W427" i="1"/>
  <c r="E155" i="25"/>
  <c r="E159" i="25"/>
  <c r="AR118" i="1" l="1"/>
  <c r="G159" i="25"/>
  <c r="C121" i="25" s="1"/>
  <c r="H159" i="25"/>
  <c r="H155" i="25"/>
  <c r="G155" i="25"/>
  <c r="E150" i="25"/>
  <c r="E153" i="25"/>
  <c r="C115" i="25" l="1"/>
  <c r="AD112" i="1" s="1"/>
  <c r="AN112" i="1" s="1"/>
  <c r="D115" i="25"/>
  <c r="AG112" i="1" s="1"/>
  <c r="D121" i="25"/>
  <c r="H153" i="25"/>
  <c r="G153" i="25"/>
  <c r="H150" i="25"/>
  <c r="G150" i="25"/>
  <c r="C110" i="25" s="1"/>
  <c r="E131" i="25"/>
  <c r="E151" i="25"/>
  <c r="AD62" i="1" l="1"/>
  <c r="AN62" i="1" s="1"/>
  <c r="AO112" i="1"/>
  <c r="AS112" i="1" s="1"/>
  <c r="C113" i="25"/>
  <c r="D113" i="25"/>
  <c r="AO60" i="1"/>
  <c r="AS60" i="1" s="1"/>
  <c r="D110" i="25"/>
  <c r="AG62" i="1" s="1"/>
  <c r="AO62" i="1" s="1"/>
  <c r="G151" i="25"/>
  <c r="H151" i="25"/>
  <c r="G131" i="25"/>
  <c r="H131" i="25"/>
  <c r="E147" i="25"/>
  <c r="E138" i="25"/>
  <c r="E148" i="25"/>
  <c r="E139" i="25"/>
  <c r="E136" i="25"/>
  <c r="E146" i="25"/>
  <c r="E137" i="25"/>
  <c r="E144" i="25"/>
  <c r="E133" i="25"/>
  <c r="E135" i="25"/>
  <c r="E141" i="25"/>
  <c r="E143" i="25"/>
  <c r="E149" i="25"/>
  <c r="E142" i="25"/>
  <c r="E134" i="25"/>
  <c r="E140" i="25"/>
  <c r="E145" i="25"/>
  <c r="AR112" i="1" l="1"/>
  <c r="AN63" i="1"/>
  <c r="AD61" i="1"/>
  <c r="AO63" i="1"/>
  <c r="AG61" i="1"/>
  <c r="AO61" i="1" s="1"/>
  <c r="AS62" i="1"/>
  <c r="AR62" i="1"/>
  <c r="C111" i="25"/>
  <c r="AR60" i="1"/>
  <c r="D111" i="25"/>
  <c r="AG64" i="1" s="1"/>
  <c r="AO64" i="1" s="1"/>
  <c r="D160" i="25"/>
  <c r="C91" i="25"/>
  <c r="AD119" i="1" s="1"/>
  <c r="AN119" i="1" s="1"/>
  <c r="H134" i="25"/>
  <c r="G134" i="25"/>
  <c r="G141" i="25"/>
  <c r="H141" i="25"/>
  <c r="G137" i="25"/>
  <c r="H137" i="25"/>
  <c r="H148" i="25"/>
  <c r="G148" i="25"/>
  <c r="D91" i="25"/>
  <c r="AG119" i="1" s="1"/>
  <c r="AO119" i="1" s="1"/>
  <c r="H142" i="25"/>
  <c r="G142" i="25"/>
  <c r="G135" i="25"/>
  <c r="H135" i="25"/>
  <c r="H146" i="25"/>
  <c r="G146" i="25"/>
  <c r="H138" i="25"/>
  <c r="G138" i="25"/>
  <c r="H145" i="25"/>
  <c r="G145" i="25"/>
  <c r="H149" i="25"/>
  <c r="G149" i="25"/>
  <c r="C160" i="25"/>
  <c r="H136" i="25"/>
  <c r="G136" i="25"/>
  <c r="G147" i="25"/>
  <c r="H147" i="25"/>
  <c r="H140" i="25"/>
  <c r="G140" i="25"/>
  <c r="G143" i="25"/>
  <c r="H143" i="25"/>
  <c r="H144" i="25"/>
  <c r="G144" i="25"/>
  <c r="H139" i="25"/>
  <c r="G139" i="25"/>
  <c r="AR119" i="1" l="1"/>
  <c r="AS118" i="1"/>
  <c r="AS63" i="1"/>
  <c r="AN61" i="1"/>
  <c r="AS61" i="1" s="1"/>
  <c r="AD64" i="1"/>
  <c r="AN64" i="1" s="1"/>
  <c r="AR63" i="1"/>
  <c r="C104" i="25"/>
  <c r="AD344" i="1" s="1"/>
  <c r="AN344" i="1" s="1"/>
  <c r="C96" i="25"/>
  <c r="AD288" i="1" s="1"/>
  <c r="AN288" i="1" s="1"/>
  <c r="D98" i="25"/>
  <c r="AG302" i="1" s="1"/>
  <c r="AO302" i="1" s="1"/>
  <c r="C95" i="25"/>
  <c r="AD281" i="1" s="1"/>
  <c r="AN281" i="1" s="1"/>
  <c r="C108" i="25"/>
  <c r="AD372" i="1" s="1"/>
  <c r="AN372" i="1" s="1"/>
  <c r="D101" i="25"/>
  <c r="AG323" i="1" s="1"/>
  <c r="AO323" i="1" s="1"/>
  <c r="D104" i="25"/>
  <c r="AG344" i="1" s="1"/>
  <c r="AO344" i="1" s="1"/>
  <c r="D100" i="25"/>
  <c r="AG316" i="1" s="1"/>
  <c r="AO316" i="1" s="1"/>
  <c r="D96" i="25"/>
  <c r="AG288" i="1" s="1"/>
  <c r="AO288" i="1" s="1"/>
  <c r="C105" i="25"/>
  <c r="AD351" i="1" s="1"/>
  <c r="AN351" i="1" s="1"/>
  <c r="C106" i="25"/>
  <c r="AD358" i="1" s="1"/>
  <c r="AN358" i="1" s="1"/>
  <c r="C102" i="25"/>
  <c r="AD330" i="1" s="1"/>
  <c r="AN330" i="1" s="1"/>
  <c r="D108" i="25"/>
  <c r="AG372" i="1" s="1"/>
  <c r="AO372" i="1" s="1"/>
  <c r="C101" i="25"/>
  <c r="AD323" i="1" s="1"/>
  <c r="AN323" i="1" s="1"/>
  <c r="C100" i="25"/>
  <c r="AD316" i="1" s="1"/>
  <c r="AN316" i="1" s="1"/>
  <c r="D109" i="25"/>
  <c r="AG379" i="1" s="1"/>
  <c r="AO379" i="1" s="1"/>
  <c r="C99" i="25"/>
  <c r="AD309" i="1" s="1"/>
  <c r="AN309" i="1" s="1"/>
  <c r="D103" i="25"/>
  <c r="AG337" i="1" s="1"/>
  <c r="AO337" i="1" s="1"/>
  <c r="D107" i="25"/>
  <c r="AG365" i="1" s="1"/>
  <c r="AO365" i="1" s="1"/>
  <c r="D105" i="25"/>
  <c r="AG351" i="1" s="1"/>
  <c r="AO351" i="1" s="1"/>
  <c r="D106" i="25"/>
  <c r="AG358" i="1" s="1"/>
  <c r="AO358" i="1" s="1"/>
  <c r="D102" i="25"/>
  <c r="AG330" i="1" s="1"/>
  <c r="AO330" i="1" s="1"/>
  <c r="D97" i="25"/>
  <c r="AG295" i="1" s="1"/>
  <c r="AO295" i="1" s="1"/>
  <c r="C94" i="25"/>
  <c r="AD274" i="1" s="1"/>
  <c r="AN274" i="1" s="1"/>
  <c r="D99" i="25"/>
  <c r="AG309" i="1" s="1"/>
  <c r="AO309" i="1" s="1"/>
  <c r="C103" i="25"/>
  <c r="AD337" i="1" s="1"/>
  <c r="AN337" i="1" s="1"/>
  <c r="C107" i="25"/>
  <c r="AD365" i="1" s="1"/>
  <c r="AN365" i="1" s="1"/>
  <c r="C109" i="25"/>
  <c r="AD379" i="1" s="1"/>
  <c r="AN379" i="1" s="1"/>
  <c r="C98" i="25"/>
  <c r="AD302" i="1" s="1"/>
  <c r="AN302" i="1" s="1"/>
  <c r="D95" i="25"/>
  <c r="AG281" i="1" s="1"/>
  <c r="AO281" i="1" s="1"/>
  <c r="C97" i="25"/>
  <c r="AD295" i="1" s="1"/>
  <c r="AN295" i="1" s="1"/>
  <c r="D94" i="25"/>
  <c r="AG274" i="1" s="1"/>
  <c r="AO274" i="1" s="1"/>
  <c r="E160" i="25"/>
  <c r="H133" i="25" s="1"/>
  <c r="D93" i="25" s="1"/>
  <c r="AG266" i="1" s="1"/>
  <c r="AP333" i="1" l="1"/>
  <c r="AP361" i="1"/>
  <c r="AP291" i="1"/>
  <c r="AP340" i="1"/>
  <c r="AP354" i="1"/>
  <c r="AR61" i="1"/>
  <c r="AP270" i="1"/>
  <c r="AP319" i="1"/>
  <c r="AP347" i="1"/>
  <c r="AP284" i="1"/>
  <c r="AP368" i="1"/>
  <c r="AP305" i="1"/>
  <c r="AP312" i="1"/>
  <c r="AP298" i="1"/>
  <c r="AP375" i="1"/>
  <c r="AP326" i="1"/>
  <c r="AP277" i="1"/>
  <c r="AR64" i="1"/>
  <c r="AS64" i="1"/>
  <c r="AQ333" i="1"/>
  <c r="AQ319" i="1"/>
  <c r="AQ347" i="1"/>
  <c r="AQ284" i="1"/>
  <c r="AQ298" i="1"/>
  <c r="AQ305" i="1"/>
  <c r="AQ368" i="1"/>
  <c r="AQ340" i="1"/>
  <c r="AQ375" i="1"/>
  <c r="AQ270" i="1"/>
  <c r="AQ326" i="1"/>
  <c r="AQ277" i="1"/>
  <c r="AQ291" i="1"/>
  <c r="AQ361" i="1"/>
  <c r="AQ312" i="1"/>
  <c r="AQ354" i="1"/>
  <c r="G133" i="25"/>
  <c r="C92" i="25"/>
  <c r="AD23" i="1" s="1"/>
  <c r="H132" i="25"/>
  <c r="D92" i="25" s="1"/>
  <c r="AO266" i="1"/>
  <c r="AG102" i="1" l="1"/>
  <c r="AD102" i="1"/>
  <c r="AN102" i="1" s="1"/>
  <c r="AN23" i="1"/>
  <c r="C93" i="25"/>
  <c r="G160" i="25"/>
  <c r="H160" i="25"/>
  <c r="D123" i="25"/>
  <c r="AD266" i="1" l="1"/>
  <c r="AN266" i="1" s="1"/>
  <c r="AP262" i="1" s="1"/>
  <c r="C123" i="25"/>
  <c r="AD426" i="1"/>
  <c r="AR23" i="1"/>
  <c r="AS23" i="1"/>
  <c r="AO102" i="1"/>
  <c r="AG426" i="1"/>
  <c r="AQ262" i="1" l="1"/>
  <c r="AQ426" i="1" s="1"/>
  <c r="AP426" i="1"/>
  <c r="AD427" i="1"/>
  <c r="AS102" i="1"/>
  <c r="AR102" i="1"/>
  <c r="AQ428" i="1" l="1"/>
  <c r="AR123" i="1" s="1"/>
  <c r="AP428" i="1"/>
  <c r="AQ430" i="1" l="1"/>
  <c r="AS123" i="1"/>
  <c r="AP430" i="1"/>
  <c r="J308" i="19"/>
  <c r="AI124" i="1" s="1"/>
  <c r="J332" i="19" l="1"/>
  <c r="N202" i="19"/>
  <c r="L331" i="19" s="1"/>
  <c r="AK149" i="1" s="1"/>
  <c r="AO149" i="1" s="1"/>
  <c r="AN124" i="1"/>
  <c r="AI426" i="1"/>
  <c r="L332" i="19" l="1"/>
  <c r="AK426" i="1"/>
  <c r="AI427" i="1" s="1"/>
  <c r="AO426" i="1"/>
  <c r="AR149" i="1"/>
  <c r="AS149" i="1"/>
  <c r="AR124" i="1"/>
  <c r="AS124" i="1"/>
  <c r="AN426" i="1"/>
  <c r="AS426" i="1" l="1"/>
  <c r="AN427" i="1"/>
  <c r="AR426" i="1"/>
  <c r="AR42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LGC</author>
    <author>tc={D3605992-DCD2-471B-A8AC-FAC48EDBF9E6}</author>
  </authors>
  <commentList>
    <comment ref="C79" authorId="0" shapeId="0" xr:uid="{00000000-0006-0000-0100-000001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C107" authorId="0" shapeId="0" xr:uid="{00000000-0006-0000-0100-000002000000}">
      <text>
        <r>
          <rPr>
            <b/>
            <sz val="8"/>
            <color indexed="81"/>
            <rFont val="Tahoma"/>
            <family val="2"/>
          </rPr>
          <t>LGC:</t>
        </r>
        <r>
          <rPr>
            <sz val="8"/>
            <color indexed="81"/>
            <rFont val="Tahoma"/>
            <family val="2"/>
          </rPr>
          <t xml:space="preserve">
Previously treated as the prepaid portion of deferred revenue. Reported as unearned revenue in both modified and full accrual.</t>
        </r>
      </text>
    </comment>
    <comment ref="AM122" authorId="1" shapeId="0" xr:uid="{D3605992-DCD2-471B-A8AC-FAC48EDBF9E6}">
      <text>
        <t>[Threaded comment]
Your version of Excel allows you to read this threaded comment; however, any edits to it will get removed if the file is opened in a newer version of Excel. Learn more: https://go.microsoft.com/fwlink/?linkid=870924
Comment:
    record beg. FB DIPNC 2018</t>
      </text>
    </comment>
    <comment ref="C160" authorId="0" shapeId="0" xr:uid="{00000000-0006-0000-01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61" authorId="0" shapeId="0" xr:uid="{00000000-0006-0000-01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7" authorId="0" shapeId="0" xr:uid="{BF197156-B9F3-4274-A205-6356FD9D3BE8}">
      <text>
        <r>
          <rPr>
            <b/>
            <sz val="9"/>
            <color indexed="81"/>
            <rFont val="Tahoma"/>
            <charset val="1"/>
          </rPr>
          <t>Preeta Nayak:</t>
        </r>
        <r>
          <rPr>
            <sz val="9"/>
            <color indexed="81"/>
            <rFont val="Tahoma"/>
            <charset val="1"/>
          </rPr>
          <t xml:space="preserve">
unit joined in March of 2017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6" authorId="0" shapeId="0" xr:uid="{CAB7067F-0D1F-4B6C-AB6C-2CCC38BF29C5}">
      <text>
        <r>
          <rPr>
            <b/>
            <sz val="9"/>
            <color indexed="81"/>
            <rFont val="Tahoma"/>
            <charset val="1"/>
          </rPr>
          <t>Preeta Nayak:</t>
        </r>
        <r>
          <rPr>
            <sz val="9"/>
            <color indexed="81"/>
            <rFont val="Tahoma"/>
            <charset val="1"/>
          </rPr>
          <t xml:space="preserve">
unit joined in March of 2017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tc={9CE55FF3-F71C-4597-9CDE-C938B41DBE0C}</author>
  </authors>
  <commentList>
    <comment ref="D43" authorId="0" shapeId="0" xr:uid="{9CE55FF3-F71C-4597-9CDE-C938B41DBE0C}">
      <text>
        <t>[Threaded comment]
Your version of Excel allows you to read this threaded comment; however, any edits to it will get removed if the file is opened in a newer version of Excel. Learn more: https://go.microsoft.com/fwlink/?linkid=870924
Comment:
    PY contribution amont (from info tab of the JE template on website)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C34" authorId="0" shapeId="0" xr:uid="{00000000-0006-0000-0300-000001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35" authorId="0" shapeId="0" xr:uid="{00000000-0006-0000-0300-000002000000}">
      <text>
        <r>
          <rPr>
            <b/>
            <sz val="8"/>
            <color indexed="81"/>
            <rFont val="Tahoma"/>
            <family val="2"/>
          </rPr>
          <t>LGC:</t>
        </r>
        <r>
          <rPr>
            <sz val="8"/>
            <color indexed="81"/>
            <rFont val="Tahoma"/>
            <family val="2"/>
          </rPr>
          <t xml:space="preserve">
Significant events that must be both unusual in nature and infrequent in occurrence</t>
        </r>
      </text>
    </comment>
    <comment ref="C137" authorId="0" shapeId="0" xr:uid="{00000000-0006-0000-0300-000003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C138" authorId="0" shapeId="0" xr:uid="{00000000-0006-0000-0300-000004000000}">
      <text>
        <r>
          <rPr>
            <b/>
            <sz val="8"/>
            <color indexed="81"/>
            <rFont val="Tahoma"/>
            <family val="2"/>
          </rPr>
          <t>LGC:</t>
        </r>
        <r>
          <rPr>
            <sz val="8"/>
            <color indexed="81"/>
            <rFont val="Tahoma"/>
            <family val="2"/>
          </rPr>
          <t xml:space="preserve">
Significant events that must be both unusual in nature and infrequent in occurrence</t>
        </r>
      </text>
    </comment>
    <comment ref="B154" authorId="0" shapeId="0" xr:uid="{00000000-0006-0000-0300-000005000000}">
      <text>
        <r>
          <rPr>
            <b/>
            <sz val="8"/>
            <color indexed="81"/>
            <rFont val="Tahoma"/>
            <family val="2"/>
          </rPr>
          <t>LGC:</t>
        </r>
        <r>
          <rPr>
            <sz val="8"/>
            <color indexed="81"/>
            <rFont val="Tahoma"/>
            <family val="2"/>
          </rPr>
          <t xml:space="preserve">
Significant items, subject to management control, that meet one of the criteria of 1)unusual in nature, or 2) infrequent in occurrence - not reasonably expected to recur in the foreseeable future.)</t>
        </r>
      </text>
    </comment>
    <comment ref="B155" authorId="0" shapeId="0" xr:uid="{00000000-0006-0000-0300-000006000000}">
      <text>
        <r>
          <rPr>
            <b/>
            <sz val="8"/>
            <color indexed="81"/>
            <rFont val="Tahoma"/>
            <family val="2"/>
          </rPr>
          <t>LGC:</t>
        </r>
        <r>
          <rPr>
            <sz val="8"/>
            <color indexed="81"/>
            <rFont val="Tahoma"/>
            <family val="2"/>
          </rPr>
          <t xml:space="preserve">
Significant events that must be both unusual in nature and infrequent in occurrence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LGC0206</author>
  </authors>
  <commentList>
    <comment ref="C90" authorId="0" shapeId="0" xr:uid="{00000000-0006-0000-0500-000001000000}">
      <text>
        <r>
          <rPr>
            <b/>
            <sz val="8"/>
            <color indexed="81"/>
            <rFont val="Tahoma"/>
            <family val="2"/>
          </rPr>
          <t>LGC:</t>
        </r>
        <r>
          <rPr>
            <sz val="8"/>
            <color indexed="81"/>
            <rFont val="Tahoma"/>
            <family val="2"/>
          </rPr>
          <t xml:space="preserve">
A special item is a "material" transaction that is either unusual in nature, or infrequent in occurrence, and subject to management's control.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D37" authorId="0" shapeId="0" xr:uid="{00000000-0006-0000-0600-000001000000}">
      <text>
        <r>
          <rPr>
            <b/>
            <sz val="8"/>
            <color indexed="81"/>
            <rFont val="Tahoma"/>
            <family val="2"/>
          </rPr>
          <t>LGC:</t>
        </r>
        <r>
          <rPr>
            <sz val="8"/>
            <color indexed="81"/>
            <rFont val="Tahoma"/>
            <family val="2"/>
          </rPr>
          <t xml:space="preserve">
Assume that this was recorded as an 
other financing source since it is a special item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LGC</author>
  </authors>
  <commentList>
    <comment ref="B46" authorId="0" shapeId="0" xr:uid="{00000000-0006-0000-0900-000001000000}">
      <text>
        <r>
          <rPr>
            <b/>
            <sz val="8"/>
            <color indexed="81"/>
            <rFont val="Tahoma"/>
            <family val="2"/>
          </rPr>
          <t>LGC:</t>
        </r>
        <r>
          <rPr>
            <sz val="8"/>
            <color indexed="81"/>
            <rFont val="Tahoma"/>
            <family val="2"/>
          </rPr>
          <t xml:space="preserve">
Recognizing an expenditure at the time of purchase.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6" authorId="0" shapeId="0" xr:uid="{4F6A4F22-5857-4B6C-B15C-9714719FDD39}">
      <text>
        <r>
          <rPr>
            <b/>
            <sz val="9"/>
            <color indexed="81"/>
            <rFont val="Tahoma"/>
            <family val="2"/>
          </rPr>
          <t>Becky Dzingeleski:</t>
        </r>
        <r>
          <rPr>
            <sz val="9"/>
            <color indexed="81"/>
            <rFont val="Tahoma"/>
            <family val="2"/>
          </rPr>
          <t xml:space="preserve">
Per FOD - new unit.  TSERS Contributions began in 2018</t>
        </r>
      </text>
    </comment>
    <comment ref="A24" authorId="0" shapeId="0" xr:uid="{7F3BF1DC-0B07-4E30-B7C4-7CE1DB597AB2}">
      <text>
        <r>
          <rPr>
            <b/>
            <sz val="9"/>
            <color indexed="81"/>
            <rFont val="Tahoma"/>
            <family val="2"/>
          </rPr>
          <t>Becky Dzingeleski:</t>
        </r>
        <r>
          <rPr>
            <sz val="9"/>
            <color indexed="81"/>
            <rFont val="Tahoma"/>
            <family val="2"/>
          </rPr>
          <t xml:space="preserve">
Per FOD this unit merged with HEALTH &amp; HUMAN SVCS (12220)</t>
        </r>
      </text>
    </comment>
    <comment ref="A25" authorId="0" shapeId="0" xr:uid="{ADE83C94-1172-42C3-8885-56EE812E89AB}">
      <text>
        <r>
          <rPr>
            <b/>
            <sz val="9"/>
            <color indexed="81"/>
            <rFont val="Tahoma"/>
            <family val="2"/>
          </rPr>
          <t>Becky Dzingeleski:</t>
        </r>
        <r>
          <rPr>
            <sz val="9"/>
            <color indexed="81"/>
            <rFont val="Tahoma"/>
            <family val="2"/>
          </rPr>
          <t xml:space="preserve">
Per FOD This unit includes DEPARTMENT OF HEALTH SERVICES        (12200)</t>
        </r>
      </text>
    </comment>
    <comment ref="A26" authorId="0" shapeId="0" xr:uid="{4102AA79-15C1-4D7A-AB65-510C0F19A883}">
      <text>
        <r>
          <rPr>
            <b/>
            <sz val="9"/>
            <color indexed="81"/>
            <rFont val="Tahoma"/>
            <family val="2"/>
          </rPr>
          <t>Becky Dzingeleski:</t>
        </r>
        <r>
          <rPr>
            <sz val="9"/>
            <color indexed="81"/>
            <rFont val="Tahoma"/>
            <family val="2"/>
          </rPr>
          <t xml:space="preserve">
Per FOD This unit includes DEPARTMENT OF HEALTH SERVICES        (12200)</t>
        </r>
      </text>
    </comment>
    <comment ref="B32" authorId="0" shapeId="0" xr:uid="{21EBB98D-FEAE-4E52-97E0-E9C03F8415FC}">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4" authorId="0" shapeId="0" xr:uid="{DB1F656C-E1FF-44E8-B660-46A57EDA62DF}">
      <text>
        <r>
          <rPr>
            <b/>
            <sz val="9"/>
            <color indexed="81"/>
            <rFont val="Tahoma"/>
            <family val="2"/>
          </rPr>
          <t>Becky Dzingeleski:</t>
        </r>
        <r>
          <rPr>
            <sz val="9"/>
            <color indexed="81"/>
            <rFont val="Tahoma"/>
            <family val="2"/>
          </rPr>
          <t xml:space="preserve">
Per FOD Unit is a CU of 14300</t>
        </r>
      </text>
    </comment>
    <comment ref="B38" authorId="0" shapeId="0" xr:uid="{5714F6BE-B73B-4E21-9332-5C9C77FAF1C5}">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9" authorId="0" shapeId="0" xr:uid="{30170DEE-887D-4CCA-9684-4CECE27C8008}">
      <text>
        <r>
          <rPr>
            <b/>
            <sz val="9"/>
            <color indexed="81"/>
            <rFont val="Tahoma"/>
            <family val="2"/>
          </rPr>
          <t>Becky Dzingeleski:</t>
        </r>
        <r>
          <rPr>
            <sz val="9"/>
            <color indexed="81"/>
            <rFont val="Tahoma"/>
            <family val="2"/>
          </rPr>
          <t xml:space="preserve">
Per FOD, Unit no longer eligible for TSERS participation but have runout of prior allocations</t>
        </r>
      </text>
    </comment>
    <comment ref="B56" authorId="0" shapeId="0" xr:uid="{9C5DBC87-17D3-47E5-AB64-28FCC6DC1614}">
      <text>
        <r>
          <rPr>
            <b/>
            <sz val="9"/>
            <color indexed="81"/>
            <rFont val="Tahoma"/>
            <family val="2"/>
          </rPr>
          <t>Becky Dzingeleski:</t>
        </r>
        <r>
          <rPr>
            <sz val="9"/>
            <color indexed="81"/>
            <rFont val="Tahoma"/>
            <family val="2"/>
          </rPr>
          <t xml:space="preserve">
Per FOD Unit is CU of 21525</t>
        </r>
      </text>
    </comment>
    <comment ref="B99" authorId="0" shapeId="0" xr:uid="{ECE0E4FC-16E8-4C5D-A3C6-7AC4F96C2F84}">
      <text>
        <r>
          <rPr>
            <b/>
            <sz val="9"/>
            <color indexed="81"/>
            <rFont val="Tahoma"/>
            <family val="2"/>
          </rPr>
          <t>Becky Dzingeleski:</t>
        </r>
        <r>
          <rPr>
            <sz val="9"/>
            <color indexed="81"/>
            <rFont val="Tahoma"/>
            <family val="2"/>
          </rPr>
          <t xml:space="preserve">
Inactive but still have runouts of prior allocations.</t>
        </r>
      </text>
    </comment>
    <comment ref="B116" authorId="0" shapeId="0" xr:uid="{C520607C-B29A-4A3B-9BC3-B89ADBA9BF43}">
      <text>
        <r>
          <rPr>
            <b/>
            <sz val="9"/>
            <color indexed="81"/>
            <rFont val="Tahoma"/>
            <family val="2"/>
          </rPr>
          <t>Becky Dzingeleski:</t>
        </r>
        <r>
          <rPr>
            <sz val="9"/>
            <color indexed="81"/>
            <rFont val="Tahoma"/>
            <family val="2"/>
          </rPr>
          <t xml:space="preserve">
Inactive but still have runouts of prior allocations.</t>
        </r>
      </text>
    </comment>
    <comment ref="B146" authorId="0" shapeId="0" xr:uid="{4BF23D49-5996-4EBC-A649-635E371D4CB1}">
      <text>
        <r>
          <rPr>
            <b/>
            <sz val="9"/>
            <color indexed="81"/>
            <rFont val="Tahoma"/>
            <family val="2"/>
          </rPr>
          <t>Becky Dzingeleski:</t>
        </r>
        <r>
          <rPr>
            <sz val="9"/>
            <color indexed="81"/>
            <rFont val="Tahoma"/>
            <family val="2"/>
          </rPr>
          <t xml:space="preserve">
Inactive but still have runouts of prior allocations.</t>
        </r>
      </text>
    </comment>
    <comment ref="B187" authorId="0" shapeId="0" xr:uid="{9371C6B9-D50C-491B-AC5E-78FF67C736AF}">
      <text>
        <r>
          <rPr>
            <b/>
            <sz val="9"/>
            <color indexed="81"/>
            <rFont val="Tahoma"/>
            <family val="2"/>
          </rPr>
          <t>Becky Dzingeleski:</t>
        </r>
        <r>
          <rPr>
            <sz val="9"/>
            <color indexed="81"/>
            <rFont val="Tahoma"/>
            <family val="2"/>
          </rPr>
          <t xml:space="preserve">
Inactive but still have runouts of prior allocations.</t>
        </r>
      </text>
    </comment>
    <comment ref="B197" authorId="0" shapeId="0" xr:uid="{7A4A3D53-ADAF-4050-BEA6-343803B1CF81}">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8" authorId="0" shapeId="0" xr:uid="{1C4BA7E6-FC89-4779-87E2-F3C08E9BC5D6}">
      <text>
        <r>
          <rPr>
            <b/>
            <sz val="9"/>
            <color indexed="81"/>
            <rFont val="Tahoma"/>
            <family val="2"/>
          </rPr>
          <t>Becky Dzingeleski:</t>
        </r>
        <r>
          <rPr>
            <sz val="9"/>
            <color indexed="81"/>
            <rFont val="Tahoma"/>
            <family val="2"/>
          </rPr>
          <t xml:space="preserve">
Inactive but still have runouts of prior allocations.</t>
        </r>
      </text>
    </comment>
    <comment ref="B214" authorId="0" shapeId="0" xr:uid="{29D8293C-BB77-4F6C-85BB-4DEBADF90327}">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9" authorId="0" shapeId="0" xr:uid="{A530B726-6971-411D-9997-CBA9E99A0273}">
      <text>
        <r>
          <rPr>
            <b/>
            <sz val="9"/>
            <color indexed="81"/>
            <rFont val="Tahoma"/>
            <family val="2"/>
          </rPr>
          <t>Becky Dzingeleski:</t>
        </r>
        <r>
          <rPr>
            <sz val="9"/>
            <color indexed="81"/>
            <rFont val="Tahoma"/>
            <family val="2"/>
          </rPr>
          <t xml:space="preserve">
Inactive but still have runouts of prior allocations.</t>
        </r>
      </text>
    </comment>
    <comment ref="B351" authorId="0" shapeId="0" xr:uid="{FF245CA0-58B2-4905-B108-20B36D575DEF}">
      <text>
        <r>
          <rPr>
            <b/>
            <sz val="9"/>
            <color indexed="81"/>
            <rFont val="Tahoma"/>
            <family val="2"/>
          </rPr>
          <t>Becky Dzingeleski:</t>
        </r>
        <r>
          <rPr>
            <sz val="9"/>
            <color indexed="81"/>
            <rFont val="Tahoma"/>
            <family val="2"/>
          </rPr>
          <t xml:space="preserve">
Inactive but still have runouts of prior allocations.</t>
        </r>
      </text>
    </comment>
    <comment ref="B391" authorId="0" shapeId="0" xr:uid="{FEAF3835-8BAE-42E1-8C5F-EE11AD010914}">
      <text>
        <r>
          <rPr>
            <b/>
            <sz val="9"/>
            <color indexed="81"/>
            <rFont val="Tahoma"/>
            <family val="2"/>
          </rPr>
          <t>Becky Dzingeleski:</t>
        </r>
        <r>
          <rPr>
            <sz val="9"/>
            <color indexed="81"/>
            <rFont val="Tahoma"/>
            <family val="2"/>
          </rPr>
          <t xml:space="preserve">
Per FOD this unit merged with HEALTH &amp; HUMAN SVCS (12220)</t>
        </r>
      </text>
    </comment>
    <comment ref="B396" authorId="0" shapeId="0" xr:uid="{D1285328-E597-4874-B02D-40781C5B69F6}">
      <text>
        <r>
          <rPr>
            <b/>
            <sz val="9"/>
            <color indexed="81"/>
            <rFont val="Tahoma"/>
            <family val="2"/>
          </rPr>
          <t>Becky Dzingeleski:</t>
        </r>
        <r>
          <rPr>
            <sz val="9"/>
            <color indexed="81"/>
            <rFont val="Tahoma"/>
            <family val="2"/>
          </rPr>
          <t xml:space="preserve">
Inactive but still have runouts of prior allocations.</t>
        </r>
      </text>
    </comment>
    <comment ref="B441" authorId="0" shapeId="0" xr:uid="{BAD7AE79-3D59-4E73-A7DC-F55AEC1F6E65}">
      <text>
        <r>
          <rPr>
            <b/>
            <sz val="9"/>
            <color indexed="81"/>
            <rFont val="Tahoma"/>
            <family val="2"/>
          </rPr>
          <t>Becky Dzingeleski:</t>
        </r>
        <r>
          <rPr>
            <sz val="9"/>
            <color indexed="81"/>
            <rFont val="Tahoma"/>
            <family val="2"/>
          </rPr>
          <t xml:space="preserve">
CU of 51000 per FOD. </t>
        </r>
      </text>
    </comment>
    <comment ref="B442" authorId="0" shapeId="0" xr:uid="{9B1AA65C-1351-42AC-A47F-644EDE384D22}">
      <text>
        <r>
          <rPr>
            <b/>
            <sz val="9"/>
            <color indexed="81"/>
            <rFont val="Tahoma"/>
            <family val="2"/>
          </rPr>
          <t>Becky Dzingeleski:</t>
        </r>
        <r>
          <rPr>
            <sz val="9"/>
            <color indexed="81"/>
            <rFont val="Tahoma"/>
            <family val="2"/>
          </rPr>
          <t xml:space="preserve">
CU of 51000 per FOD. </t>
        </r>
      </text>
    </comment>
    <comment ref="B458" authorId="0" shapeId="0" xr:uid="{520B3BFE-F7C6-40EB-A494-7AE0D111BD91}">
      <text>
        <r>
          <rPr>
            <b/>
            <sz val="9"/>
            <color indexed="81"/>
            <rFont val="Tahoma"/>
            <family val="2"/>
          </rPr>
          <t>Becky Dzingeleski:</t>
        </r>
        <r>
          <rPr>
            <sz val="9"/>
            <color indexed="81"/>
            <rFont val="Tahoma"/>
            <family val="2"/>
          </rPr>
          <t xml:space="preserve">
Inactive but still have runouts of prior allocations.</t>
        </r>
      </text>
    </comment>
    <comment ref="B459" authorId="0" shapeId="0" xr:uid="{5FEA7AB1-7A0A-4231-AC57-B0D031D2622C}">
      <text>
        <r>
          <rPr>
            <b/>
            <sz val="9"/>
            <color indexed="81"/>
            <rFont val="Tahoma"/>
            <family val="2"/>
          </rPr>
          <t>Becky Dzingeleski:</t>
        </r>
        <r>
          <rPr>
            <sz val="9"/>
            <color indexed="81"/>
            <rFont val="Tahoma"/>
            <family val="2"/>
          </rPr>
          <t xml:space="preserve">
Inactive but still have runouts of prior allocations.</t>
        </r>
      </text>
    </comment>
    <comment ref="B499" authorId="0" shapeId="0" xr:uid="{3C0E3FC4-1706-48D2-9EAE-9514810F9E3C}">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00" authorId="0" shapeId="0" xr:uid="{9355CA55-229E-4E2E-9218-A2437AED32D6}">
      <text>
        <r>
          <rPr>
            <b/>
            <sz val="9"/>
            <color indexed="81"/>
            <rFont val="Tahoma"/>
            <family val="2"/>
          </rPr>
          <t>Becky Dzingeleski:</t>
        </r>
        <r>
          <rPr>
            <sz val="9"/>
            <color indexed="81"/>
            <rFont val="Tahoma"/>
            <family val="2"/>
          </rPr>
          <t xml:space="preserve">
Per FOD, new Unit in 2018. No 2017 contributions</t>
        </r>
      </text>
    </comment>
    <comment ref="B516" authorId="0" shapeId="0" xr:uid="{28494E61-AE83-4227-AE12-FD77C91AA401}">
      <text>
        <r>
          <rPr>
            <b/>
            <sz val="9"/>
            <color indexed="81"/>
            <rFont val="Tahoma"/>
            <family val="2"/>
          </rPr>
          <t>Becky Dzingeleski:</t>
        </r>
        <r>
          <rPr>
            <sz val="9"/>
            <color indexed="81"/>
            <rFont val="Tahoma"/>
            <family val="2"/>
          </rPr>
          <t xml:space="preserve">
Inactive but still have runouts of prior allocations.</t>
        </r>
      </text>
    </comment>
    <comment ref="B550" authorId="0" shapeId="0" xr:uid="{C5069C3E-3D7D-4E68-A638-448E77FDC464}">
      <text>
        <r>
          <rPr>
            <b/>
            <sz val="9"/>
            <color indexed="81"/>
            <rFont val="Tahoma"/>
            <family val="2"/>
          </rPr>
          <t>Becky Dzingeleski:</t>
        </r>
        <r>
          <rPr>
            <sz val="9"/>
            <color indexed="81"/>
            <rFont val="Tahoma"/>
            <family val="2"/>
          </rPr>
          <t xml:space="preserve">
Inactive but still have runouts of prior allocations.</t>
        </r>
      </text>
    </comment>
    <comment ref="B562" authorId="0" shapeId="0" xr:uid="{C2515FF7-ACF7-4FD8-B023-1F1FB19B3F9F}">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563" authorId="0" shapeId="0" xr:uid="{B49D0F66-D248-4855-96DA-23C52CE14206}">
      <text>
        <r>
          <rPr>
            <b/>
            <sz val="9"/>
            <color indexed="81"/>
            <rFont val="Tahoma"/>
            <family val="2"/>
          </rPr>
          <t>Becky Dzingeleski:</t>
        </r>
        <r>
          <rPr>
            <sz val="9"/>
            <color indexed="81"/>
            <rFont val="Tahoma"/>
            <family val="2"/>
          </rPr>
          <t xml:space="preserve">
Per FOD Unit is a CU of 14300</t>
        </r>
      </text>
    </comment>
    <comment ref="B580" authorId="0" shapeId="0" xr:uid="{2B415961-ECEB-4117-9C7D-C7D3CC7E3E1F}">
      <text>
        <r>
          <rPr>
            <b/>
            <sz val="9"/>
            <color indexed="81"/>
            <rFont val="Tahoma"/>
            <family val="2"/>
          </rPr>
          <t>Becky Dzingeleski:</t>
        </r>
        <r>
          <rPr>
            <sz val="9"/>
            <color indexed="81"/>
            <rFont val="Tahoma"/>
            <family val="2"/>
          </rPr>
          <t xml:space="preserve">
Per FOD Unit is CU of 21525</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4" authorId="0" shapeId="0" xr:uid="{8A3D2841-ECDE-4843-BDEF-915ED5B55E90}">
      <text>
        <r>
          <rPr>
            <b/>
            <sz val="9"/>
            <color indexed="81"/>
            <rFont val="Tahoma"/>
            <family val="2"/>
          </rPr>
          <t>Becky Dzingeleski:</t>
        </r>
        <r>
          <rPr>
            <sz val="9"/>
            <color indexed="81"/>
            <rFont val="Tahoma"/>
            <family val="2"/>
          </rPr>
          <t xml:space="preserve">
Per FOD is a new Unit.  Contributions began in 2018</t>
        </r>
      </text>
    </comment>
    <comment ref="B22" authorId="0" shapeId="0" xr:uid="{59BC8245-B52E-464D-900C-B5C5526EC958}">
      <text>
        <r>
          <rPr>
            <b/>
            <sz val="9"/>
            <color indexed="81"/>
            <rFont val="Tahoma"/>
            <family val="2"/>
          </rPr>
          <t>Becky Dzingeleski:</t>
        </r>
        <r>
          <rPr>
            <sz val="9"/>
            <color indexed="81"/>
            <rFont val="Tahoma"/>
            <family val="2"/>
          </rPr>
          <t xml:space="preserve">
Per FOD this Unit merged with HEALTH &amp; HUMAN SVCS (12220)</t>
        </r>
      </text>
    </comment>
    <comment ref="B23" authorId="0" shapeId="0" xr:uid="{920DAF3B-F7DB-4FDF-8C9B-735805C8943C}">
      <text>
        <r>
          <rPr>
            <b/>
            <sz val="9"/>
            <color indexed="81"/>
            <rFont val="Tahoma"/>
            <family val="2"/>
          </rPr>
          <t>Becky Dzingeleski:</t>
        </r>
        <r>
          <rPr>
            <sz val="9"/>
            <color indexed="81"/>
            <rFont val="Tahoma"/>
            <family val="2"/>
          </rPr>
          <t xml:space="preserve">
per FOD this unit includes DEPARTMENT OF HEALTH SERVICES (12200)</t>
        </r>
      </text>
    </comment>
    <comment ref="B29" authorId="0" shapeId="0" xr:uid="{BD465CCD-02C6-4997-8B84-EE81C52F64FD}">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31" authorId="0" shapeId="0" xr:uid="{840A74EE-D473-49CF-8E2E-10E0423FEA6C}">
      <text>
        <r>
          <rPr>
            <b/>
            <sz val="9"/>
            <color indexed="81"/>
            <rFont val="Tahoma"/>
            <family val="2"/>
          </rPr>
          <t>Becky Dzingeleski:</t>
        </r>
        <r>
          <rPr>
            <sz val="9"/>
            <color indexed="81"/>
            <rFont val="Tahoma"/>
            <family val="2"/>
          </rPr>
          <t xml:space="preserve">
component unit of 14300 per FOD</t>
        </r>
      </text>
    </comment>
    <comment ref="B35" authorId="0" shapeId="0" xr:uid="{128D8990-9D07-471C-849D-CAA9C633C5D8}">
      <text>
        <r>
          <rPr>
            <b/>
            <sz val="9"/>
            <color indexed="81"/>
            <rFont val="Tahoma"/>
            <family val="2"/>
          </rPr>
          <t>Becky Dzingeleski:</t>
        </r>
        <r>
          <rPr>
            <sz val="9"/>
            <color indexed="81"/>
            <rFont val="Tahoma"/>
            <family val="2"/>
          </rPr>
          <t xml:space="preserve">
Per FOD, Unit no longer eligible for participation but have runout of prior allocations.   </t>
        </r>
      </text>
    </comment>
    <comment ref="B36" authorId="0" shapeId="0" xr:uid="{CA0B5F08-A8BF-4182-8F9B-2042865CCF6D}">
      <text>
        <r>
          <rPr>
            <b/>
            <sz val="9"/>
            <color indexed="81"/>
            <rFont val="Tahoma"/>
            <family val="2"/>
          </rPr>
          <t>Becky Dzingeleski:</t>
        </r>
        <r>
          <rPr>
            <sz val="9"/>
            <color indexed="81"/>
            <rFont val="Tahoma"/>
            <family val="2"/>
          </rPr>
          <t xml:space="preserve">
Per FOD: Unit No longer eligible for participation in TSERS but have runout of prior allocations.    </t>
        </r>
      </text>
    </comment>
    <comment ref="B53" authorId="0" shapeId="0" xr:uid="{DFC1C1C3-68B4-4D3E-B69D-41DCA44B30F1}">
      <text>
        <r>
          <rPr>
            <b/>
            <sz val="9"/>
            <color indexed="81"/>
            <rFont val="Tahoma"/>
            <family val="2"/>
          </rPr>
          <t>Becky Dzingeleski:</t>
        </r>
        <r>
          <rPr>
            <sz val="9"/>
            <color indexed="81"/>
            <rFont val="Tahoma"/>
            <family val="2"/>
          </rPr>
          <t xml:space="preserve">
per FOD, unit is a CU of 21525</t>
        </r>
      </text>
    </comment>
    <comment ref="B96" authorId="0" shapeId="0" xr:uid="{8CAABBF6-D6E0-42B5-A66B-1FC621CD4DA0}">
      <text>
        <r>
          <rPr>
            <b/>
            <sz val="9"/>
            <color indexed="81"/>
            <rFont val="Tahoma"/>
            <family val="2"/>
          </rPr>
          <t>Becky Dzingeleski:</t>
        </r>
        <r>
          <rPr>
            <sz val="9"/>
            <color indexed="81"/>
            <rFont val="Tahoma"/>
            <family val="2"/>
          </rPr>
          <t xml:space="preserve">
Inactive but still have runouts of prior allocations.</t>
        </r>
      </text>
    </comment>
    <comment ref="B113" authorId="0" shapeId="0" xr:uid="{CDEBFC26-C4CD-426E-8677-A99654A1997F}">
      <text>
        <r>
          <rPr>
            <b/>
            <sz val="9"/>
            <color indexed="81"/>
            <rFont val="Tahoma"/>
            <family val="2"/>
          </rPr>
          <t>Becky Dzingeleski:</t>
        </r>
        <r>
          <rPr>
            <sz val="9"/>
            <color indexed="81"/>
            <rFont val="Tahoma"/>
            <family val="2"/>
          </rPr>
          <t xml:space="preserve">
Inactive but still have runouts of prior allocations.</t>
        </r>
      </text>
    </comment>
    <comment ref="B143" authorId="0" shapeId="0" xr:uid="{C21EFD15-33CA-4EBF-9EA5-7D18099731F0}">
      <text>
        <r>
          <rPr>
            <b/>
            <sz val="9"/>
            <color indexed="81"/>
            <rFont val="Tahoma"/>
            <family val="2"/>
          </rPr>
          <t>Becky Dzingeleski:</t>
        </r>
        <r>
          <rPr>
            <sz val="9"/>
            <color indexed="81"/>
            <rFont val="Tahoma"/>
            <family val="2"/>
          </rPr>
          <t xml:space="preserve">
Inactive but still have runouts of prior allocations.</t>
        </r>
      </text>
    </comment>
    <comment ref="B184" authorId="0" shapeId="0" xr:uid="{75A167BC-7870-4FD5-A9EB-63F1402FDD3E}">
      <text>
        <r>
          <rPr>
            <b/>
            <sz val="9"/>
            <color indexed="81"/>
            <rFont val="Tahoma"/>
            <family val="2"/>
          </rPr>
          <t>Becky Dzingeleski:</t>
        </r>
        <r>
          <rPr>
            <sz val="9"/>
            <color indexed="81"/>
            <rFont val="Tahoma"/>
            <family val="2"/>
          </rPr>
          <t xml:space="preserve">
Inactive but still have runouts of prior allocations.</t>
        </r>
      </text>
    </comment>
    <comment ref="B194" authorId="0" shapeId="0" xr:uid="{BAB45BBD-5D46-4A86-84F4-1BB7933EAD95}">
      <text>
        <r>
          <rPr>
            <b/>
            <sz val="9"/>
            <color indexed="81"/>
            <rFont val="Tahoma"/>
            <family val="2"/>
          </rPr>
          <t>Becky Dzingeleski:</t>
        </r>
        <r>
          <rPr>
            <sz val="9"/>
            <color indexed="81"/>
            <rFont val="Tahoma"/>
            <family val="2"/>
          </rPr>
          <t xml:space="preserve">
ceased operations - has deferrals for prior years that will continue to be recognized until deferrals are complete</t>
        </r>
      </text>
    </comment>
    <comment ref="B195" authorId="0" shapeId="0" xr:uid="{17C31DC4-73B1-422F-A446-8D07B1D5BFB9}">
      <text>
        <r>
          <rPr>
            <b/>
            <sz val="9"/>
            <color indexed="81"/>
            <rFont val="Tahoma"/>
            <family val="2"/>
          </rPr>
          <t>Becky Dzingeleski:</t>
        </r>
        <r>
          <rPr>
            <sz val="9"/>
            <color indexed="81"/>
            <rFont val="Tahoma"/>
            <family val="2"/>
          </rPr>
          <t xml:space="preserve">
Inactive but still have runouts of prior allocations.</t>
        </r>
      </text>
    </comment>
    <comment ref="B211" authorId="0" shapeId="0" xr:uid="{838D42EB-F4E6-4764-99EB-0B3CA46486CD}">
      <text>
        <r>
          <rPr>
            <b/>
            <sz val="9"/>
            <color indexed="81"/>
            <rFont val="Tahoma"/>
            <family val="2"/>
          </rPr>
          <t>Becky Dzingeleski:</t>
        </r>
        <r>
          <rPr>
            <sz val="9"/>
            <color indexed="81"/>
            <rFont val="Tahoma"/>
            <family val="2"/>
          </rPr>
          <t xml:space="preserve">
Per FOD Unit had contrib at the end of 2017 but not enough to cross 5-digit threshold to show a pension liability.</t>
        </r>
      </text>
    </comment>
    <comment ref="B226" authorId="0" shapeId="0" xr:uid="{3E830817-B724-4511-998B-EDD3CBE34918}">
      <text>
        <r>
          <rPr>
            <b/>
            <sz val="9"/>
            <color indexed="81"/>
            <rFont val="Tahoma"/>
            <family val="2"/>
          </rPr>
          <t>Becky Dzingeleski:</t>
        </r>
        <r>
          <rPr>
            <sz val="9"/>
            <color indexed="81"/>
            <rFont val="Tahoma"/>
            <family val="2"/>
          </rPr>
          <t xml:space="preserve">
Inactive but still have runouts of prior allocations.</t>
        </r>
      </text>
    </comment>
    <comment ref="B303" authorId="0" shapeId="0" xr:uid="{B98C85B1-A916-49AE-8142-0BC61E3FCE94}">
      <text>
        <r>
          <rPr>
            <b/>
            <sz val="9"/>
            <color indexed="81"/>
            <rFont val="Tahoma"/>
            <family val="2"/>
          </rPr>
          <t>Becky Dzingeleski:</t>
        </r>
        <r>
          <rPr>
            <sz val="9"/>
            <color indexed="81"/>
            <rFont val="Tahoma"/>
            <family val="2"/>
          </rPr>
          <t xml:space="preserve">
CU of 51000 per FOD.  Amts from CU Contributions workbook</t>
        </r>
      </text>
    </comment>
    <comment ref="B304" authorId="0" shapeId="0" xr:uid="{2D915139-132A-4FBE-9A05-75A88E4B635B}">
      <text>
        <r>
          <rPr>
            <b/>
            <sz val="9"/>
            <color indexed="81"/>
            <rFont val="Tahoma"/>
            <family val="2"/>
          </rPr>
          <t>Becky Dzingeleski:</t>
        </r>
        <r>
          <rPr>
            <sz val="9"/>
            <color indexed="81"/>
            <rFont val="Tahoma"/>
            <family val="2"/>
          </rPr>
          <t xml:space="preserve">
CU of 51000 per FOD.  Amts from CU Contributions workbook</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tc={E0439CC6-F9C6-46A8-89FB-2D09EB5DE8CC}</author>
  </authors>
  <commentList>
    <comment ref="E54" authorId="0" shapeId="0" xr:uid="{E0439CC6-F9C6-46A8-89FB-2D09EB5DE8CC}">
      <text>
        <t>[Threaded comment]
Your version of Excel allows you to read this threaded comment; however, any edits to it will get removed if the file is opened in a newer version of Excel. Learn more: https://go.microsoft.com/fwlink/?linkid=870924
Comment:
    PY contribution amount (from info tab of the JE Template...on website)</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Preeta Nayak</author>
  </authors>
  <commentList>
    <comment ref="B207" authorId="0" shapeId="0" xr:uid="{00000000-0006-0000-1000-000001000000}">
      <text>
        <r>
          <rPr>
            <b/>
            <sz val="9"/>
            <color indexed="81"/>
            <rFont val="Tahoma"/>
            <family val="2"/>
          </rPr>
          <t>Preeta Nayak:</t>
        </r>
        <r>
          <rPr>
            <sz val="9"/>
            <color indexed="81"/>
            <rFont val="Tahoma"/>
            <family val="2"/>
          </rPr>
          <t xml:space="preserve">
unit joined in March of 2017
</t>
        </r>
      </text>
    </comment>
  </commentList>
</comments>
</file>

<file path=xl/sharedStrings.xml><?xml version="1.0" encoding="utf-8"?>
<sst xmlns="http://schemas.openxmlformats.org/spreadsheetml/2006/main" count="10586" uniqueCount="1750">
  <si>
    <r>
      <t xml:space="preserve">What was the amount of the net OPEB obligation at the beginning of the year for the Governmental Funds' portion?  </t>
    </r>
    <r>
      <rPr>
        <sz val="8"/>
        <color indexed="10"/>
        <rFont val="Arial"/>
        <family val="2"/>
      </rPr>
      <t>(Beginning balances for the Governmental Funds were recorded on the Beginning Capital Assets &amp; LTD tab.)</t>
    </r>
  </si>
  <si>
    <t xml:space="preserve">What was the amount of the net OPEB obligation at the ending of the year for the Governmental Funds' portion?  </t>
  </si>
  <si>
    <t>Change in OPEB obligation during the year</t>
  </si>
  <si>
    <t>Bonds and notes payable</t>
  </si>
  <si>
    <t>Other postemployment benefits *</t>
  </si>
  <si>
    <t>*  Please note that this OPEB line is only</t>
  </si>
  <si>
    <t>relevant if your LEA offers additional benefits</t>
  </si>
  <si>
    <t>to the Healthcare Benefits required by</t>
  </si>
  <si>
    <t>State law.</t>
  </si>
  <si>
    <t xml:space="preserve">Indicate to which functions the change in OPEB for the governmental funds apply. The sum of the amounts below must equal the amount in the corresponding step above. </t>
  </si>
  <si>
    <t>Expenses need to be accrued for those liabilities incurred during the period which are not normally paid with current available resources. This includes items such as compensated absences, claims and judgments (including workers' compensation claims), other long-term liabilities, or postemployment benefits other than the State Healthcare benefit required by State law.</t>
  </si>
  <si>
    <t>For other postemployment benefits (not including the State Healthcare benefits required under State law), the change in the net OPEB liability will need to be recorded to charge the expense to the corresponding function.</t>
  </si>
  <si>
    <r>
      <t xml:space="preserve">What is the adjustment for Additional Other Postemployment Benefits (other than the Healthcare Benefits required under State law) offered for the Total Governmental Funds portion? </t>
    </r>
    <r>
      <rPr>
        <b/>
        <sz val="10"/>
        <color indexed="10"/>
        <rFont val="Arial"/>
        <family val="2"/>
      </rPr>
      <t xml:space="preserve"> [Only applies to a few LEAs!  Refer to Memorandum #2010-1 for journal entry overview.]</t>
    </r>
  </si>
  <si>
    <t>The staff has tried to anticipate the most likely scenarios for governments in North Carolina . However, it is impossible for us to anticipate every unique situation that exists in our local governments. If you need assistance with your particular data, please call and we will make every attempt to help you enter the data into the workbook. However, some instances will exist for which the workbook will not make the necessary calculation. The "manual entry" columns on the summary worksheet are there for this purpose. The user can calculate the necessary entry and post it in this column to the appropriate accounts.</t>
  </si>
  <si>
    <t>Reclassifications and</t>
  </si>
  <si>
    <t>Eliminations</t>
  </si>
  <si>
    <r>
      <t xml:space="preserve">Special item </t>
    </r>
    <r>
      <rPr>
        <sz val="8"/>
        <color indexed="10"/>
        <rFont val="Arial"/>
        <family val="2"/>
      </rPr>
      <t>- fund statements</t>
    </r>
  </si>
  <si>
    <r>
      <t xml:space="preserve">Extraordinary item </t>
    </r>
    <r>
      <rPr>
        <sz val="8"/>
        <color indexed="10"/>
        <rFont val="Arial"/>
        <family val="2"/>
      </rPr>
      <t xml:space="preserve"> - fund statements</t>
    </r>
  </si>
  <si>
    <t>Govt-wide</t>
  </si>
  <si>
    <t>Unrestricted</t>
  </si>
  <si>
    <t>7.</t>
  </si>
  <si>
    <t xml:space="preserve">Any expenditures during the year on completed projects at year end should be recorded in the appropriate category rather than in construction in progress. </t>
  </si>
  <si>
    <r>
      <t xml:space="preserve">Classify current portion of long-term liabilities.   </t>
    </r>
    <r>
      <rPr>
        <b/>
        <sz val="8"/>
        <color indexed="10"/>
        <rFont val="Arial"/>
        <family val="2"/>
      </rPr>
      <t>(Leave the cell blank if account does not apply or classification has been handled previously.)</t>
    </r>
  </si>
  <si>
    <t>presentation</t>
  </si>
  <si>
    <t>Other long-term liability #1</t>
  </si>
  <si>
    <t>Other long-term liability #2</t>
  </si>
  <si>
    <t>Total restricted assets</t>
  </si>
  <si>
    <t>Non-programmed charges(8000)</t>
  </si>
  <si>
    <r>
      <t xml:space="preserve">and the category of infrastructure (according to the phased implementation rules of GASB 34). The amounts recorded should be the beginning balances for the year. </t>
    </r>
    <r>
      <rPr>
        <b/>
        <sz val="10"/>
        <rFont val="Arial"/>
        <family val="2"/>
      </rPr>
      <t>Current year activity will be recorded in a later step.</t>
    </r>
  </si>
  <si>
    <t xml:space="preserve">Revenues are reclassified from the summary levels in the fund statements to the classification required for the Statement of Activities in Worksheet A.2. </t>
  </si>
  <si>
    <t>OFS - Transfer In</t>
  </si>
  <si>
    <t>Enter the face amount of newly issued debt for all governmental funds by the categories below.</t>
  </si>
  <si>
    <t>Investment income</t>
  </si>
  <si>
    <r>
      <t xml:space="preserve">Entry for Conversion worksheet to record changes in assets.  (Entry </t>
    </r>
    <r>
      <rPr>
        <b/>
        <sz val="10"/>
        <rFont val="Times New Roman"/>
        <family val="1"/>
      </rPr>
      <t>G.1</t>
    </r>
    <r>
      <rPr>
        <b/>
        <sz val="10"/>
        <rFont val="Arial"/>
        <family val="2"/>
      </rPr>
      <t>)</t>
    </r>
  </si>
  <si>
    <t xml:space="preserve">Dr </t>
  </si>
  <si>
    <t>Subtotal Non-Major</t>
  </si>
  <si>
    <t>Governmental Funds</t>
  </si>
  <si>
    <t>Fund Equity - Beginning</t>
  </si>
  <si>
    <t>Expenditures as reported in the Capital Outlay Fund Statements:</t>
  </si>
  <si>
    <r>
      <t>Debt service (interest + principal)</t>
    </r>
    <r>
      <rPr>
        <sz val="8"/>
        <rFont val="Arial"/>
        <family val="2"/>
      </rPr>
      <t xml:space="preserve"> </t>
    </r>
    <r>
      <rPr>
        <b/>
        <sz val="8"/>
        <color indexed="10"/>
        <rFont val="Arial"/>
        <family val="2"/>
      </rPr>
      <t>as reported on the fund statements</t>
    </r>
  </si>
  <si>
    <r>
      <t xml:space="preserve">Any investment earnings that must be reclassified to program revenue will be adjusted in worksheet </t>
    </r>
    <r>
      <rPr>
        <sz val="11"/>
        <rFont val="Times New Roman"/>
        <family val="1"/>
      </rPr>
      <t>I</t>
    </r>
    <r>
      <rPr>
        <sz val="10"/>
        <rFont val="Arial"/>
        <family val="2"/>
      </rPr>
      <t>.</t>
    </r>
  </si>
  <si>
    <t xml:space="preserve">Accrued investment earnings should be recorded under the full accrual basis of accounting. Accrued investment earnings at the beginning of the year were actually earned in the prior year; they must be reversed and beginning fund balance must be credited. Accrued investment earnings at year end are earned in this reporting period and although not yet received are recorded as revenue in the current year. </t>
  </si>
  <si>
    <r>
      <t xml:space="preserve">Method 1 - </t>
    </r>
    <r>
      <rPr>
        <u/>
        <sz val="10"/>
        <color indexed="10"/>
        <rFont val="Arial"/>
        <family val="2"/>
      </rPr>
      <t>know</t>
    </r>
    <r>
      <rPr>
        <sz val="10"/>
        <color indexed="10"/>
        <rFont val="Arial"/>
        <family val="2"/>
      </rPr>
      <t xml:space="preserve"> current year amounts earned</t>
    </r>
  </si>
  <si>
    <r>
      <t>Method 2 -</t>
    </r>
    <r>
      <rPr>
        <u/>
        <sz val="10"/>
        <color indexed="10"/>
        <rFont val="Arial"/>
        <family val="2"/>
      </rPr>
      <t xml:space="preserve"> know</t>
    </r>
    <r>
      <rPr>
        <sz val="10"/>
        <color indexed="10"/>
        <rFont val="Arial"/>
        <family val="2"/>
      </rPr>
      <t xml:space="preserve"> current year amounts used</t>
    </r>
  </si>
  <si>
    <t>Work Section for Conversion entry H</t>
  </si>
  <si>
    <t>Indicate to which function the new claims and judgments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</si>
  <si>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r>
      <t xml:space="preserve">Indicate the amount of </t>
    </r>
    <r>
      <rPr>
        <u/>
        <sz val="10"/>
        <rFont val="Arial"/>
        <family val="2"/>
      </rPr>
      <t>payments</t>
    </r>
    <r>
      <rPr>
        <sz val="10"/>
        <rFont val="Arial"/>
        <family val="2"/>
      </rPr>
      <t xml:space="preserve"> made on other long-term liabilities.</t>
    </r>
  </si>
  <si>
    <r>
      <t xml:space="preserve">Ending balance for other long-term liabilities for the current year. - </t>
    </r>
    <r>
      <rPr>
        <sz val="8"/>
        <color indexed="10"/>
        <rFont val="Arial"/>
        <family val="2"/>
      </rPr>
      <t>calculated</t>
    </r>
  </si>
  <si>
    <t>Indicate to which function the new "other liabilities" listed in step 2 apply. The sum of the amounts below must equal the amount in the corresponding step above. Indicate to which function the payment was charged in step 3. Indicate to which function any adjustments noted in step 4 should be recorded. Indicate any amounts that should be reported as special or extraordinary items.</t>
  </si>
  <si>
    <t>p</t>
  </si>
  <si>
    <t>q</t>
  </si>
  <si>
    <t>r</t>
  </si>
  <si>
    <t>s</t>
  </si>
  <si>
    <t>Modified Accrual Revenue Class</t>
  </si>
  <si>
    <t>Regular Instructional Programs (5100)</t>
  </si>
  <si>
    <t>Non-programmed charges (8000)</t>
  </si>
  <si>
    <r>
      <t xml:space="preserve"> </t>
    </r>
    <r>
      <rPr>
        <sz val="8"/>
        <color indexed="10"/>
        <rFont val="Arial"/>
        <family val="2"/>
      </rPr>
      <t>Eliminates intra-governmental</t>
    </r>
  </si>
  <si>
    <t xml:space="preserve">Closes out inter-activity </t>
  </si>
  <si>
    <t>balance account</t>
  </si>
  <si>
    <t>accounts to internal</t>
  </si>
  <si>
    <t>The journal entry for the conversion worksheet, to reclassify these expenditures as capital assets, will be automatically created.</t>
  </si>
  <si>
    <t>a.</t>
  </si>
  <si>
    <t xml:space="preserve">What is the original cost at the beginning of the year for an asset sold during current year? </t>
  </si>
  <si>
    <t>b.</t>
  </si>
  <si>
    <t xml:space="preserve">What are net capital assets (capital assets less accumulated depreciation.) </t>
  </si>
  <si>
    <t>Sales that qualify as a "special item" for statement presentation:*</t>
  </si>
  <si>
    <t>Retiring, scrapping or donating Capital assets:</t>
  </si>
  <si>
    <r>
      <t xml:space="preserve">Retiring, scrapping and donating capital assets (with no proceeds): </t>
    </r>
    <r>
      <rPr>
        <b/>
        <sz val="12"/>
        <rFont val="Arial"/>
        <family val="2"/>
      </rPr>
      <t xml:space="preserve"> </t>
    </r>
    <r>
      <rPr>
        <b/>
        <sz val="12"/>
        <rFont val="Wingdings 2"/>
        <family val="1"/>
        <charset val="2"/>
      </rPr>
      <t>j</t>
    </r>
    <r>
      <rPr>
        <b/>
        <sz val="10"/>
        <rFont val="Arial"/>
        <family val="2"/>
      </rPr>
      <t xml:space="preserve">   </t>
    </r>
  </si>
  <si>
    <t xml:space="preserve">j  </t>
  </si>
  <si>
    <t>Manual Entries</t>
  </si>
  <si>
    <t>Claims and judgments - payable current</t>
  </si>
  <si>
    <t>What is the amount of claims payable that will be due and payable within one year?</t>
  </si>
  <si>
    <t xml:space="preserve">Regular instructional (5100) </t>
  </si>
  <si>
    <t>Capital grants and contributions</t>
  </si>
  <si>
    <t>The journal entry will reverse the original entry in the trial balance and credit an entry by function and revenue category. It is posted only to the conversion worksheet, not to the general ledger or accounting system.</t>
  </si>
  <si>
    <t>Category 2 projects (9200)</t>
  </si>
  <si>
    <t>Category 3 projects (9300)</t>
  </si>
  <si>
    <t>Category 1 projects (9100)</t>
  </si>
  <si>
    <t>Net change for the year</t>
  </si>
  <si>
    <t>Net Change amount</t>
  </si>
  <si>
    <t>Net Change Amount</t>
  </si>
  <si>
    <t>What was the amount of the Reserve for Prepaid Expenses at the end of the prior year?</t>
  </si>
  <si>
    <t>This amount will be classified as a "transfer in" for the governmental activities column. It will be a reconciling item on the fund statements.</t>
  </si>
  <si>
    <t>Indicate any amounts from step a. that would qualify as a special item.</t>
  </si>
  <si>
    <t>Retiring/scrapping or donating assets is a matter of removing those amounts from the capital asset accounts including removing the relative accumulated depreciation. Enter amounts by asset class in section C below.</t>
  </si>
  <si>
    <r>
      <t xml:space="preserve">Indicate amount of material loss calculated in Entry D, cell O120. </t>
    </r>
    <r>
      <rPr>
        <sz val="8"/>
        <color indexed="10"/>
        <rFont val="Arial"/>
        <family val="2"/>
      </rPr>
      <t>(Enter loss amount as a positive number.)</t>
    </r>
  </si>
  <si>
    <t>As a material loss, amount in cell O120 must be negative and must be a material amount.</t>
  </si>
  <si>
    <r>
      <t xml:space="preserve">Unrestricted:  </t>
    </r>
    <r>
      <rPr>
        <sz val="9"/>
        <color indexed="10"/>
        <rFont val="Arial"/>
        <family val="2"/>
      </rPr>
      <t>Computed based on the remaining figure after subtracting restricted assets and capital assets less related debt.</t>
    </r>
  </si>
  <si>
    <r>
      <t xml:space="preserve">From the financial records, indicate the appropriate program or general revenue classification to which the revenue should be reclassified.
</t>
    </r>
    <r>
      <rPr>
        <b/>
        <sz val="10"/>
        <color indexed="10"/>
        <rFont val="Arial"/>
        <family val="2"/>
      </rPr>
      <t>The total of Section B must agree to the total of Section A above.</t>
    </r>
  </si>
  <si>
    <t>See Memo # 973 for the proper classification of revenue sources to operating, capital, charges for service, or general revenue.</t>
  </si>
  <si>
    <t>Examine the trial balance and the LEA Revenue Allocation worksheet sorting revenues by function and by source code to determine which revenue items need to be reclassified.  The LEA Revenue Allocation worksheet to assist you with this entry is available at the Treasurer's website.</t>
  </si>
  <si>
    <t>Complete section A below indicating the amount of revenue in all governmental funds by the revenue category used in the fund statements. Note that items that are classified as special or extraordinary at the fund level may not always be classified as such when viewed at the government-wide level. Investment earnings at the fund level will not be reclassified. The amounts entered in Section A will be reversed in the entry created in Section C.</t>
  </si>
  <si>
    <t>Face</t>
  </si>
  <si>
    <r>
      <t xml:space="preserve">OFS - Sale of assets </t>
    </r>
    <r>
      <rPr>
        <sz val="8"/>
        <color indexed="10"/>
        <rFont val="Arial"/>
        <family val="2"/>
      </rPr>
      <t>- other financing source</t>
    </r>
  </si>
  <si>
    <t>Debt Issues and Other Debt Related Transactions</t>
  </si>
  <si>
    <r>
      <t xml:space="preserve">* Special item - Unusual in nature (possessing a high degree of abnormality and clearly unrelated to ordinary or typical activity) </t>
    </r>
    <r>
      <rPr>
        <i/>
        <u/>
        <sz val="10"/>
        <rFont val="Arial"/>
        <family val="2"/>
      </rPr>
      <t>and</t>
    </r>
    <r>
      <rPr>
        <i/>
        <sz val="10"/>
        <rFont val="Arial"/>
        <family val="2"/>
      </rPr>
      <t xml:space="preserve"> infrequent in occurrence </t>
    </r>
    <r>
      <rPr>
        <i/>
        <u/>
        <sz val="10"/>
        <rFont val="Arial"/>
        <family val="2"/>
      </rPr>
      <t>and</t>
    </r>
    <r>
      <rPr>
        <i/>
        <sz val="10"/>
        <rFont val="Arial"/>
        <family val="2"/>
      </rPr>
      <t xml:space="preserve"> subject to management control</t>
    </r>
  </si>
  <si>
    <t>Adjust Debt Service Expenditures Under Modified Accrual to Full Accrual</t>
  </si>
  <si>
    <t>Used*</t>
  </si>
  <si>
    <t>Earned*</t>
  </si>
  <si>
    <t>XXXXXXXXXX</t>
  </si>
  <si>
    <t>Guaranteed energy savings contracts</t>
  </si>
  <si>
    <r>
      <t xml:space="preserve">What is the net book value of any assets </t>
    </r>
    <r>
      <rPr>
        <b/>
        <sz val="10"/>
        <rFont val="Arial"/>
        <family val="2"/>
      </rPr>
      <t>donated from or transferred in</t>
    </r>
    <r>
      <rPr>
        <sz val="10"/>
        <rFont val="Arial"/>
        <family val="2"/>
      </rPr>
      <t xml:space="preserve"> from the Enterprise Funds that are included in the amounts in step a.</t>
    </r>
  </si>
  <si>
    <r>
      <t xml:space="preserve">Compensated absences earned during the current period must be reported as an expense under full accrual accounting. This may be a number that is not easily determined. Typically, you will know the beginning and ending balances and either the leave earned during the current year (Method 1) or the leave used during the current year (Method 2).  Choose </t>
    </r>
    <r>
      <rPr>
        <u/>
        <sz val="10"/>
        <rFont val="Arial"/>
        <family val="2"/>
      </rPr>
      <t>ONE</t>
    </r>
    <r>
      <rPr>
        <sz val="10"/>
        <rFont val="Arial"/>
        <family val="2"/>
      </rPr>
      <t xml:space="preserve"> of the tables below in Section A. Enter the data in the yellow fields. The cells in blue with the red caption will be calculated. The information must be entered by function in order to calculate functional expense for the current year and prior years. </t>
    </r>
    <r>
      <rPr>
        <sz val="10"/>
        <rFont val="Arial"/>
        <family val="2"/>
      </rPr>
      <t>This data will provide the information to create the entry to record current year expense and  the entry to eliminate expenditures related to prior years.</t>
    </r>
    <r>
      <rPr>
        <i/>
        <sz val="10"/>
        <rFont val="Arial"/>
        <family val="2"/>
      </rPr>
      <t xml:space="preserve"> </t>
    </r>
    <r>
      <rPr>
        <b/>
        <sz val="10"/>
        <color indexed="10"/>
        <rFont val="Arial"/>
        <family val="2"/>
      </rPr>
      <t>(Choose only one method; if data is entered into both tables the resulting entry will be overstated.)</t>
    </r>
    <r>
      <rPr>
        <i/>
        <sz val="10"/>
        <color indexed="10"/>
        <rFont val="Arial"/>
        <family val="2"/>
      </rPr>
      <t xml:space="preserve"> </t>
    </r>
  </si>
  <si>
    <r>
      <t xml:space="preserve">What was the amount of transfers between governmental funds? The amount transferred in and out will be the same.  </t>
    </r>
    <r>
      <rPr>
        <sz val="8"/>
        <rFont val="Arial"/>
        <family val="2"/>
      </rPr>
      <t>(Includes Local Current Expense Fund, State Public School Fund, Federal Grants Funds, Capital Outlay Fund and Individual Schools Fund )</t>
    </r>
    <r>
      <rPr>
        <sz val="10"/>
        <rFont val="Arial"/>
        <family val="2"/>
      </rPr>
      <t>.</t>
    </r>
  </si>
  <si>
    <t xml:space="preserve">What was the amount of new debt issued by category for all governmental funds?  </t>
  </si>
  <si>
    <t xml:space="preserve">OFS - </t>
  </si>
  <si>
    <t xml:space="preserve">2. </t>
  </si>
  <si>
    <t>Accrued interest receivable</t>
  </si>
  <si>
    <t>What are the adjustments to expenses and liabilities for claims and judgments(including workers compensation payments) ?</t>
  </si>
  <si>
    <r>
      <t xml:space="preserve">What was the balance at the end of the </t>
    </r>
    <r>
      <rPr>
        <u/>
        <sz val="10"/>
        <rFont val="Arial"/>
        <family val="2"/>
      </rPr>
      <t>prior year</t>
    </r>
    <r>
      <rPr>
        <sz val="10"/>
        <rFont val="Arial"/>
        <family val="2"/>
      </rPr>
      <t xml:space="preserve"> for other long-term liabilities?</t>
    </r>
  </si>
  <si>
    <r>
      <t xml:space="preserve">What was the amount of </t>
    </r>
    <r>
      <rPr>
        <u/>
        <sz val="10"/>
        <rFont val="Arial"/>
        <family val="2"/>
      </rPr>
      <t>new liabilities</t>
    </r>
    <r>
      <rPr>
        <sz val="10"/>
        <rFont val="Arial"/>
        <family val="2"/>
      </rPr>
      <t xml:space="preserve"> incurred during this current year?</t>
    </r>
  </si>
  <si>
    <t>What is the amount of indirect cost paid to the Local Current Expense Fund from the School Food Service and the Child Care Fund?</t>
  </si>
  <si>
    <t>I.</t>
  </si>
  <si>
    <t>Restricted for capital projects</t>
  </si>
  <si>
    <t xml:space="preserve">        Government-wide Statement</t>
  </si>
  <si>
    <t>Preliminary judgment made on which funds are major and which are non-major before conversion worksheet is done. Reconfirmed if any adjusting entries are made.</t>
  </si>
  <si>
    <t xml:space="preserve">State Public School </t>
  </si>
  <si>
    <t xml:space="preserve">Journal entry for conversion worksheet to reclassify revenue to functional categories: </t>
  </si>
  <si>
    <t>Lease purchase/Installment purchases</t>
  </si>
  <si>
    <t>Lease purchases/Installment purchases</t>
  </si>
  <si>
    <t xml:space="preserve">Lease purchases/Installment purchases </t>
  </si>
  <si>
    <t xml:space="preserve">What is the amount of lease purchases/installment purchases payable that will be due and payable within one year? </t>
  </si>
  <si>
    <t>Special pop. support &amp; develop services (6200)</t>
  </si>
  <si>
    <t>Operational support services(6500)</t>
  </si>
  <si>
    <t>charge for service</t>
  </si>
  <si>
    <t>(This loss will be netted against the program cost for Operational Support Services. ---  See Q.131 Implementation Guide 1.)</t>
  </si>
  <si>
    <t>Claims and judgments payable - current</t>
  </si>
  <si>
    <t>Lease purchases/Installment purchases - current</t>
  </si>
  <si>
    <t>Restricted for Technology support services (6400)</t>
  </si>
  <si>
    <t>OFS-  Insurance recovery</t>
  </si>
  <si>
    <t>What is (or was) the restoration cost ? (Amount would have been included in the capital outlay entry - Tab C - if spent in the same fiscal year.)</t>
  </si>
  <si>
    <r>
      <t xml:space="preserve">Sales of assets are assumed to generate gains which post to miscellaneous revenue. If losses result the number will be negative. Losses should be posted to the Operational Support Services function and will be reclassified </t>
    </r>
    <r>
      <rPr>
        <i/>
        <u/>
        <sz val="10"/>
        <rFont val="Arial"/>
        <family val="2"/>
      </rPr>
      <t>if material</t>
    </r>
    <r>
      <rPr>
        <i/>
        <sz val="10"/>
        <rFont val="Arial"/>
        <family val="2"/>
      </rPr>
      <t xml:space="preserve"> during the final stages in tab </t>
    </r>
    <r>
      <rPr>
        <i/>
        <sz val="11"/>
        <rFont val="Times New Roman"/>
        <family val="1"/>
      </rPr>
      <t>I</t>
    </r>
    <r>
      <rPr>
        <i/>
        <sz val="10"/>
        <rFont val="Arial"/>
        <family val="2"/>
      </rPr>
      <t>. Eliminations-Consolidations.</t>
    </r>
  </si>
  <si>
    <t>Claims &amp; Judgments</t>
  </si>
  <si>
    <t>A.1</t>
  </si>
  <si>
    <t>A.2</t>
  </si>
  <si>
    <t>D.1</t>
  </si>
  <si>
    <t>Special item - revenue</t>
  </si>
  <si>
    <r>
      <t xml:space="preserve">Inventory </t>
    </r>
    <r>
      <rPr>
        <sz val="10"/>
        <rFont val="Arial"/>
        <family val="2"/>
      </rPr>
      <t>- if recorded at the fund level using the purchases method</t>
    </r>
  </si>
  <si>
    <t>Compensated absences - current</t>
  </si>
  <si>
    <t>Capital related</t>
  </si>
  <si>
    <t>Operating</t>
  </si>
  <si>
    <t>Indicate the appropriate asset class for the depreciation amount computed in section A above.</t>
  </si>
  <si>
    <t xml:space="preserve">As previously stated, revenues that result in the ownership of a fixed asset are classified as capital. If no capital asset results, the revenue should be classified as operating. </t>
  </si>
  <si>
    <t>Investment earnings</t>
  </si>
  <si>
    <t>j</t>
  </si>
  <si>
    <t>k</t>
  </si>
  <si>
    <t>l</t>
  </si>
  <si>
    <t>H.1</t>
  </si>
  <si>
    <t>Accum. Depreciation - Vehicles &amp; Mot. Equipment</t>
  </si>
  <si>
    <t xml:space="preserve">Guaranteed energy savings contract </t>
  </si>
  <si>
    <t>Loans and notes payable</t>
  </si>
  <si>
    <r>
      <t xml:space="preserve">Reclassify inter-activity receivables and payables to internal balances.  </t>
    </r>
    <r>
      <rPr>
        <b/>
        <sz val="10"/>
        <color indexed="10"/>
        <rFont val="Arial"/>
        <family val="2"/>
      </rPr>
      <t>Note: Due to/from Fiduciary funds are not included here.  If they have not been separately classified at the fund level then complete Section D below.</t>
    </r>
  </si>
  <si>
    <t>Reclassify receivables and payables to the fiduciary funds.</t>
  </si>
  <si>
    <t>Leave this section blank if a separate account entitled Due to/from fiduciary funds has been used at the fund level.</t>
  </si>
  <si>
    <r>
      <t>State revenues…………………….……...</t>
    </r>
    <r>
      <rPr>
        <sz val="8"/>
        <color indexed="10"/>
        <rFont val="Arial"/>
        <family val="2"/>
      </rPr>
      <t>(General)</t>
    </r>
  </si>
  <si>
    <t>For other long term liabilities, the incremental changes will need to be recorded to charge the expense to the corresponding function.</t>
  </si>
  <si>
    <r>
      <t xml:space="preserve">Note 6: Reclassifications, eliminations, and consolidation entries - </t>
    </r>
    <r>
      <rPr>
        <b/>
        <sz val="8"/>
        <color indexed="10"/>
        <rFont val="Arial"/>
        <family val="2"/>
      </rPr>
      <t xml:space="preserve">Worksheet </t>
    </r>
    <r>
      <rPr>
        <b/>
        <sz val="9"/>
        <color indexed="10"/>
        <rFont val="Times New Roman"/>
        <family val="1"/>
      </rPr>
      <t>I</t>
    </r>
  </si>
  <si>
    <t>Entries must balance.</t>
  </si>
  <si>
    <r>
      <t>Reclassification, elimination and consolidation entries are in worksheet</t>
    </r>
    <r>
      <rPr>
        <sz val="11"/>
        <rFont val="Times New Roman"/>
        <family val="1"/>
      </rPr>
      <t xml:space="preserve"> I</t>
    </r>
    <r>
      <rPr>
        <sz val="10"/>
        <rFont val="Arial"/>
        <family val="2"/>
      </rPr>
      <t>.</t>
    </r>
  </si>
  <si>
    <t>Total revenues to be reclassified</t>
  </si>
  <si>
    <t>Not Capitalized</t>
  </si>
  <si>
    <t xml:space="preserve"> Capitalized</t>
  </si>
  <si>
    <t>Total Capital Outlay Fund Expenditures</t>
  </si>
  <si>
    <r>
      <t>Prepaid expenses  -</t>
    </r>
    <r>
      <rPr>
        <sz val="10"/>
        <rFont val="Arial"/>
        <family val="2"/>
      </rPr>
      <t xml:space="preserve"> if recorded at the fund level using the purchases method</t>
    </r>
  </si>
  <si>
    <t>Miscellaneous revenue</t>
  </si>
  <si>
    <t>F.1</t>
  </si>
  <si>
    <t>G.1</t>
  </si>
  <si>
    <t xml:space="preserve">Adjustments to Other Liability and Expense Accounts </t>
  </si>
  <si>
    <t xml:space="preserve">     Subtotal</t>
  </si>
  <si>
    <t>Reclassify any interest expense or investment income that should be related to a specific program.</t>
  </si>
  <si>
    <t>Based on the computation in 5.b above. Enter the gain or loss against the proper accounts below:</t>
  </si>
  <si>
    <r>
      <t xml:space="preserve">If there is a </t>
    </r>
    <r>
      <rPr>
        <b/>
        <sz val="10"/>
        <rFont val="Arial"/>
        <family val="2"/>
      </rPr>
      <t>net gain</t>
    </r>
    <r>
      <rPr>
        <sz val="10"/>
        <rFont val="Arial"/>
        <family val="2"/>
      </rPr>
      <t xml:space="preserve">, is it an extraordinary gain or miscellaneous revenue? </t>
    </r>
    <r>
      <rPr>
        <b/>
        <sz val="10"/>
        <color indexed="10"/>
        <rFont val="Arial"/>
        <family val="2"/>
      </rPr>
      <t>Can only be one, not both</t>
    </r>
    <r>
      <rPr>
        <sz val="10"/>
        <rFont val="Arial"/>
        <family val="2"/>
      </rPr>
      <t>.</t>
    </r>
  </si>
  <si>
    <t>Extraordinary gain</t>
  </si>
  <si>
    <r>
      <t xml:space="preserve">If there is a </t>
    </r>
    <r>
      <rPr>
        <b/>
        <sz val="10"/>
        <rFont val="Arial"/>
        <family val="2"/>
      </rPr>
      <t>net loss</t>
    </r>
    <r>
      <rPr>
        <sz val="10"/>
        <rFont val="Arial"/>
        <family val="2"/>
      </rPr>
      <t xml:space="preserve">, is it an extraordinary loss or a program expense? (GASB definition for extraordinary loss can be found in the authoritative literature.) </t>
    </r>
    <r>
      <rPr>
        <b/>
        <sz val="10"/>
        <color indexed="10"/>
        <rFont val="Arial"/>
        <family val="2"/>
      </rPr>
      <t>Enter amount as negative number.</t>
    </r>
  </si>
  <si>
    <t>Extraordinary loss</t>
  </si>
  <si>
    <t xml:space="preserve">Total for 6a and 6b above </t>
  </si>
  <si>
    <t>Entry D</t>
  </si>
  <si>
    <t>OFS - Insurance recovery</t>
  </si>
  <si>
    <t>Extraordinary gain/ioss</t>
  </si>
  <si>
    <r>
      <t xml:space="preserve">What is the amount of compensated balances payable that will be due and payable within one year?  </t>
    </r>
    <r>
      <rPr>
        <sz val="8"/>
        <color indexed="10"/>
        <rFont val="Arial"/>
        <family val="2"/>
      </rPr>
      <t>(Use of the FIFO assumption will be based on average leave taken over the years. Typically, use of the LIFO method will not have a current portion.)</t>
    </r>
  </si>
  <si>
    <r>
      <t xml:space="preserve">From the fixed asset system or other financial records, determine the amount of capital assets in the following categories that must be added to the government-wide statements: </t>
    </r>
    <r>
      <rPr>
        <b/>
        <sz val="10"/>
        <color indexed="10"/>
        <rFont val="Arial"/>
        <family val="2"/>
      </rPr>
      <t>(Beginning balance for the year)</t>
    </r>
  </si>
  <si>
    <r>
      <t xml:space="preserve">From the debt records or other financial records, determine the amount of long-term debt in the following categories that must be added to the government-wide statements:  </t>
    </r>
    <r>
      <rPr>
        <b/>
        <sz val="10"/>
        <color indexed="10"/>
        <rFont val="Arial"/>
        <family val="2"/>
      </rPr>
      <t>(Beginning balance for the year.)</t>
    </r>
  </si>
  <si>
    <t>Journal entry for conversion worksheet to capitalize capital outlay expenditures [Entry C.1], and to allocate non-capitalized items from the Capital Outlay Fund to other functions/programs [Entry C.2]</t>
  </si>
  <si>
    <t>Entry B</t>
  </si>
  <si>
    <t>Entry C</t>
  </si>
  <si>
    <t>Totals</t>
  </si>
  <si>
    <t>6.</t>
  </si>
  <si>
    <t>Entry A.1</t>
  </si>
  <si>
    <t>Entry A.2</t>
  </si>
  <si>
    <t>Loss on disposal of assets</t>
  </si>
  <si>
    <t xml:space="preserve">Debit </t>
  </si>
  <si>
    <t xml:space="preserve">Miscellaneous general revenue </t>
  </si>
  <si>
    <t>Assets</t>
  </si>
  <si>
    <t>Liabilities</t>
  </si>
  <si>
    <t xml:space="preserve">Conversion entries to convert from modified accrual to full accrual are generated from the worksheets B through J. </t>
  </si>
  <si>
    <t>Consolidation, Elimination and Reclassification Entries</t>
  </si>
  <si>
    <t>OFS - Transfers in</t>
  </si>
  <si>
    <t>OFU - Transfers out</t>
  </si>
  <si>
    <r>
      <t xml:space="preserve">   activity</t>
    </r>
    <r>
      <rPr>
        <sz val="10"/>
        <rFont val="Arial"/>
        <family val="2"/>
      </rPr>
      <t xml:space="preserve"> </t>
    </r>
  </si>
  <si>
    <t>What is the amount of "Advances to other funds" due to the governmental funds from the enterprise funds (receivable)?</t>
  </si>
  <si>
    <t>What is the amount of "Advances from other funds" due to the enterprise funds from the governmental funds (payable) ?</t>
  </si>
  <si>
    <t>Expenditures from Other Funds to be capitalized:</t>
  </si>
  <si>
    <t>Category 1</t>
  </si>
  <si>
    <t>Category 2</t>
  </si>
  <si>
    <t>Category 3</t>
  </si>
  <si>
    <t>Unrestricted State grants - capital</t>
  </si>
  <si>
    <t>Miscellaneous - interest earnings</t>
  </si>
  <si>
    <t>Miscellaneous  - other</t>
  </si>
  <si>
    <t>Unrestricted County appropriations - operating</t>
  </si>
  <si>
    <t>Unrestricted State grants - operating</t>
  </si>
  <si>
    <t>Miscellaneous - other</t>
  </si>
  <si>
    <t>Operating grants &amp; contributions</t>
  </si>
  <si>
    <t>Capital grants &amp; contributions</t>
  </si>
  <si>
    <t>Notes:</t>
  </si>
  <si>
    <t>Sample workbooks are available for Carolina County, City of Dogwood, and Carolina Board of Education. Refer to the proper workbook for your particular unit type. Please note that in some cases immaterial amounts have been used to demonstrate a transaction in the three examples above.  For your statements, determine materiality by the proper criteria and please do not be mislead by the small amounts in our examples.</t>
  </si>
  <si>
    <t>Specific Instructions:</t>
  </si>
  <si>
    <t>Beginning Capital Assets and Long-Term Debt</t>
  </si>
  <si>
    <t>Capital Assets &amp; Long-term Debt accounts are those previously carried in the General Fixed Asset Account Group (GFAAG) and the General Long Term Debt Account Group (GLTDAG) plus the respective accumulated depreciation</t>
  </si>
  <si>
    <t>Other long-term debt liabilities - What are adjustments to expenses and liabilities?</t>
  </si>
  <si>
    <r>
      <t xml:space="preserve">What was the amount of </t>
    </r>
    <r>
      <rPr>
        <u/>
        <sz val="10"/>
        <rFont val="Arial"/>
        <family val="2"/>
      </rPr>
      <t>new claims</t>
    </r>
    <r>
      <rPr>
        <sz val="10"/>
        <rFont val="Arial"/>
        <family val="2"/>
      </rPr>
      <t xml:space="preserve"> incurred during this current year?</t>
    </r>
  </si>
  <si>
    <t>Adjustments</t>
  </si>
  <si>
    <t>General revenues</t>
  </si>
  <si>
    <t>Unrestricted Federal grants</t>
  </si>
  <si>
    <t>Note 5: Conversion and annual accruals</t>
  </si>
  <si>
    <t>Other sales of assets that do not qualify as special items:</t>
  </si>
  <si>
    <r>
      <t xml:space="preserve">Depreciation: </t>
    </r>
    <r>
      <rPr>
        <sz val="10"/>
        <rFont val="Arial"/>
        <family val="2"/>
      </rPr>
      <t>records depreciation expense for all asset classes by program/function and records unallocated amounts.</t>
    </r>
  </si>
  <si>
    <t>Reclassify any material losses on the disposal of assets.</t>
  </si>
  <si>
    <t>Complete explanations and instructions are presented on each of the worksheets following the 'Conversion Worksheet.' A brief synopsis is presented below.</t>
  </si>
  <si>
    <r>
      <t>Instructions:</t>
    </r>
    <r>
      <rPr>
        <sz val="10"/>
        <rFont val="Arial"/>
        <family val="2"/>
      </rPr>
      <t xml:space="preserve"> synopsis and general guidelines for use of the workbook. </t>
    </r>
  </si>
  <si>
    <r>
      <t xml:space="preserve">Beginning Capital Assets &amp; LTD: </t>
    </r>
    <r>
      <rPr>
        <sz val="10"/>
        <rFont val="Arial"/>
        <family val="2"/>
      </rPr>
      <t>records the beginning balances for capital assets, their corresponding accumulated depreciation accounts and long-term liabilities. These accounts would have been recorded in the General Fixed Asset Account Group and the General Long-term Debt Account Group under the old model of reporting. The offset to the entry is to fund balance.</t>
    </r>
  </si>
  <si>
    <r>
      <t xml:space="preserve">Conversion Worksheet: </t>
    </r>
    <r>
      <rPr>
        <sz val="10"/>
        <rFont val="Arial"/>
        <family val="2"/>
      </rPr>
      <t xml:space="preserve">includes trial balances for all governmental funds, columns for prior year capital assets and long-term debt balances, and columns for posting the various reclassification, conversion, elimination and consolidation entries resulting in the final numbers for governmental-type activities for the statements. </t>
    </r>
  </si>
  <si>
    <r>
      <t xml:space="preserve">Revenue by Function : </t>
    </r>
    <r>
      <rPr>
        <sz val="10"/>
        <rFont val="Arial"/>
        <family val="2"/>
      </rPr>
      <t>allocates revenue to the proper government-wide financial statement categories (Charges for Services, Operating Grants and contributions, and Capital grants and contributions) and their respective programs/functions for presentation on the Statement of Activities.</t>
    </r>
  </si>
  <si>
    <r>
      <t xml:space="preserve">Capital Asset Disposal: </t>
    </r>
    <r>
      <rPr>
        <sz val="10"/>
        <rFont val="Arial"/>
        <family val="2"/>
      </rPr>
      <t>addresses disposals of capital asset entries - sales, trades, retirements, impairments, etc. and generates the correct entry to asset classes, programs/functions, and revenue or expenditure accounts.</t>
    </r>
  </si>
  <si>
    <t>Least Purchase/Installment purchases</t>
  </si>
  <si>
    <t>Lease Purchase/Installment purchases</t>
  </si>
  <si>
    <t>Special Populations Programs (5200)</t>
  </si>
  <si>
    <t>Alternative Programs and Services (5300)</t>
  </si>
  <si>
    <t>School Leadership Services (5400)</t>
  </si>
  <si>
    <t>Co-Curricular Services (5500)</t>
  </si>
  <si>
    <t>School Based Support Services (5800)</t>
  </si>
  <si>
    <t>Support and Redevelopment Services (6100)</t>
  </si>
  <si>
    <t>Special Population Support &amp; Development Services (6200)</t>
  </si>
  <si>
    <t>Alternative Programs &amp; Services Support &amp; Develop. Services (6300)</t>
  </si>
  <si>
    <t>Technology support services (6400)</t>
  </si>
  <si>
    <t>Operational support services (6500)</t>
  </si>
  <si>
    <t>Financial &amp; HR Services (6600)</t>
  </si>
  <si>
    <t>Policy, Leadership &amp; Public Relations Services (6900)</t>
  </si>
  <si>
    <t>Ancillary Services (7000)</t>
  </si>
  <si>
    <t>Non-programmed Charges (8000)</t>
  </si>
  <si>
    <t>Accountablity Services (6700)</t>
  </si>
  <si>
    <t>System-wide Pupil Support Services (6800)</t>
  </si>
  <si>
    <t xml:space="preserve">Special populations (5200) </t>
  </si>
  <si>
    <t>Alternative Programs (5300)</t>
  </si>
  <si>
    <t xml:space="preserve">School Leadership (5400) </t>
  </si>
  <si>
    <t>Co-Curricular (5500)</t>
  </si>
  <si>
    <t>School-Based support (5800)</t>
  </si>
  <si>
    <t>Support &amp; development (6100)</t>
  </si>
  <si>
    <t>Special Pop. Sup. &amp; Dev. (6200)</t>
  </si>
  <si>
    <t xml:space="preserve">Alternative prog. &amp; services (6300) </t>
  </si>
  <si>
    <t>Technology support (6400)</t>
  </si>
  <si>
    <t>Operational support (6500)</t>
  </si>
  <si>
    <t>Financial &amp; HR (6600)</t>
  </si>
  <si>
    <t>Policy, Leadership &amp; PR (6900)</t>
  </si>
  <si>
    <t>Ancillary services (7000)</t>
  </si>
  <si>
    <t>Accountablity (6700)</t>
  </si>
  <si>
    <t>System-wide pupil support (6800)</t>
  </si>
  <si>
    <t>The data provided in sections A and B will provide the information to create the proper entry for the conversion worksheet.</t>
  </si>
  <si>
    <t>Identify the proper asset class to which the depreciation should be recorded in section B below. The total amount must equal the total expense in Section A.</t>
  </si>
  <si>
    <t>Indicate the annual depreciation expense by program/function:</t>
  </si>
  <si>
    <t>Regular instructional services (5100)</t>
  </si>
  <si>
    <t>Special populations services (5200)</t>
  </si>
  <si>
    <t>Alternative programs and services (5300)</t>
  </si>
  <si>
    <t>School leadership services (5400)</t>
  </si>
  <si>
    <t>Co-curricular services (5500)</t>
  </si>
  <si>
    <t>School-based support services (5800)</t>
  </si>
  <si>
    <t>Support and development services (6100)</t>
  </si>
  <si>
    <t>Alternative programs &amp; services support &amp; develop. ser. (6300)</t>
  </si>
  <si>
    <t>Financial &amp; HR services (6600)</t>
  </si>
  <si>
    <t>Policy, leadership and public relations services (6900)</t>
  </si>
  <si>
    <t>Accountablilty services (6700)</t>
  </si>
  <si>
    <t>System-wide pupil support services (6800)</t>
  </si>
  <si>
    <r>
      <t xml:space="preserve">Were there any </t>
    </r>
    <r>
      <rPr>
        <u/>
        <sz val="10"/>
        <rFont val="Arial"/>
        <family val="2"/>
      </rPr>
      <t>adjustments</t>
    </r>
    <r>
      <rPr>
        <sz val="10"/>
        <rFont val="Arial"/>
        <family val="2"/>
      </rPr>
      <t xml:space="preserve"> in the current year for prior year claims?  
</t>
    </r>
    <r>
      <rPr>
        <sz val="8"/>
        <color indexed="10"/>
        <rFont val="Arial"/>
        <family val="2"/>
      </rPr>
      <t>Please enter reductions as negative amounts and increases as positive amounts.</t>
    </r>
  </si>
  <si>
    <r>
      <t xml:space="preserve">Were there any </t>
    </r>
    <r>
      <rPr>
        <u/>
        <sz val="10"/>
        <rFont val="Arial"/>
        <family val="2"/>
      </rPr>
      <t>adjustments</t>
    </r>
    <r>
      <rPr>
        <sz val="10"/>
        <rFont val="Arial"/>
        <family val="2"/>
      </rPr>
      <t xml:space="preserve"> to these account balances during the year? </t>
    </r>
    <r>
      <rPr>
        <sz val="8"/>
        <color indexed="10"/>
        <rFont val="Arial"/>
        <family val="2"/>
      </rPr>
      <t xml:space="preserve"> Please enter reductions as negative amounts and increases as positive amounts.</t>
    </r>
  </si>
  <si>
    <r>
      <t xml:space="preserve">Indicate the amount of </t>
    </r>
    <r>
      <rPr>
        <u/>
        <sz val="10"/>
        <rFont val="Arial"/>
        <family val="2"/>
      </rPr>
      <t>payments</t>
    </r>
    <r>
      <rPr>
        <sz val="10"/>
        <rFont val="Arial"/>
        <family val="2"/>
      </rPr>
      <t xml:space="preserve"> made on claims &amp; judgments during current year.</t>
    </r>
  </si>
  <si>
    <r>
      <t xml:space="preserve">Ending balance for claims &amp; judgments for the current year. </t>
    </r>
    <r>
      <rPr>
        <sz val="8"/>
        <color indexed="10"/>
        <rFont val="Arial"/>
        <family val="2"/>
      </rPr>
      <t>- calculated</t>
    </r>
  </si>
  <si>
    <t>B.1</t>
  </si>
  <si>
    <t>I.2</t>
  </si>
  <si>
    <t>I.3</t>
  </si>
  <si>
    <t>I.4</t>
  </si>
  <si>
    <t>I.5</t>
  </si>
  <si>
    <t>I.6</t>
  </si>
  <si>
    <t>I.7</t>
  </si>
  <si>
    <t>I.8</t>
  </si>
  <si>
    <t>I.9</t>
  </si>
  <si>
    <t>C.1</t>
  </si>
  <si>
    <t>C.2</t>
  </si>
  <si>
    <r>
      <t>Note</t>
    </r>
    <r>
      <rPr>
        <sz val="10"/>
        <rFont val="Arial"/>
        <family val="2"/>
      </rPr>
      <t xml:space="preserve">: </t>
    </r>
    <r>
      <rPr>
        <i/>
        <sz val="10"/>
        <rFont val="Arial"/>
        <family val="2"/>
      </rPr>
      <t>If the composite method is used for computing depreciation and useful life, no gain or loss should be recognized. The proceeds received upon the asset's removal reduces the amount that would have been charged to accumulated depreciation. For the case where the composite method is used, adjust accumulated depreciation such that gain/loss computes as zero ($0).</t>
    </r>
  </si>
  <si>
    <t>Total of principal payments</t>
  </si>
  <si>
    <t xml:space="preserve">Review all governmental funds for sales of assets. For those items that meet the definition of a special item* enter the amounts by asset class for each question in section A.1. Typically there would not be more than one sale that qualified under the definition of special item. Enter the amounts under the proper asset class.  Two "Other Asset" categories have been added for units that may maintain assets in different categories.  If used, column labels should be consistent between worksheets and the trial balance.   </t>
  </si>
  <si>
    <t xml:space="preserve">Trade-ins of equipment or vehicles should also be recorded and treated similarly to sales of assets. Any expenditure made as part of the trade-in transaction was recorded with the capital outlay entry. Now we must remove the old asset from the capital asset accounts and adjust the true cost of the newly acquired asset.  Enter the amounts by asset class in section B of the worksheet below.  For question d, please enter the net book value of the old asset in the cell for the asset class of the new asset, e.g. if a vehicle is traded for another vehicle then the amount would be placed in the field for the same asset class "vehicles"; however, if a vehicle is traded for equipment, place the amount in the asset class of the new asset "equipment". Trading across asset classes will be rare but the worksheet should accommodate the entry. </t>
  </si>
  <si>
    <t>Category 1 projects (old 9100)</t>
  </si>
  <si>
    <t>Category 2 projects (old 9200)</t>
  </si>
  <si>
    <t>Category 3 projects (old 9300)</t>
  </si>
  <si>
    <t>Real property and buildings (Category 1), (old 9100)</t>
  </si>
  <si>
    <t>Furniture and equipment (Category 2), (old 9200)</t>
  </si>
  <si>
    <t>Buses and motor vehicles (Category 3), (old 9300)</t>
  </si>
  <si>
    <t>Restoration expenditures or insurance recovery may occur in another fiscal year. In that case, the impairment loss is recorded in the year of the loss and the recovery would be recorded as as a gain (miscellaneous revenue or extrarodinary gain) depending on the magnitude of the amount.</t>
  </si>
  <si>
    <t>Assets physically damaged during the year from accidents or natural causes which have been or are planned to be restored:</t>
  </si>
  <si>
    <t xml:space="preserve">What is the original cost at the beginning of the year for assets physically damaged during current year? </t>
  </si>
  <si>
    <t>What is the accumulated depreciation at the beginning of the year for the assets damaged in a. above?</t>
  </si>
  <si>
    <t>What is the depreciation expense for the current year up to the
 date of the damage for the assets above?</t>
  </si>
  <si>
    <t>Net book value of capital assets damaged</t>
  </si>
  <si>
    <r>
      <t>Revenues must be reclassified for presentation on the Statement of Activities to report</t>
    </r>
    <r>
      <rPr>
        <sz val="10"/>
        <rFont val="Arial"/>
        <family val="2"/>
      </rPr>
      <t xml:space="preserve"> revenues either by function (program) or as general revenue</t>
    </r>
    <r>
      <rPr>
        <sz val="10"/>
        <rFont val="Arial"/>
        <family val="2"/>
      </rPr>
      <t xml:space="preserve">. Most of the appropriations from the county will be classified as general revenue. Most of the revenues in the State Public School Fund and Federal Grants Fund will be classified as program specific revenues. The program revenues will be grouped into three categories; charges for services, operating grants and contributions, and capital grants and contributions. In order for grants or contributions to be classified as capital in nature, the </t>
    </r>
    <r>
      <rPr>
        <u/>
        <sz val="10"/>
        <rFont val="Arial"/>
        <family val="2"/>
      </rPr>
      <t>unit must own the asset</t>
    </r>
    <r>
      <rPr>
        <sz val="10"/>
        <rFont val="Arial"/>
        <family val="2"/>
      </rPr>
      <t xml:space="preserve">. Grants that can be considered </t>
    </r>
    <r>
      <rPr>
        <b/>
        <sz val="10"/>
        <rFont val="Arial"/>
        <family val="2"/>
      </rPr>
      <t>either</t>
    </r>
    <r>
      <rPr>
        <sz val="10"/>
        <rFont val="Arial"/>
        <family val="2"/>
      </rPr>
      <t xml:space="preserve"> operating or capital are classified as operating grants. </t>
    </r>
  </si>
  <si>
    <t xml:space="preserve">Identify assets by function and calculate the annual depreciation in section A below. For those items that are shared and no clear allocation method is available, place those figures into the unallocated depreciation line. </t>
  </si>
  <si>
    <t>What is the depreciation expense for the current year up to the date of trade-in for the asset above?</t>
  </si>
  <si>
    <t>Vehicles and Mot. Equip</t>
  </si>
  <si>
    <t>Entry for conversion worksheet to record additions to outstanding debt and all refunding activity.   [Entry F.1]</t>
  </si>
  <si>
    <t>Debt service - interest expense</t>
  </si>
  <si>
    <r>
      <t xml:space="preserve">What is the amount of "Due from other funds" due to the governmental funds from the enterprise funds </t>
    </r>
    <r>
      <rPr>
        <sz val="9"/>
        <rFont val="Arial"/>
        <family val="2"/>
      </rPr>
      <t>(receivable)</t>
    </r>
    <r>
      <rPr>
        <sz val="10"/>
        <rFont val="Arial"/>
        <family val="2"/>
      </rPr>
      <t>?</t>
    </r>
  </si>
  <si>
    <t>Asset classes and accumulated depreciation:</t>
  </si>
  <si>
    <t>Total capital assets to be reclassified</t>
  </si>
  <si>
    <t>Journal entry for conversion worksheet to add capital assets and long-term debt to government-wide statements:</t>
  </si>
  <si>
    <r>
      <t xml:space="preserve">Fund Equity - </t>
    </r>
    <r>
      <rPr>
        <b/>
        <sz val="10"/>
        <rFont val="Arial"/>
        <family val="2"/>
      </rPr>
      <t>Beginning</t>
    </r>
  </si>
  <si>
    <t>Note 4: Entry from</t>
  </si>
  <si>
    <t>Worksheet</t>
  </si>
  <si>
    <t>Indicate proceeds of sales as reported in fund financial statements</t>
  </si>
  <si>
    <t>What is the depreciation expense for the current year up to the date of sale for the assets above?</t>
  </si>
  <si>
    <t>C.3</t>
  </si>
  <si>
    <t>- current</t>
  </si>
  <si>
    <t>Final Entry to Conversion Worksheet for sales, disposals and donations to the unit of capital assets:   [Entry D.1 ]</t>
  </si>
  <si>
    <t>Adjust Capital Asset Disposal Entries to Full Accrual</t>
  </si>
  <si>
    <t>Debt service - interest</t>
  </si>
  <si>
    <t>Interest</t>
  </si>
  <si>
    <t>E.3</t>
  </si>
  <si>
    <t>Change in accrued interest under full accrual</t>
  </si>
  <si>
    <t>Review the various governmental funds and identify debt service expenditures that should be recorded as a reduction to a liability as principal is paid down. Enter information in Section B below.</t>
  </si>
  <si>
    <t xml:space="preserve">Determine the amount of accrued interest at the beginning of the fiscal year and as of the end of the year.  </t>
  </si>
  <si>
    <t xml:space="preserve">4. </t>
  </si>
  <si>
    <t>E.4</t>
  </si>
  <si>
    <t>lines to which entries are posted.</t>
  </si>
  <si>
    <r>
      <t xml:space="preserve">Compensated Absences - What are current and prior year expenses under full accrual? </t>
    </r>
    <r>
      <rPr>
        <b/>
        <sz val="10"/>
        <color indexed="10"/>
        <rFont val="Arial"/>
        <family val="2"/>
      </rPr>
      <t xml:space="preserve">(Choose Method 1 </t>
    </r>
    <r>
      <rPr>
        <b/>
        <u/>
        <sz val="10"/>
        <color indexed="10"/>
        <rFont val="Arial"/>
        <family val="2"/>
      </rPr>
      <t>or</t>
    </r>
    <r>
      <rPr>
        <b/>
        <sz val="10"/>
        <color indexed="10"/>
        <rFont val="Arial"/>
        <family val="2"/>
      </rPr>
      <t xml:space="preserve">  2)</t>
    </r>
  </si>
  <si>
    <t>A.</t>
  </si>
  <si>
    <t>B.</t>
  </si>
  <si>
    <t>4.</t>
  </si>
  <si>
    <t>5.</t>
  </si>
  <si>
    <t xml:space="preserve">Unearned revenue  </t>
  </si>
  <si>
    <t>Accum. Depreciation - Buildings</t>
  </si>
  <si>
    <t>Recording Depreciation Expense</t>
  </si>
  <si>
    <r>
      <t xml:space="preserve">Special item  </t>
    </r>
    <r>
      <rPr>
        <i/>
        <sz val="10"/>
        <rFont val="Arial"/>
        <family val="2"/>
      </rPr>
      <t>(revenue)</t>
    </r>
  </si>
  <si>
    <t>Accrued interest payable</t>
  </si>
  <si>
    <t>Beginning fund balance</t>
  </si>
  <si>
    <t>Interest expense</t>
  </si>
  <si>
    <t>operating grants &amp; contributions</t>
  </si>
  <si>
    <t>capital grants &amp; contributions</t>
  </si>
  <si>
    <t xml:space="preserve">Restricted for </t>
  </si>
  <si>
    <t>Vehicles &amp; Motorized Equipment</t>
  </si>
  <si>
    <t>Special Item</t>
  </si>
  <si>
    <t>Description</t>
  </si>
  <si>
    <t>Balance Sheet Accounts</t>
  </si>
  <si>
    <t xml:space="preserve"> </t>
  </si>
  <si>
    <t>Cash</t>
  </si>
  <si>
    <t>Restricted cash</t>
  </si>
  <si>
    <t>Due from other funds</t>
  </si>
  <si>
    <t>Due from other governments</t>
  </si>
  <si>
    <t>Inventories</t>
  </si>
  <si>
    <t>Prepaid items</t>
  </si>
  <si>
    <t>Due to other funds</t>
  </si>
  <si>
    <t>Liabilities payable from restricted assets</t>
  </si>
  <si>
    <t>Accounts in tan have multiple</t>
  </si>
  <si>
    <t>Compensated absences payable</t>
  </si>
  <si>
    <t>Operating Accounts - Revenues</t>
  </si>
  <si>
    <t>Charges for Services</t>
  </si>
  <si>
    <t>Operating Grants &amp; Contributions</t>
  </si>
  <si>
    <t>Capital Grants &amp; Contributions</t>
  </si>
  <si>
    <t>Debt Service</t>
  </si>
  <si>
    <t>Principal retirement</t>
  </si>
  <si>
    <t>Interest and fees</t>
  </si>
  <si>
    <t>Major Funds</t>
  </si>
  <si>
    <r>
      <t xml:space="preserve">For those items sold that qualify as a regular sale of assets, enter the amounts by asset class for each question in section A.2. Under modified accrual the receipts from the sale would be classified as other financing sources - proceeds from sale of assets. Under full accrual, however we must calculate the gain or loss on the sale. The entry created adjusts the capital asset accounts, reverses the other financing source entry and records the resulting gain (or loss.) This entry assumes a gain; if a loss is material, it must be reclassified in Worksheet </t>
    </r>
    <r>
      <rPr>
        <sz val="10"/>
        <rFont val="Times New Roman"/>
        <family val="1"/>
      </rPr>
      <t>I</t>
    </r>
    <r>
      <rPr>
        <sz val="10"/>
        <rFont val="Arial"/>
        <family val="2"/>
      </rPr>
      <t>.</t>
    </r>
  </si>
  <si>
    <t>Debt service - principal as reported in the fund statements - all governmental funds:</t>
  </si>
  <si>
    <r>
      <t xml:space="preserve">Enter the amount of principal paid as debt service in </t>
    </r>
    <r>
      <rPr>
        <u/>
        <sz val="10"/>
        <rFont val="Arial"/>
        <family val="2"/>
      </rPr>
      <t>all governmental funds</t>
    </r>
    <r>
      <rPr>
        <sz val="10"/>
        <rFont val="Arial"/>
        <family val="2"/>
      </rPr>
      <t xml:space="preserve"> for the debt categories below?</t>
    </r>
  </si>
  <si>
    <t>Principal</t>
  </si>
  <si>
    <t>What was the amount of Reserve for inventory at the end of the prior year?</t>
  </si>
  <si>
    <t>Change in Reserve for inventory</t>
  </si>
  <si>
    <t>Final Entry for Conversion Worksheet   [Entry I.1 through I.9]</t>
  </si>
  <si>
    <t>Entry for Conversion worksheet to record depreciation expense.       [Entry B.1]</t>
  </si>
  <si>
    <t>Special population support &amp; develop. services (6200)</t>
  </si>
  <si>
    <t>Special population support and development services (6200)</t>
  </si>
  <si>
    <t>Special pop. support &amp; develop. ser. (6200)</t>
  </si>
  <si>
    <t>Alternative prog. &amp; ser. sup &amp; dev. ser. (6300)</t>
  </si>
  <si>
    <t>Policy, leadership &amp; PR services (6900)</t>
  </si>
  <si>
    <t>What is the amount of interfund receivables and payables between governmental funds in the "advances to/from" account?  This is the amount only between governmental funds. Do not include any advances between governmental and enterprise funds.</t>
  </si>
  <si>
    <t>What is the amount of indirect cost paid to the Local Current Expense Fund from the Federal Grants Fund?</t>
  </si>
  <si>
    <t xml:space="preserve">What is the amount of guaranteed energy savings contracts payable that will be due and payable within one year? </t>
  </si>
  <si>
    <t>Deferred</t>
  </si>
  <si>
    <t>Fund balance in the Individual Schools Fund, after any adjustments to full accrual (accrued interest, etc.)</t>
  </si>
  <si>
    <t>Review the governmental funds for expenditures made during the year for claims &amp; judgments (including workers' compensation claims). Enter the payment amounts in section B.1 below. Also, determine additions to claims &amp; judgments (including workers' compensation claims) from management. Enter the amounts of the new liability by function in section B.2.</t>
  </si>
  <si>
    <t>Other financing sources (uses)</t>
  </si>
  <si>
    <t>Special item</t>
  </si>
  <si>
    <t>Extraordinary item</t>
  </si>
  <si>
    <t>I.1</t>
  </si>
  <si>
    <t>Fund balance</t>
  </si>
  <si>
    <t>State revenues</t>
  </si>
  <si>
    <t>County revenues</t>
  </si>
  <si>
    <t>U.S. Government</t>
  </si>
  <si>
    <t>Annual depreciation expense by program/function:</t>
  </si>
  <si>
    <t>Annual depreciation expense by asset class:</t>
  </si>
  <si>
    <t>Please note that depreciation must be posted to the unit's permanent accounts in order to correctly reflect next year's beginning balances.  Depreciation expense will not affect the governmental fund statements but the annual amount will increment the accumulated depreciation figure for each asset class and should be recorded in the fixed asset system or the records where the capital assets are posted.</t>
  </si>
  <si>
    <t>What is the amount of interfund receivables and payables between governmental funds in the "due to/from account"?  This is the amount only between governmental funds. Do not include any due to/due froms between governmental and enterprise funds.</t>
  </si>
  <si>
    <r>
      <t xml:space="preserve">Cash </t>
    </r>
    <r>
      <rPr>
        <sz val="10"/>
        <rFont val="Arial"/>
        <family val="2"/>
      </rPr>
      <t>and Investments</t>
    </r>
  </si>
  <si>
    <t>This workbook is set up in a series of worksheets that address the various entries required to convert from modified to full accrual. Some entries must be initially recorded, some are simple reclassifications, and others are allocations to programs or functions. The workbook is based on the premise of answering a series of questions for those areas where modified and full accrual differ in their treatment of a transaction. The answers to these questions will generate accounting entries which are automatically mapped or linked to the conversion worksheet. Many entries are recorded only in this conversion worksheet and are not to be recorded in the general ledger but some effect permanent accounts like capital assets, depreciation, and liabilities. These entries must be posted to the unit's ledger accounts in order to properly reflect the beginning balances for the next year. In each case, the specific instructions to the individual worksheets indicate whether an entry to the permanent accounts is required.</t>
  </si>
  <si>
    <t>Other Fund #1</t>
  </si>
  <si>
    <r>
      <t>Specific Instructions</t>
    </r>
    <r>
      <rPr>
        <sz val="10"/>
        <rFont val="Arial"/>
        <family val="2"/>
      </rPr>
      <t xml:space="preserve"> - </t>
    </r>
    <r>
      <rPr>
        <sz val="9"/>
        <rFont val="Arial"/>
        <family val="2"/>
      </rPr>
      <t>continued</t>
    </r>
  </si>
  <si>
    <t>Workbook Contents:</t>
  </si>
  <si>
    <t>Individual Schools</t>
  </si>
  <si>
    <t>Federal Grants Fund</t>
  </si>
  <si>
    <t>Accounts payable and accrued liabilities</t>
  </si>
  <si>
    <t>Accrued salaries and wages payable</t>
  </si>
  <si>
    <r>
      <t>U.S. Government………………...</t>
    </r>
    <r>
      <rPr>
        <sz val="10"/>
        <color indexed="10"/>
        <rFont val="Arial"/>
        <family val="2"/>
      </rPr>
      <t>(</t>
    </r>
    <r>
      <rPr>
        <sz val="8"/>
        <color indexed="10"/>
        <rFont val="Arial"/>
        <family val="2"/>
      </rPr>
      <t>Typically general)</t>
    </r>
  </si>
  <si>
    <r>
      <t>County revenues………………………….</t>
    </r>
    <r>
      <rPr>
        <sz val="8"/>
        <color indexed="10"/>
        <rFont val="Arial"/>
        <family val="2"/>
      </rPr>
      <t>(General)</t>
    </r>
  </si>
  <si>
    <t>Assets held for resale</t>
  </si>
  <si>
    <t>Capital Outlay Fund</t>
  </si>
  <si>
    <t xml:space="preserve">Review the governmental funds for additions to the various debt categories which would have been recorded as an other financing source - debt proceeds. Enter information in Section A below. </t>
  </si>
  <si>
    <t>Any debt service payments, guaranteed energy savings contracts, or capital leases that have been reported in other purpose codes on the fund statements should be reclassified to debt service for the government-wide statements.  Any amounts reported in 9000 series purpose codes in the fund statements should have been reclassified to debt service by Worksheet C, Entry 2.</t>
  </si>
  <si>
    <t>Review the various governmental funds and identify capital outlay expense that should be capitalized and recorded as capital assets. For expenditures from the Capital Outlay Fund it will be necessary to also indicate the expenditures that are not being capitalized.  These expenditures must be allocated to other program/functions or to debt service because capital outlay functions are not programs.  Accumulate these expenditures by program/function for entry to Section A.1 and A.2 below.  Capitalized expenditures from Section A must equal capitalized assets by type in Section B.  Uncapitalized expenditures from the capital outlay fund in Section A.1 must equal the allocation to functions/programs in Section C. Debt service expenditures will be reclassified in Worksheet E. They are included here to create totals that tie to your fund statements.</t>
  </si>
  <si>
    <t>Donations of assets and transfers in from an Enterprise fund are typically not recorded in the fund statements; however, this data would have been picked up previously in the capital asset note under additions. For reporting on the government-wide statements, the donations must be reported as revenue and as an increase to the specific asset account. The revenue amount will be reflected in "miscellaneous general revenues" for assets other than school buses. The revenue from the donation of school buses will be reflected as capital grant revenue for purpose code 6500 (Operational Support Services)  The transfer in of capital assets from an Enterprise Fund must be reported as transfers. Enter these amounts in section D.</t>
  </si>
  <si>
    <t>Other transactions affecting capital assets must also be adjusted from their treatment under modified accrual to full accrual for the government-wide financial statements. This covers the  disposal of assets such as the sales and trade-ins or the scrapping of fully depreciated assets.  Please be aware that in addition to posting to the conversion worksheets, capital assets activity eventually must be added to the unit's permanent accounts for recording capital assets in order to have proper beginning balances for next year's statements.  (Capital assets acquired through leases should have been recorded in the capital outlay worksheet; the debt side of the entry will be made later.)</t>
  </si>
  <si>
    <r>
      <t>Operational support services (6500)…….</t>
    </r>
    <r>
      <rPr>
        <sz val="8"/>
        <color indexed="10"/>
        <rFont val="Arial"/>
        <family val="2"/>
      </rPr>
      <t>loss on disposal</t>
    </r>
  </si>
  <si>
    <r>
      <t>Operational Support Services (6500) [</t>
    </r>
    <r>
      <rPr>
        <i/>
        <sz val="8"/>
        <rFont val="Arial"/>
        <family val="2"/>
      </rPr>
      <t>Loss on disposal</t>
    </r>
    <r>
      <rPr>
        <sz val="10"/>
        <rFont val="Arial"/>
        <family val="2"/>
      </rPr>
      <t>]</t>
    </r>
  </si>
  <si>
    <t>Extraordinary gain/loss</t>
  </si>
  <si>
    <t>Computer equipment</t>
  </si>
  <si>
    <t>This amount is the sum of all capital asset accounts less the sum of all the related accumulated depreciation accounts. Use the account balances in Columns AR and AS from the Conversion worksheet.</t>
  </si>
  <si>
    <t>In most cases, this will be the sum of the capital leases, installment purchase and guaranteed energy contracts for the schools. Pull the total of these debt accounts from the sum of the liability accounts in column AS. (Only include the school's debt, of which the School holds title.)</t>
  </si>
  <si>
    <t>Other postemployment benefits</t>
  </si>
  <si>
    <t>Q</t>
  </si>
  <si>
    <r>
      <t xml:space="preserve">How should the 'Not Capitlized' expenditures from Section A.1  be categorized?  Expenditures from Category 1 projects and Category 3 projects that are </t>
    </r>
    <r>
      <rPr>
        <b/>
        <u/>
        <sz val="10"/>
        <rFont val="Arial"/>
        <family val="2"/>
      </rPr>
      <t>not capitalized</t>
    </r>
    <r>
      <rPr>
        <b/>
        <sz val="10"/>
        <rFont val="Arial"/>
        <family val="2"/>
      </rPr>
      <t xml:space="preserve"> will be charged to Operational Support Services (6500) or debt service.  Category 2 project expenditures that can be identified with a specific functional program will be charged to that function/program or to debt service.  Any expenditures for debt service, including guaranteed savings contracts or capital leases payable, should be reclassified to either debt service - principle or debt service - interest,</t>
    </r>
    <r>
      <rPr>
        <b/>
        <sz val="10"/>
        <color indexed="10"/>
        <rFont val="Arial"/>
        <family val="2"/>
      </rPr>
      <t xml:space="preserve"> </t>
    </r>
    <r>
      <rPr>
        <b/>
        <u/>
        <sz val="10"/>
        <color indexed="10"/>
        <rFont val="Arial"/>
        <family val="2"/>
      </rPr>
      <t>if not already reported as debt service in Section A.1 above</t>
    </r>
    <r>
      <rPr>
        <b/>
        <sz val="10"/>
        <color indexed="10"/>
        <rFont val="Arial"/>
        <family val="2"/>
      </rPr>
      <t>.</t>
    </r>
    <r>
      <rPr>
        <b/>
        <sz val="10"/>
        <rFont val="Arial"/>
        <family val="2"/>
      </rPr>
      <t xml:space="preserve">  Those that cannot be identified with a specific functional program are considered replacement or maintenance of assets and should be charged to Operational Support Services (6500).    </t>
    </r>
  </si>
  <si>
    <t>Category 1 projects (old 9100, real property)</t>
  </si>
  <si>
    <t>Category 2 projects (old 9200, furnishings and equipment)</t>
  </si>
  <si>
    <t>Category 3 projects (old 9300, vehicles)</t>
  </si>
  <si>
    <t>Eliminate the "doubling up effect" that may occur with inter-function activities when expenditures have been recorded twice.</t>
  </si>
  <si>
    <t>Due from fiduciary funds</t>
  </si>
  <si>
    <t>Due to fiduciary funds</t>
  </si>
  <si>
    <r>
      <t xml:space="preserve">Compute and record asset impairment loss or gain per GASB Statement 42 for physical damage:   </t>
    </r>
    <r>
      <rPr>
        <b/>
        <sz val="10"/>
        <color indexed="10"/>
        <rFont val="Arial"/>
        <family val="2"/>
      </rPr>
      <t>(Asset must have been restored or be planned for restoration otherwise asset is written off.)</t>
    </r>
  </si>
  <si>
    <t>Debt service under the modified accrual basis of accounting is treated as an expenditure. For the full accrual basis of accounting used on the government-wide statements, these debt service expenditures must be adjusted to report the reduction in the principal balance for the permanent liability accounts. Debt service that was not considered material in the fund statements and recorded in programs/functions rather than as debt service is assumed to be immaterial for the government-wide statements and may be reported in those programs/functions.  However, the principal portion of the payment must be reclassified as a reduction in debt outstanding and the expenditures from the program/function or debt service reduced. Also, the accrued interest outstanding at the end of the year must be recorded.  Adjustments to record accrued interest will adjust interest expense from the modified to full accrual basis.  The accrued interest for each debt issue must be broken down by the program/function or debt service expense against which the interest expense is recorded so the appropriate expense is adjusted.</t>
  </si>
  <si>
    <t xml:space="preserve">What was the principal - interest activity for debt over the year? (Not necessary for debt paid on a monthly basis) </t>
  </si>
  <si>
    <t>Debt service - principal reclassified from Entry C.2</t>
  </si>
  <si>
    <r>
      <t xml:space="preserve">Debt service - principal reclassified from Entry E.1 </t>
    </r>
    <r>
      <rPr>
        <sz val="8"/>
        <color indexed="10"/>
        <rFont val="Arial"/>
        <family val="2"/>
      </rPr>
      <t>(Section A above)</t>
    </r>
  </si>
  <si>
    <t>This amount should agree to debt service - principal payments on the fund statements, plus any amounts, reclassified by entries C.2 and E.1.  After posting this entry, the balance of the debt service - principal line should be zero.</t>
  </si>
  <si>
    <r>
      <t xml:space="preserve">Please note that the full amount of the installment purchase proceeds for replacement buses under the new SunTrust Equipment Finance and Leasing Corporation agreement should be recorded in the year of issuance since the debt is in the name of the LEA. The worksheet has been designed assuming that the full amount of the debt proceeds has been recorded as an other financing source. </t>
    </r>
    <r>
      <rPr>
        <b/>
        <sz val="10"/>
        <rFont val="Arial"/>
        <family val="2"/>
      </rPr>
      <t>If this has not been done, please adjust the capital outlay fund to show an expenditure for the bus and other financing source for the full amount of the debt.</t>
    </r>
    <r>
      <rPr>
        <sz val="10"/>
        <rFont val="Arial"/>
        <family val="2"/>
      </rPr>
      <t xml:space="preserve"> </t>
    </r>
    <r>
      <rPr>
        <i/>
        <sz val="10"/>
        <rFont val="Arial"/>
        <family val="2"/>
      </rPr>
      <t>Carolina County BOE illustrated financial statements demonstrate this transaction.</t>
    </r>
  </si>
  <si>
    <t>Alternative programs &amp; services sup &amp; dev. ser. (6300)</t>
  </si>
  <si>
    <t>What is the accumulated depreciation at the beginning of the year for the asset sold in a. above?</t>
  </si>
  <si>
    <t>c.</t>
  </si>
  <si>
    <r>
      <t xml:space="preserve">What was the balance at the end of the </t>
    </r>
    <r>
      <rPr>
        <u/>
        <sz val="10"/>
        <rFont val="Arial"/>
        <family val="2"/>
      </rPr>
      <t>prior year</t>
    </r>
    <r>
      <rPr>
        <sz val="10"/>
        <rFont val="Arial"/>
        <family val="2"/>
      </rPr>
      <t xml:space="preserve"> for claims and judgments?</t>
    </r>
  </si>
  <si>
    <r>
      <t>Of any assets donated in step a. above, what is the net book value (</t>
    </r>
    <r>
      <rPr>
        <i/>
        <sz val="10"/>
        <rFont val="Arial"/>
        <family val="2"/>
      </rPr>
      <t>cost less total accum. deprec. for all asset classes</t>
    </r>
    <r>
      <rPr>
        <sz val="10"/>
        <rFont val="Arial"/>
        <family val="2"/>
      </rPr>
      <t xml:space="preserve">) of any assets </t>
    </r>
    <r>
      <rPr>
        <b/>
        <sz val="10"/>
        <rFont val="Arial"/>
        <family val="2"/>
      </rPr>
      <t>donated to</t>
    </r>
    <r>
      <rPr>
        <sz val="10"/>
        <rFont val="Arial"/>
        <family val="2"/>
      </rPr>
      <t xml:space="preserve"> the Enterprise Funds.</t>
    </r>
  </si>
  <si>
    <t>What is the depreciation expense for the current year up to the
 date of disposal for the assets in step a. above?</t>
  </si>
  <si>
    <t>This amount will be classified as a "transfer out" for the governmental activities column. It should also be included as a reconciling item to the fund statements.</t>
  </si>
  <si>
    <t>OFU - Transfer Out</t>
  </si>
  <si>
    <r>
      <t xml:space="preserve">Miscellaneous general revenue </t>
    </r>
    <r>
      <rPr>
        <i/>
        <sz val="10"/>
        <color indexed="10"/>
        <rFont val="Arial"/>
        <family val="2"/>
      </rPr>
      <t>[gain (loss) on sale]</t>
    </r>
    <r>
      <rPr>
        <sz val="12"/>
        <rFont val="Wingdings 2"/>
        <family val="1"/>
        <charset val="2"/>
      </rPr>
      <t xml:space="preserve"> k</t>
    </r>
  </si>
  <si>
    <t xml:space="preserve">Miscellaneous revenue  </t>
  </si>
  <si>
    <r>
      <t xml:space="preserve">Special Item - gain (loss) on sale of asset </t>
    </r>
    <r>
      <rPr>
        <sz val="12"/>
        <rFont val="Wingdings 2"/>
        <family val="1"/>
        <charset val="2"/>
      </rPr>
      <t>l</t>
    </r>
  </si>
  <si>
    <t>Non-major Governmental Funds</t>
  </si>
  <si>
    <t xml:space="preserve">Total </t>
  </si>
  <si>
    <t>Dr</t>
  </si>
  <si>
    <t>Cr</t>
  </si>
  <si>
    <t>Ref</t>
  </si>
  <si>
    <t>Conversion Entries</t>
  </si>
  <si>
    <t>Total</t>
  </si>
  <si>
    <t>Statement of</t>
  </si>
  <si>
    <t>Activities</t>
  </si>
  <si>
    <t>Investment Earnings</t>
  </si>
  <si>
    <t xml:space="preserve">What is the original cost at the beginning of the year for assets traded, retired, scrapped or donated during current year? </t>
  </si>
  <si>
    <t>What is the accumulated depreciation at the beginning of the year for the assets disposed of in a. above?</t>
  </si>
  <si>
    <t xml:space="preserve">Special item </t>
  </si>
  <si>
    <r>
      <t xml:space="preserve">Extraordinary item </t>
    </r>
    <r>
      <rPr>
        <sz val="8"/>
        <color indexed="10"/>
        <rFont val="Arial"/>
        <family val="2"/>
      </rPr>
      <t xml:space="preserve"> </t>
    </r>
  </si>
  <si>
    <t xml:space="preserve"> Payments</t>
  </si>
  <si>
    <t>New claims</t>
  </si>
  <si>
    <t>The work section of this worksheet following section D compiles the data for the final entries in section D. The work section is not defined in the initial print range but provides the components of the final entry. Print ranges can be modified if necessary.</t>
  </si>
  <si>
    <t>This will come from your internal records. (Only include unexpended proceeds reported in the financial statements of the school.)</t>
  </si>
  <si>
    <r>
      <t xml:space="preserve">From the Capital Outlay Fund, identify the following amounts for </t>
    </r>
    <r>
      <rPr>
        <u/>
        <sz val="10"/>
        <rFont val="Arial"/>
        <family val="2"/>
      </rPr>
      <t>grants or county funds</t>
    </r>
    <r>
      <rPr>
        <sz val="10"/>
        <rFont val="Arial"/>
        <family val="2"/>
      </rPr>
      <t xml:space="preserve"> that are </t>
    </r>
  </si>
  <si>
    <r>
      <t xml:space="preserve">  restricted to capital projects. </t>
    </r>
    <r>
      <rPr>
        <sz val="9"/>
        <color indexed="10"/>
        <rFont val="Arial"/>
        <family val="2"/>
      </rPr>
      <t>This data should be available on the fund balance sheet.</t>
    </r>
  </si>
  <si>
    <r>
      <t xml:space="preserve">The first worksheet is the "summary" sheet titled </t>
    </r>
    <r>
      <rPr>
        <b/>
        <sz val="10"/>
        <rFont val="Arial"/>
        <family val="2"/>
      </rPr>
      <t>"Conversion Worksheet."</t>
    </r>
    <r>
      <rPr>
        <sz val="10"/>
        <rFont val="Arial"/>
        <family val="2"/>
      </rPr>
      <t xml:space="preserve"> This is a trial balance to which all the other sheets will post. It is also the sheet where you will begin your data entry. The far most left columns are the trial balance columns. Please enter your adjusted pre-closing trial balance numbers here. We have assumed that you have prepared your fund statements at this point and that the trial balance is adjusted to reflect any changes that are needed to be made at the fund level. </t>
    </r>
  </si>
  <si>
    <r>
      <t xml:space="preserve">Capital Outlay &amp; Donations: </t>
    </r>
    <r>
      <rPr>
        <sz val="10"/>
        <rFont val="Arial"/>
        <family val="2"/>
      </rPr>
      <t>converts capital outlay expenditures for items above the capitalization threshold to the proper asset class and reduces respective program/function expenditures. Records donations of capital assets and recognizes revenue.</t>
    </r>
  </si>
  <si>
    <r>
      <t xml:space="preserve">What is the fair value of the </t>
    </r>
    <r>
      <rPr>
        <u/>
        <sz val="10"/>
        <rFont val="Arial"/>
        <family val="2"/>
      </rPr>
      <t>assets</t>
    </r>
    <r>
      <rPr>
        <sz val="10"/>
        <rFont val="Arial"/>
        <family val="2"/>
      </rPr>
      <t xml:space="preserve"> donated to the LEA?  Enter the amounts in the appropriate asset class excluding replacement school buses financed via state appropriations. </t>
    </r>
  </si>
  <si>
    <r>
      <t xml:space="preserve">Entry for conversion worksheet to record reductions in outstanding debt and interest expense and liability. </t>
    </r>
    <r>
      <rPr>
        <b/>
        <sz val="8"/>
        <rFont val="Arial"/>
        <family val="2"/>
      </rPr>
      <t>[Entry E.1, E.2, E.3 &amp; E.4]</t>
    </r>
  </si>
  <si>
    <t>What was the amount of debt service paid by each function/program?</t>
  </si>
  <si>
    <t>Long-term debt accounts:</t>
  </si>
  <si>
    <t>Transfers that occur during the year between governmental funds and between governmental and enterprise funds must be eliminated or reclassified. Those transfers from and to governmental funds must be eliminated so that only those transfers to/from enterprise funds remain. Transfers to/from discretely presented component units should now be reported as revenue and expenditures in the appropriate governmental fund and will not need reclassification (this would be unusual for  boards of education). After these adjustments, the remaining transfers should be those to business-type activities or fiduciary funds.</t>
  </si>
  <si>
    <t>The balances remaining after eliminating the activity between governmental funds should be the activity between governmental and business-type activities. These amounts will now be reclassified as "internal balances."</t>
  </si>
  <si>
    <t>Special pop. support &amp; develop. services (6200)</t>
  </si>
  <si>
    <t>Alternative prog. &amp; services sup &amp; dev. ser. (6300)</t>
  </si>
  <si>
    <t>Policy, leadership and PR services (6900)</t>
  </si>
  <si>
    <t>Restricted for Regular instructional services (5100)</t>
  </si>
  <si>
    <t>Restricted for Special populations services (5200)</t>
  </si>
  <si>
    <t>Restricted for Alternative programs and services (5300)</t>
  </si>
  <si>
    <t>Restricted for School leadership services (5400)</t>
  </si>
  <si>
    <t>Restricted for Co-curricular services (5500)</t>
  </si>
  <si>
    <t>Restricted for School-based support services (5800)</t>
  </si>
  <si>
    <t>Restricted for Support and development services (6100)</t>
  </si>
  <si>
    <t>Restricted for Special population support and development services (6200)</t>
  </si>
  <si>
    <t>Restricted for Alternative programs &amp; services support &amp; develop. ser. (6300)</t>
  </si>
  <si>
    <t>Restricted for Operational support services (6500)</t>
  </si>
  <si>
    <t>Restricted for Financial &amp; HR services (6600)</t>
  </si>
  <si>
    <t>Restricted for Accountablilty services (6700)</t>
  </si>
  <si>
    <t>Restricted for System-wide pupil support services (6800)</t>
  </si>
  <si>
    <t>Restricted for Policy, leadership and public relations services (6900)</t>
  </si>
  <si>
    <t>Restricted for Ancillary services (7000)</t>
  </si>
  <si>
    <t>Other revenue source #1</t>
  </si>
  <si>
    <t>Other revenue source #2</t>
  </si>
  <si>
    <t>Regular Instructional Services (5100)</t>
  </si>
  <si>
    <t>Special Populations Services (5200)</t>
  </si>
  <si>
    <t>School-Based Support Services (5800)</t>
  </si>
  <si>
    <t>Support and Development Services (6100)</t>
  </si>
  <si>
    <t>Special Population Support and Development Services (6200)</t>
  </si>
  <si>
    <t>Alternative Progrms and Services Support and Development Services (6300)</t>
  </si>
  <si>
    <t>Technology Support Services (6400)</t>
  </si>
  <si>
    <t>Operational Support Services (6500)</t>
  </si>
  <si>
    <t>Financial and Human Resource Services (6600)</t>
  </si>
  <si>
    <t>Policy, Leadership and Public Relations Services (6900)</t>
  </si>
  <si>
    <t>Accountability Services (6700)</t>
  </si>
  <si>
    <t>System-Wide Pupil Relations Services (6800)</t>
  </si>
  <si>
    <t>Special Population Support and Development Services  (6200)</t>
  </si>
  <si>
    <t>Alternative Programs and Services Support and Development Services (6300)</t>
  </si>
  <si>
    <t>System-Wide Pupil Support Services (6800)</t>
  </si>
  <si>
    <t>Worksheet A</t>
  </si>
  <si>
    <t xml:space="preserve">Eliminate interfund balances for receivables and payables between governmental funds. </t>
  </si>
  <si>
    <t>Please be aware that in addition to posting to the conversion worksheets, capital assets and depreciation must be added to the unit's permanent accounts for recording capital assets in order to have proper beginning balances for next year's statements.</t>
  </si>
  <si>
    <t>Revenue Reclassification by Function</t>
  </si>
  <si>
    <t>C.</t>
  </si>
  <si>
    <t xml:space="preserve">3. </t>
  </si>
  <si>
    <t>D.</t>
  </si>
  <si>
    <t>Land</t>
  </si>
  <si>
    <t>Buildings</t>
  </si>
  <si>
    <t>Trade-in of capital assets.</t>
  </si>
  <si>
    <t>N/A</t>
  </si>
  <si>
    <t>E.</t>
  </si>
  <si>
    <t>Construction in progress</t>
  </si>
  <si>
    <t>The journal entry for the conversion worksheet to reverse these expenditures and reduce the appropriate liability accounts will be automatically created.</t>
  </si>
  <si>
    <r>
      <t xml:space="preserve">What was accrued interest at the </t>
    </r>
    <r>
      <rPr>
        <u/>
        <sz val="10"/>
        <rFont val="Arial"/>
        <family val="2"/>
      </rPr>
      <t>beginning of the year</t>
    </r>
    <r>
      <rPr>
        <sz val="10"/>
        <rFont val="Arial"/>
        <family val="2"/>
      </rPr>
      <t xml:space="preserve"> under full accrual?</t>
    </r>
  </si>
  <si>
    <r>
      <t xml:space="preserve">What was the accrued interest at the </t>
    </r>
    <r>
      <rPr>
        <u/>
        <sz val="10"/>
        <rFont val="Arial"/>
        <family val="2"/>
      </rPr>
      <t>end of the year</t>
    </r>
    <r>
      <rPr>
        <sz val="10"/>
        <rFont val="Arial"/>
        <family val="2"/>
      </rPr>
      <t xml:space="preserve"> under full accrual?</t>
    </r>
  </si>
  <si>
    <t>XXXXXXXXX</t>
  </si>
  <si>
    <t>Fund Total</t>
  </si>
  <si>
    <r>
      <t xml:space="preserve">   Total expenditures to be capitalized - </t>
    </r>
    <r>
      <rPr>
        <sz val="8"/>
        <color indexed="10"/>
        <rFont val="Arial"/>
        <family val="2"/>
      </rPr>
      <t>All Govt Funds</t>
    </r>
  </si>
  <si>
    <t xml:space="preserve">Treatment of certain asset accounts between the modified and full accrual basis will be different.  Prepaid expenses and inventory may be accounted for under either the consumption or the purchases method under the modified accrual basis of accounting, but only the consumption method is allowed under full accrual. If the consumption method was used in the fund statements, no entry is required, but if the purchases method was used an adjustment must be made. If inventories or prepaid expenses are not recorded at the fund level because they are not material, they are assumed not to be material to the government-wide statements and no further actions are required.  Also, accrued investment earnings is not recorded under the modified accrual basis of accounting but will be under the full accrual basis.  </t>
  </si>
  <si>
    <t>The user should download a blank workbook appropriate for his/her unit of government and save it permanently on a local computer. It would be best to then make another copy for the current year's data. If for whatever reason the current file becomes corrupted, the user should reload the blank copy from their local computer (or download another from the web) and begin again. For maximum protection, users should save their work frequently as they enter data.</t>
  </si>
  <si>
    <r>
      <t xml:space="preserve">Most of the workbook is protected to prevent accidental changes in formulas and the mapping of cells.  The </t>
    </r>
    <r>
      <rPr>
        <b/>
        <sz val="10"/>
        <rFont val="Arial"/>
        <family val="2"/>
      </rPr>
      <t xml:space="preserve">password </t>
    </r>
    <r>
      <rPr>
        <sz val="10"/>
        <rFont val="Arial"/>
        <family val="2"/>
      </rPr>
      <t>to unlock the workbook is</t>
    </r>
    <r>
      <rPr>
        <b/>
        <sz val="10"/>
        <rFont val="Arial"/>
        <family val="2"/>
      </rPr>
      <t xml:space="preserve"> gasb34</t>
    </r>
    <r>
      <rPr>
        <sz val="10"/>
        <rFont val="Arial"/>
        <family val="2"/>
      </rPr>
      <t xml:space="preserve"> (must be entered in lower case, no spaces).  Only users with advanced Excel skills should attempt to change the workbook by releasing the protection.</t>
    </r>
  </si>
  <si>
    <t>If proceeds received then treat transaction as a sale and enter in section A. above</t>
  </si>
  <si>
    <t>Donations of capital assets received by the unit:</t>
  </si>
  <si>
    <t>Capital assets received by the unit as donations:</t>
  </si>
  <si>
    <t>d.</t>
  </si>
  <si>
    <t>Building</t>
  </si>
  <si>
    <t>Miscellaneous Revenue</t>
  </si>
  <si>
    <t>Other financing source - sale of assets</t>
  </si>
  <si>
    <t>Net book value of capital assets sold</t>
  </si>
  <si>
    <t>Gain / loss qualifying as special item</t>
  </si>
  <si>
    <t>Gain / loss on sale of assets</t>
  </si>
  <si>
    <t>Other</t>
  </si>
  <si>
    <t>Trade-in of Capital assets:</t>
  </si>
  <si>
    <t xml:space="preserve">What is the original cost at the beginning of the year for assets sold during current year? </t>
  </si>
  <si>
    <t>Any debt service payments, guaranteed energy savings contract, or capital leases that have been reported in other purpose codes on the governmental fund statements, including the Local Current Expense Fund,  should be reclassified to debt service for the government-wide statements.  Any amounts reported in 9000 series purpose codes in the fund statements should have been reclassified to debt service by Worksheet C, Entry 2.</t>
  </si>
  <si>
    <t>What was the amount of debt service - principal paid by category of debt for all governmental funds?</t>
  </si>
  <si>
    <t>Debt service - principal</t>
  </si>
  <si>
    <r>
      <t xml:space="preserve">Answer either a. or b. </t>
    </r>
    <r>
      <rPr>
        <sz val="10"/>
        <rFont val="Arial"/>
        <family val="2"/>
      </rPr>
      <t>below,</t>
    </r>
    <r>
      <rPr>
        <sz val="10"/>
        <color indexed="10"/>
        <rFont val="Arial"/>
        <family val="2"/>
      </rPr>
      <t xml:space="preserve"> </t>
    </r>
    <r>
      <rPr>
        <b/>
        <sz val="10"/>
        <color indexed="10"/>
        <rFont val="Arial"/>
        <family val="2"/>
      </rPr>
      <t>but not both</t>
    </r>
    <r>
      <rPr>
        <sz val="10"/>
        <rFont val="Arial"/>
        <family val="2"/>
      </rPr>
      <t xml:space="preserve"> - (either the replacement cost method or the deflation factor method is used to calculate loss.)</t>
    </r>
  </si>
  <si>
    <t>What is the replacement cost for a new asset of the type damaged in 1a. Above?</t>
  </si>
  <si>
    <t>Restoration cost ratio</t>
  </si>
  <si>
    <t>based on replacement cost</t>
  </si>
  <si>
    <t xml:space="preserve">either or </t>
  </si>
  <si>
    <t>What is the appropriate deflation factor to use if replacement cost is not known?</t>
  </si>
  <si>
    <t>Deflated restoration cost</t>
  </si>
  <si>
    <t>based on deflation factor</t>
  </si>
  <si>
    <t>Impairment Loss Calculation</t>
  </si>
  <si>
    <t>3a. Replacement cost method</t>
  </si>
  <si>
    <t xml:space="preserve"> 3.b  Deflator method</t>
  </si>
  <si>
    <t>Indicate to which asset class the loss in 3a or 3b should be credited. Should be same class as that indicated in 1 above.</t>
  </si>
  <si>
    <t>Indicate insurance recovery amount if received in this fiscal year?</t>
  </si>
  <si>
    <t>Other financing source - insurance recovery</t>
  </si>
  <si>
    <t>Net Gain / loss on insurance recovery</t>
  </si>
  <si>
    <t>Restricted for Individual Schools</t>
  </si>
  <si>
    <t>Restricted for Non-programmed charges (8000)</t>
  </si>
  <si>
    <t>Total restricted assets for grants</t>
  </si>
  <si>
    <t>Contributions and donations</t>
  </si>
  <si>
    <r>
      <t xml:space="preserve">Special item </t>
    </r>
    <r>
      <rPr>
        <sz val="8"/>
        <color indexed="10"/>
        <rFont val="Arial"/>
        <family val="2"/>
      </rPr>
      <t>- government-wide statements</t>
    </r>
  </si>
  <si>
    <r>
      <t xml:space="preserve">Extraordinary item </t>
    </r>
    <r>
      <rPr>
        <sz val="8"/>
        <color indexed="10"/>
        <rFont val="Arial"/>
        <family val="2"/>
      </rPr>
      <t xml:space="preserve"> - government-wide statements</t>
    </r>
  </si>
  <si>
    <t>Charges for services</t>
  </si>
  <si>
    <t>Operating grants and contributions</t>
  </si>
  <si>
    <t>E.2</t>
  </si>
  <si>
    <r>
      <t xml:space="preserve">Miscellaneous revenue  </t>
    </r>
    <r>
      <rPr>
        <i/>
        <sz val="10"/>
        <rFont val="Arial"/>
        <family val="2"/>
      </rPr>
      <t>(fund statements)</t>
    </r>
  </si>
  <si>
    <t>n</t>
  </si>
  <si>
    <t>o</t>
  </si>
  <si>
    <t>* Interest is typically a general revenue but if earned on investments legally restricted for a specific program it will follow the initial revenue source as in this capital grant.</t>
  </si>
  <si>
    <t xml:space="preserve">Work Section to compile numbers for entry in Section E - </t>
  </si>
  <si>
    <r>
      <t xml:space="preserve">Sale of assets:          </t>
    </r>
    <r>
      <rPr>
        <b/>
        <sz val="10"/>
        <color indexed="17"/>
        <rFont val="Arial"/>
        <family val="2"/>
      </rPr>
      <t/>
    </r>
  </si>
  <si>
    <t>F.</t>
  </si>
  <si>
    <t>G.</t>
  </si>
  <si>
    <t>Operating Accounts - Expenditures</t>
  </si>
  <si>
    <t>What are the accrued investment earnings at the beginning of the year?</t>
  </si>
  <si>
    <t>What are the accrued investment earnings at the end of the year?</t>
  </si>
  <si>
    <t>I</t>
  </si>
  <si>
    <t>V</t>
  </si>
  <si>
    <t>General</t>
  </si>
  <si>
    <t>Other Fund #2</t>
  </si>
  <si>
    <t>Other Fund #3</t>
  </si>
  <si>
    <r>
      <t xml:space="preserve">What is the amount of "Due to other funds" due to the enterprise funds from the governmental funds </t>
    </r>
    <r>
      <rPr>
        <sz val="9"/>
        <rFont val="Arial"/>
        <family val="2"/>
      </rPr>
      <t>(payable)</t>
    </r>
    <r>
      <rPr>
        <sz val="10"/>
        <rFont val="Arial"/>
        <family val="2"/>
      </rPr>
      <t xml:space="preserve"> ?</t>
    </r>
  </si>
  <si>
    <t>Fund balance- beginning</t>
  </si>
  <si>
    <t>Guaranteed energy savings contract - current</t>
  </si>
  <si>
    <t>Indicate to which function(s) the net change in prepaid expenses applies. The sum of the amounts below must equal the amount in the net change field above .</t>
  </si>
  <si>
    <t>Indicate to which function(s) the net change in inventory reserve applies. The sum of the amounts below must equal the amount in the net change field above.</t>
  </si>
  <si>
    <r>
      <t>What is debt related to capital assets</t>
    </r>
    <r>
      <rPr>
        <sz val="10"/>
        <rFont val="Arial"/>
        <family val="2"/>
      </rPr>
      <t>?</t>
    </r>
  </si>
  <si>
    <t>What is the amount of unexpended debt proceeds on hand?</t>
  </si>
  <si>
    <t>Accounts</t>
  </si>
  <si>
    <t>Restricted for</t>
  </si>
  <si>
    <t>Receivable</t>
  </si>
  <si>
    <t>Payable</t>
  </si>
  <si>
    <t>Capital Projects</t>
  </si>
  <si>
    <t xml:space="preserve">Restricted </t>
  </si>
  <si>
    <t xml:space="preserve">Depreciation expense must be calculated and reported in relation to all of the unit's depreciable capital assets. For schools, many capital assets can not be specifically identified with a function or program. Depreciation of these assets will be charged to a single line that indicates it is unallocated. See Memos #973 and #934 for a discussion of depreciation. For those capital assets that can be specifically identified with a program, such as school buses, depreciation would be charged to that by function/program on the Statement of Activities. Units may have a fixed asset software system that can easily calculate annual depreciation expense. If not, units will need to calculate the expense manually. This function has previously been done for all the enterprise funds. It will now be expanded to governmental funds.  </t>
  </si>
  <si>
    <t>As a verification of the number above, the following amounts are pulled from the total governmental funds column and previous entries.</t>
  </si>
  <si>
    <t>Total entries to debt service - principal</t>
  </si>
  <si>
    <t>The workbook is color-coded.  Blue cells are calculated numbers and are protected and locked.  Yellow cells are those that need data entered by the user.  However, some yellow cells may not be applicable to your unit and can be left blank. The tan sections on the summary worksheet are those accounts that have multiple rows included for one account to be summed at the end of the conversion process. The purple rows are proof totals.</t>
  </si>
  <si>
    <t>This workbook is mapped using cell references.  Any addition of columns and/or rows could alter the formulas and corrupt the data.  There are columns and rows placed in the program in areas where we felt that you may need to add additional text and data. Using these columns and rows will help prevent the altering of formulas and cell references. In most cases they are yellow and named "other" funds or "other" accounts, etc. They should be obvious. For accounts, if you type the name of your unique account in the trial balance, it will be used consistently throughout the various worksheets.</t>
  </si>
  <si>
    <t>If unit has combined figures for land and building cost that can not be separated, use the combined amount under the Building column.</t>
  </si>
  <si>
    <t>Notes 1 &amp; 2  ---  Data is entered</t>
  </si>
  <si>
    <t>Special item - expenditure</t>
  </si>
  <si>
    <t>Total of new debt</t>
  </si>
  <si>
    <t>Claims and judgments</t>
  </si>
  <si>
    <t>Debt Service -principal retirement</t>
  </si>
  <si>
    <t>Adjustments to Other Asset Accounts</t>
  </si>
  <si>
    <t xml:space="preserve">Beginning </t>
  </si>
  <si>
    <t>Balance</t>
  </si>
  <si>
    <t>Current year</t>
  </si>
  <si>
    <t>Earned</t>
  </si>
  <si>
    <t>Used</t>
  </si>
  <si>
    <t xml:space="preserve">Ending </t>
  </si>
  <si>
    <t>Reclasses external</t>
  </si>
  <si>
    <t>receivables &amp; payables</t>
  </si>
  <si>
    <t>of interfunction activity</t>
  </si>
  <si>
    <t>Eliminates doubling up effect</t>
  </si>
  <si>
    <t>Reclass program revenue</t>
  </si>
  <si>
    <t>not adjusted previously</t>
  </si>
  <si>
    <t>Classify for liquidity</t>
  </si>
  <si>
    <t>Pre-closing trial balance entered at the function level for each governmental fund (for the fund balance number - use ending fund balance from prior year).</t>
  </si>
  <si>
    <r>
      <t xml:space="preserve">Other Liabilities &amp; Expenses: </t>
    </r>
    <r>
      <rPr>
        <sz val="10"/>
        <rFont val="Arial"/>
        <family val="2"/>
      </rPr>
      <t>addresses compensated absences, claims &amp; judgments, net pension obligation, and other long-term liabilities.</t>
    </r>
  </si>
  <si>
    <t>Equipment and Furniture</t>
  </si>
  <si>
    <t>Library Books</t>
  </si>
  <si>
    <r>
      <t xml:space="preserve">Identify the </t>
    </r>
    <r>
      <rPr>
        <u/>
        <sz val="10"/>
        <rFont val="Arial"/>
        <family val="2"/>
      </rPr>
      <t>beginning</t>
    </r>
    <r>
      <rPr>
        <sz val="10"/>
        <rFont val="Arial"/>
        <family val="2"/>
      </rPr>
      <t xml:space="preserve"> capital asset amounts with the associated accumulated depreciation in section A. below. If depreciation is not known, it must be calculated based on the life of the asset(s).</t>
    </r>
  </si>
  <si>
    <r>
      <t xml:space="preserve">Identify the </t>
    </r>
    <r>
      <rPr>
        <u/>
        <sz val="10"/>
        <rFont val="Arial"/>
        <family val="2"/>
      </rPr>
      <t>beginning</t>
    </r>
    <r>
      <rPr>
        <sz val="10"/>
        <rFont val="Arial"/>
        <family val="2"/>
      </rPr>
      <t xml:space="preserve"> long-term debt amounts in section B. below.</t>
    </r>
  </si>
  <si>
    <t>What is the amount in "Due from other funds" that is due from fiduciary funds ?</t>
  </si>
  <si>
    <t>What is the amount in "Due to other funds" that is due to fiduciary funds?</t>
  </si>
  <si>
    <t>Interest Expense</t>
  </si>
  <si>
    <t>H.</t>
  </si>
  <si>
    <t>J.</t>
  </si>
  <si>
    <t>Special and extraordinary items</t>
  </si>
  <si>
    <t>Extraordinary item - expenditure</t>
  </si>
  <si>
    <t>Extraordinary item - revenue</t>
  </si>
  <si>
    <r>
      <t xml:space="preserve">Extraordinary item  </t>
    </r>
    <r>
      <rPr>
        <i/>
        <sz val="10"/>
        <rFont val="Arial"/>
        <family val="2"/>
      </rPr>
      <t>(revenue)</t>
    </r>
  </si>
  <si>
    <t>What is the depreciation expense for the current year up to the date of sale for the asset above?</t>
  </si>
  <si>
    <t>Advances from other funds</t>
  </si>
  <si>
    <t>Advances to other funds</t>
  </si>
  <si>
    <t>Amount</t>
  </si>
  <si>
    <t>Debit</t>
  </si>
  <si>
    <t>Credit</t>
  </si>
  <si>
    <t>Total revenue to be reclassified</t>
  </si>
  <si>
    <t>*</t>
  </si>
  <si>
    <t>1.</t>
  </si>
  <si>
    <t>2.</t>
  </si>
  <si>
    <t>3.</t>
  </si>
  <si>
    <t>Working Column</t>
  </si>
  <si>
    <t>What was the amount to be capitalized by asset class?</t>
  </si>
  <si>
    <t>The data provided in sections A. and B. will provide the information to create the proper entry for the conversion worksheet.</t>
  </si>
  <si>
    <t>Unallocated depreciation</t>
  </si>
  <si>
    <t>This workbook has been provided as a tool to facilitate your unit's conversion to the full accrual statements required by GASB 34. In preparation of this workbook, the staff of the LGC has assumed that the user has a good working knowledge of Excel.  The LGC's staff will provide accounting support for use of this workbook; however, we cannot give detailed instruction in the use of Excel.</t>
  </si>
  <si>
    <t>What is the accumulated depreciation at the beginning of the year for the assets sold in a. above?</t>
  </si>
  <si>
    <t>Indicate revenue account to which items were recorded?</t>
  </si>
  <si>
    <t>Net book value of capital assets traded</t>
  </si>
  <si>
    <t>Unrestricted County appropriations - capital</t>
  </si>
  <si>
    <t>Accum. Depreciation - Equipment and Furniture</t>
  </si>
  <si>
    <t>Accum. Depreciation - Library Books</t>
  </si>
  <si>
    <t>Other financing source - Sale of assets</t>
  </si>
  <si>
    <t>Notes 1 &amp; 2  -  Data is entered</t>
  </si>
  <si>
    <t>Appears in one column on the gov't funds statement</t>
  </si>
  <si>
    <t xml:space="preserve">Note that any revenue items or other financing sources qualifying as "special" or "extraordinary" as defined by GASB 34 will have to be presented as such in the General Revenue section of the Statement of Activities. </t>
  </si>
  <si>
    <t>Grand total of major and nonmajor funds - computed field</t>
  </si>
  <si>
    <t>From the fund financial statements, determine the amount in the following categories that must be reclassified.  Also, include any items that were special or extraordinary items at the fund level that will be general revenues or functional revenue in the government-wide statements. If they will remain as a special or extraordinary item on the government-wide statements - no adjustment is necessary.</t>
  </si>
  <si>
    <t>Fund balance from the fund statements adjusted for any full accrual entries (accrued interest, etc.)</t>
  </si>
  <si>
    <t>Miscellaneous General Revenue</t>
  </si>
  <si>
    <r>
      <t xml:space="preserve">Debt Service: </t>
    </r>
    <r>
      <rPr>
        <sz val="10"/>
        <rFont val="Arial"/>
        <family val="2"/>
      </rPr>
      <t>converts debt service expenditures to the proper reductions in liability accounts.</t>
    </r>
  </si>
  <si>
    <r>
      <t xml:space="preserve">Debt Issues: </t>
    </r>
    <r>
      <rPr>
        <sz val="10"/>
        <rFont val="Arial"/>
        <family val="2"/>
      </rPr>
      <t>addresses all other debt transactions including new debt issues, refunding, and amortization.</t>
    </r>
  </si>
  <si>
    <r>
      <t xml:space="preserve">Other Asset Entries: </t>
    </r>
    <r>
      <rPr>
        <sz val="10"/>
        <rFont val="Arial"/>
        <family val="2"/>
      </rPr>
      <t>addresses the asset accounts, equity interest in joint venture, prepaid expenses, inventory, and advance funding of pensions.</t>
    </r>
  </si>
  <si>
    <t>There may be instances in the individual worksheets where negative debits or credits are generated in an entry and we did not create formulas to reclassify as a positive number. If this occurs do not be alarmed, it will be corrected in the final columns of the Conversion Worksheet.</t>
  </si>
  <si>
    <t>Printing:</t>
  </si>
  <si>
    <t xml:space="preserve">What is the original cost at the beginning of the year for assets traded in during current year? </t>
  </si>
  <si>
    <t>What is the accumulated depreciation at the beginning of the year for the assets traded in a. above?</t>
  </si>
  <si>
    <r>
      <t xml:space="preserve">Enter net book value of traded asset calculated above into the cell for the asset class for the newly acquired asset.  </t>
    </r>
    <r>
      <rPr>
        <sz val="10"/>
        <color indexed="10"/>
        <rFont val="Arial"/>
        <family val="2"/>
      </rPr>
      <t>(</t>
    </r>
    <r>
      <rPr>
        <i/>
        <sz val="10"/>
        <color indexed="10"/>
        <rFont val="Arial"/>
        <family val="2"/>
      </rPr>
      <t>typically it will be the same asset class as the old asset but it may be a different class.)</t>
    </r>
    <r>
      <rPr>
        <i/>
        <sz val="10"/>
        <rFont val="Arial"/>
        <family val="2"/>
      </rPr>
      <t xml:space="preserve"> </t>
    </r>
  </si>
  <si>
    <t>Special items are assumed to be gains and posted as such. If a loss results then the amount posted will be negative. Negative debits or credits will be properly handled in the main conversion worksheet.</t>
  </si>
  <si>
    <t>What was the amount of Reserve for Prepaid Expenses at the end of the current year?</t>
  </si>
  <si>
    <t>Change in reserve for prepaid expenses</t>
  </si>
  <si>
    <t>Change in reserve for inventories</t>
  </si>
  <si>
    <r>
      <t xml:space="preserve">What was the amount of Reserve for inventory </t>
    </r>
    <r>
      <rPr>
        <sz val="10"/>
        <rFont val="Arial"/>
        <family val="2"/>
      </rPr>
      <t>at the end of the current year?</t>
    </r>
  </si>
  <si>
    <t>Purchases method</t>
  </si>
  <si>
    <t>Change in Reserve for prepaid expense</t>
  </si>
  <si>
    <t xml:space="preserve">       ------</t>
  </si>
  <si>
    <r>
      <t xml:space="preserve">GASB 34 Conversion Worksheet for Boards of Education
</t>
    </r>
    <r>
      <rPr>
        <b/>
        <sz val="12"/>
        <rFont val="Arial"/>
        <family val="2"/>
      </rPr>
      <t>General Instructions for Use</t>
    </r>
  </si>
  <si>
    <t>Governmental funds have the option to record inventories and prepaid expenses using the purchases method; i.e. recognizing an expenditure at the time of purchase rather than based on consumption. GASB 34 requires that inventories and prepaid expenses be accounted for as assets regardless of their treatment at the fund level. Therefore balances remaining in inventories or prepaid expenses must be recorded as assets for the government-wide statements and the corresponding expenditures must be reduced.</t>
  </si>
  <si>
    <t>Journal entry for conversion worksheet to record additions and reductions in outstanding debt.   [Entry H.1]</t>
  </si>
  <si>
    <t>E.1</t>
  </si>
  <si>
    <t>Calculated   -        Do not enter data into both tables !</t>
  </si>
  <si>
    <t>Expenditures for prior years</t>
  </si>
  <si>
    <t>Expenditures for this year</t>
  </si>
  <si>
    <t>Internal balances</t>
  </si>
  <si>
    <t>Compensated absences</t>
  </si>
  <si>
    <t>OFU - Transfers out (8400)</t>
  </si>
  <si>
    <t>OFS - Transfers in (4920)</t>
  </si>
  <si>
    <t>Debt Service (8300)</t>
  </si>
  <si>
    <t>Capital Outlay (9000)</t>
  </si>
  <si>
    <t>OFS - Proceeds from lease purchases/installment purchases (4850)</t>
  </si>
  <si>
    <t>OFS - Sale of capital assets (4820)</t>
  </si>
  <si>
    <t>OFS - Proceeds from bond and note proceeds (4810)</t>
  </si>
  <si>
    <t>OFS - Proceeds from guaranteed energy savings contracts (4860)</t>
  </si>
  <si>
    <t>OFS - Proceeds from county installment purchases (4811)</t>
  </si>
  <si>
    <t>Lease purchases/Installment purchases (4850)</t>
  </si>
  <si>
    <t>Guaranteed energy savings contract (4860)</t>
  </si>
  <si>
    <t>County installment purchases (4811)</t>
  </si>
  <si>
    <t>Bonds and notes (4810)</t>
  </si>
  <si>
    <t>Guaranteed energy savings contracts (4860)</t>
  </si>
  <si>
    <t>Bonds and notes</t>
  </si>
  <si>
    <t>County installment purchases</t>
  </si>
  <si>
    <t>Bonds and notes - current</t>
  </si>
  <si>
    <t>County installment purchases - current</t>
  </si>
  <si>
    <t>8.</t>
  </si>
  <si>
    <t xml:space="preserve">What is the amount of bonds and notes payable that will be due and payable within one year? </t>
  </si>
  <si>
    <t xml:space="preserve">What is the amount of County installment purchases payable that will be due and payable within one year? </t>
  </si>
  <si>
    <t>Non-programmed charges (all 8000, except 8300 &amp; 8400)</t>
  </si>
  <si>
    <t>Consolidate transfers to arrive at net transfers to business-type activities.</t>
  </si>
  <si>
    <t xml:space="preserve">In order to present the net cost per function in the Statement of Activities, any "doubling up" of expenditures or revenues must be eliminated. This occurs when indirect costs are charged as an expenditure to the program/function providing the service and to the program/function benefiting from the service.  In this scenario, the expenditures are presented twice and the revenues are overstated for governmental activities. </t>
  </si>
  <si>
    <t>Restricted for Stablization by State Statute</t>
  </si>
  <si>
    <r>
      <t xml:space="preserve">Payable  </t>
    </r>
    <r>
      <rPr>
        <sz val="10"/>
        <color indexed="10"/>
        <rFont val="Arial"/>
        <family val="2"/>
      </rPr>
      <t>**</t>
    </r>
  </si>
  <si>
    <r>
      <t xml:space="preserve">Receivable </t>
    </r>
    <r>
      <rPr>
        <sz val="10"/>
        <color indexed="10"/>
        <rFont val="Arial"/>
        <family val="2"/>
      </rPr>
      <t>*</t>
    </r>
  </si>
  <si>
    <t>**</t>
  </si>
  <si>
    <t>Restricted for Stabilization by State Statute</t>
  </si>
  <si>
    <t>Restricted for Stablization by State Statute in the Local Current Expense Fund</t>
  </si>
  <si>
    <t>This workbook is designed to calculate the government-wide numbers for all governmental-type activities, including the classification of net position.  A separate workbook is available to calculate the government-wide numbers for all business-type activities.</t>
  </si>
  <si>
    <r>
      <t>When you have worked through all the other worksheets (Beg. CA &amp; LTD plus Tabs A to</t>
    </r>
    <r>
      <rPr>
        <sz val="11"/>
        <rFont val="Arial"/>
        <family val="2"/>
      </rPr>
      <t xml:space="preserve"> </t>
    </r>
    <r>
      <rPr>
        <sz val="11"/>
        <rFont val="Times New Roman"/>
        <family val="1"/>
      </rPr>
      <t>I</t>
    </r>
    <r>
      <rPr>
        <sz val="10"/>
        <rFont val="Arial"/>
        <family val="2"/>
      </rPr>
      <t xml:space="preserve">), the conversion worksheet will have your government-wide numbers for the governmental-type activities column of the Statement of Net Position and the Statement of Activities. You may change fund titles as you see fit but if you unprotect the sheet and add lines or columns, formulas may be effected. Please do not do so unless you have strong Excel skills. Some "other" asset and "other" liability accounts (in yellow) have been added to handle the case where you need another account. These titles can be changed on the trial balance and will then be used consistently throughout the workbook. </t>
    </r>
  </si>
  <si>
    <t>Net Position</t>
  </si>
  <si>
    <t>Change in Net Position</t>
  </si>
  <si>
    <t>Ending Net Position, reclassified</t>
  </si>
  <si>
    <t>Net investment in capital assets</t>
  </si>
  <si>
    <t>Deferred Inflows of Resources</t>
  </si>
  <si>
    <t>Unearned revenue</t>
  </si>
  <si>
    <t>Capital assets and long-term debt are reported in the government-wide Statement of Net Position. During the fiscal year, they are accounted for in the General Fixed Asset account and the General Long-term Debt account. The beginning of year's balances for these accounts must be recorded in the proper asset classes and debt accounts with an offsetting entry to fund balance. Current year activity for these accounts will be handled in subsequent entries. Depreciation expense should be calculated for the capital assets.  Typically, straight line depreciation is used although other more complicated methods are allowed. Depreciation expense is not calculated for land or construction in progress. The journal entry created from this worksheet will post into columns Y and Z (Capital assets and Long-term Debt accounts) on the Conversion worksheet.</t>
  </si>
  <si>
    <t>Complete section B of the worksheet indicating the functional and categorical reclassifications of the amounts in Section A; the entry required for the Conversion worksheet will be created in Section C.  Any items that qualify for the definitions of special items or extraordinary items should be reported separately in order to be properly reported on the Statement of Activities. See definitions in the comment fields - place cursor over the field with a red triangle in the corner. The total of Section B must equal the total of Section A.</t>
  </si>
  <si>
    <t>Expenditures recorded under the modified accrual basis of accounting for the purchase or construction of capital assets must be reported as additions to capital assets under the full accrual basis of accounting on the government-wide statements. These capital assets will be added in the conversion worksheet to the amounts previously recorded as of the beginning of the fiscal year when the Capital Assets were added to the conversion worksheet. Note that all expenditures for capital assets may not have been coded as capital outlay. Also be aware that some expenditures may fall below the capitalization threshold that the Governing Board has set for your unit. For example, if the unit has chosen $1,000 as the minimum for capitalization, then any items purchased under that amount must be reclassified as an expense of the appropriate program/function. Only those items above the unit's capitalization threshold would be adjusted and reported as capital assets in the government-wide statement of net position.</t>
  </si>
  <si>
    <r>
      <t xml:space="preserve">What was the amount of expenditures from the Capital Outlay Fund, broken out between amounts to be capitalized, not to be capitalized, and charged to debt service </t>
    </r>
    <r>
      <rPr>
        <b/>
        <sz val="10"/>
        <color indexed="10"/>
        <rFont val="Arial"/>
        <family val="2"/>
      </rPr>
      <t>(must be reported as debt service on fund statements)</t>
    </r>
    <r>
      <rPr>
        <b/>
        <sz val="10"/>
        <rFont val="Arial"/>
        <family val="2"/>
      </rPr>
      <t xml:space="preserve">?  What are the expenditures from other programs/functions that should be capitalized? </t>
    </r>
    <r>
      <rPr>
        <b/>
        <i/>
        <sz val="10"/>
        <color indexed="10"/>
        <rFont val="Arial"/>
        <family val="2"/>
      </rPr>
      <t>This includes expenditures related to impairment losses.</t>
    </r>
  </si>
  <si>
    <t>Total Expenditures from the Capital Outlay Fund that are not capitalized by category</t>
  </si>
  <si>
    <t>The carrying value of an asset must be adjusted if its service utility has been significantly impaired. This example addresses the most common, physical damage. To meet the requirements of GASB 42 both of the following must be true: 1) magnitude of decline in service utility is significant; and 2) it is unexpected. This entry will calculate the capital asset impairment loss (or gain if an insurance recovery was received) when physical damage occurs using the restoration cost approach.  Within that approach, the damage ratio can be calculated by the replacment cost method or the deflator method depending on what information is known. If replacement cost in current dollars is not known, then the restoration cost can be deflated to the year of acquisition. Deflation factors can be computed if the inflation factor per year is known or obtained from the internet by using engineering construction indexes or the consumer price index and selecting factors for the date of acquisition of the impaired asset.</t>
  </si>
  <si>
    <t>Asset Impairment Loss - continued</t>
  </si>
  <si>
    <t>Payables are included in the Payable column up to the amount that will not make Restricted Net Position negative.</t>
  </si>
  <si>
    <t>Classify net position</t>
  </si>
  <si>
    <t>Interfund receivables and payables between the governmental funds must be eliminated so as not to overstate the assets and liabilities for governmental activities. There are four accounts which are affected, "due to/from" and "advances to/from."  Interfund receivables and payables to fiduciary funds are treated as external parties at the government-wide level. They are best reported in a separate account entitled "due to/from fiduciary funds" on the fund's Statement of Net Position. If "receivables/payables from fiduciary funds" have not already been recorded on a separate line, complete the questions in Section D.</t>
  </si>
  <si>
    <t>The Statement of Net Position should be presented in order of liquidity and the current portion of long-term liabilities such as capital leases, installment purchases, guaranteed energy savings contracts, compensated liabilities, and other long-term liabilities must be identified separately. For compensated absences, this will typically be an estimate based on expected leave or average leave taken over the last several years. Indicate the amount to be paid from current resources in Section F below. If the portion payable and due within one year for other liability accounts has been handled elsewhere, this question can be left blank.</t>
  </si>
  <si>
    <t xml:space="preserve">Assets and Liabilities on the Statement of Net Position should be presented in order of liquidity and the current portion of long-term liabilities such as compensated absences liabilities and other long-term liabilities must be identified separately. For compensated absences, this will depend on the assumption of FIFO or LIFO as the method for computing leave to be taken. For the FIFO method, typically the estimate will be based on expected leave or average leave taken over the last several years. Indicate the amount to be paid from current resources in Section F below. If the LIFO method is used, the assumption is made that typically employees take leave as it is earned and that there is no current portion. If the portion payable and due within one year for other liability accounts has been handled elsewhere, the question can be left blank. </t>
  </si>
  <si>
    <r>
      <t>The components needed to arrive at Net Position will be calculated for the Conversion Worksheet in section</t>
    </r>
    <r>
      <rPr>
        <sz val="11"/>
        <rFont val="Times New Roman"/>
        <family val="1"/>
      </rPr>
      <t xml:space="preserve"> I</t>
    </r>
    <r>
      <rPr>
        <sz val="10"/>
        <rFont val="Arial"/>
        <family val="2"/>
      </rPr>
      <t xml:space="preserve"> below in cells N154, N196, and N198. The effect of the resulting entry will be to zero out the amount in fund balance and to credit (or debit) the amounts to the components of Net Position. </t>
    </r>
    <r>
      <rPr>
        <b/>
        <sz val="10"/>
        <rFont val="Arial"/>
        <family val="2"/>
      </rPr>
      <t>This should be one of the last steps completed since previous entries may affect your ending balances.</t>
    </r>
  </si>
  <si>
    <t>Indicate the amount by program/function for interest expense or investment earnings that should be included with program cost or revenue due to being integral to the operation (this would be unusual for a board of education) or required by a third party restriction. If the investment earnings were classified as anything other than general revenues in worksheet A. no additional entry to adjust revenue is necessary on this worksheet.</t>
  </si>
  <si>
    <t xml:space="preserve">Reclassify fund balance to the components of net position.    </t>
  </si>
  <si>
    <t>Total Fund Equity  to be allocated to Net Position - after adjustments and change in net position</t>
  </si>
  <si>
    <t xml:space="preserve">This amount is the sum of two accounts: Beginning Fund Balance and Change in Net Position after all conversion entries have been posted. Check the Conversion Worksheet, Statement of Net Position columns (Column AR, Row 87 and 88) to find this amount. </t>
  </si>
  <si>
    <t>Restricted Net Position</t>
  </si>
  <si>
    <t>Inflows of Resources</t>
  </si>
  <si>
    <r>
      <t xml:space="preserve">For any restricted grants other than in the State Public School Fund or Revenue Code 3600 Federal Fund Revenue, with unexpended proceeds at year end, categorize the grant(s) by function/program and complete the following information for the sum of all grants in the function/program. </t>
    </r>
    <r>
      <rPr>
        <sz val="8"/>
        <color indexed="10"/>
        <rFont val="Arial"/>
        <family val="2"/>
      </rPr>
      <t xml:space="preserve"> T</t>
    </r>
    <r>
      <rPr>
        <sz val="9"/>
        <color indexed="10"/>
        <rFont val="Arial"/>
        <family val="2"/>
      </rPr>
      <t>his data comes from the unit's internal records. These will relate primarily to small miscellaneous grants in the Local Current Expense Fund. There may not be anything that applies for this section. Would need to have already recognized the revenue for there to be any entry. If there is more than one source of funds, it may be necessary to make flow assumptions about which money is spent first. Document these assumptions in your workpapers. Entries for restrictions of net position will be created based on the information included here.</t>
    </r>
  </si>
  <si>
    <t>Receivables offset by unavailable revenues should not be included in the receivables.</t>
  </si>
  <si>
    <t>Unavailable revenue</t>
  </si>
  <si>
    <t>Other Asset Class 1</t>
  </si>
  <si>
    <r>
      <t xml:space="preserve">Eliminations - Consolidations: </t>
    </r>
    <r>
      <rPr>
        <sz val="10"/>
        <rFont val="Arial"/>
        <family val="2"/>
      </rPr>
      <t>addresses</t>
    </r>
    <r>
      <rPr>
        <b/>
        <sz val="10"/>
        <rFont val="Arial"/>
        <family val="2"/>
      </rPr>
      <t xml:space="preserve"> </t>
    </r>
    <r>
      <rPr>
        <sz val="10"/>
        <rFont val="Arial"/>
        <family val="2"/>
      </rPr>
      <t>all elimination and consolidation entries related to interfund payables, receivables &amp; transfers; creates the entries for recording the current portion of long-term liabilities, and records the reclassification of fund balance to the net position accounts of net investment in capital assets, restricted, and unrestricted net position.</t>
    </r>
  </si>
  <si>
    <t xml:space="preserve">The issuance of debt needs to be reflected in the proper liability accounts rather than as other financing sources in order to prepare the government-wide Statement of Net Position. The entry created below will reverse the other financing sources entry and credit the appropriate liability account. </t>
  </si>
  <si>
    <t>Interfund balances between governmental funds must be eliminated for purposes of presenting the government-wide statements. Only those balances between governmental and business-type activities will remain and they will be classified as internal balances. Interfund transfers  must be consolidated to arrive at net transfers between governmental and business-type activities. Reclassifications to programs or to current versus long-term assets and liabilities may also be necessary. Any inter-function activities must be eliminated so there will be no duplication of expenses.   Fund equity must be allocated to the appropriate net position category. These are the final steps to produce the trial balance that will become the government-wide statements.</t>
  </si>
  <si>
    <t>Compensated absences payable - current</t>
  </si>
  <si>
    <t>Guaranteed energy savings contract payable - current</t>
  </si>
  <si>
    <t>County installment purchases payable - current</t>
  </si>
  <si>
    <t>Bonds and notes payable - current</t>
  </si>
  <si>
    <t>Lease purchases/Installment purchases payable - current</t>
  </si>
  <si>
    <t>Deferred Outflows Of Resources</t>
  </si>
  <si>
    <t>Deferred Inflows Of Resources</t>
  </si>
  <si>
    <t>Pension Expense</t>
  </si>
  <si>
    <t>Agency Number</t>
  </si>
  <si>
    <t>Agency</t>
  </si>
  <si>
    <t>FY Contributions</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</si>
  <si>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</si>
  <si>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</si>
  <si>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</si>
  <si>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</si>
  <si>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</si>
  <si>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</si>
  <si>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</si>
  <si>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</si>
  <si>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</si>
  <si>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</si>
  <si>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</si>
  <si>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</si>
  <si>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</si>
  <si>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</si>
  <si>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</si>
  <si>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</si>
  <si>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</si>
  <si>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 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</si>
  <si>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</si>
  <si>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</si>
  <si>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</si>
  <si>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</si>
  <si>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</si>
  <si>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</si>
  <si>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</si>
  <si>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SVCS</t>
  </si>
  <si>
    <t>DEPARTMENT OF COMMERCE</t>
  </si>
  <si>
    <t>INSURANCE DEPARTMENT</t>
  </si>
  <si>
    <t>LABOR DEPARTMENT</t>
  </si>
  <si>
    <t>REVENUE DEPARTMENT</t>
  </si>
  <si>
    <t>SECRETARY OF STATE</t>
  </si>
  <si>
    <t xml:space="preserve">NC CEMETARY COMMISSION </t>
  </si>
  <si>
    <t>STATE TREASURER</t>
  </si>
  <si>
    <t>DEPARTMENT OF AGRICULTURE</t>
  </si>
  <si>
    <t>BARBER EXAMINERS, STATE BOARD OF</t>
  </si>
  <si>
    <t>NORTH CAROLINA BOARD OF OPTICIANS</t>
  </si>
  <si>
    <t>STATE BOARD OF EXAMINERS FOR ELECTRICAL CONTRACTOR</t>
  </si>
  <si>
    <t>N C REAL ESTATE COMMISSION</t>
  </si>
  <si>
    <t>N C AUCTIONEERS LICENSING BOARD</t>
  </si>
  <si>
    <t>N C STATE BOARD OF EXAMINERS OF PRACTICING PSYCHOL</t>
  </si>
  <si>
    <t>COMMUNITY COLLEGES ADMINISTRATION</t>
  </si>
  <si>
    <t>DEPARTMENT OF PUBLIC SAFETY</t>
  </si>
  <si>
    <t>APPALACHIAN STATE UNIVERSITY</t>
  </si>
  <si>
    <t>N C SCHOOL OF THE ARTS</t>
  </si>
  <si>
    <t>EAST CAROLINA UNIVERSITY</t>
  </si>
  <si>
    <t>ELIZABETH CITY STATE UNIVERSITY</t>
  </si>
  <si>
    <t>FAYETTEVILLE STATE UNIVERSITY</t>
  </si>
  <si>
    <t>NC A&amp;T UNIVERSITY</t>
  </si>
  <si>
    <t>N C CENTRAL UNIVERSITY</t>
  </si>
  <si>
    <t>UNIVERSITY OF NORTH CAROLINA AT GREENSBORO</t>
  </si>
  <si>
    <t>UNC - PEMBROKE</t>
  </si>
  <si>
    <t>N C STATE UNIVERSITY</t>
  </si>
  <si>
    <t>UNC-CH CB 1260</t>
  </si>
  <si>
    <t>UNC-GENERAL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</si>
  <si>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</si>
  <si>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</si>
  <si>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</si>
  <si>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</si>
  <si>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</si>
  <si>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</si>
  <si>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</si>
  <si>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</si>
  <si>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</si>
  <si>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</si>
  <si>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</si>
  <si>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</si>
  <si>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</si>
  <si>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</si>
  <si>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</si>
  <si>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</si>
  <si>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</si>
  <si>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</si>
  <si>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</si>
  <si>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</si>
  <si>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</si>
  <si>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</si>
  <si>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</si>
  <si>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</si>
  <si>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</si>
  <si>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</si>
  <si>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</si>
  <si>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</si>
  <si>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</si>
  <si>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</si>
  <si>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</si>
  <si>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</si>
  <si>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</si>
  <si>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</si>
  <si>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 COLLEGE</t>
  </si>
  <si>
    <t>CABARRUS COUNTY SCHOOLS</t>
  </si>
  <si>
    <t>CAROLINA INTERNATIONAL SCHOOL</t>
  </si>
  <si>
    <t>KANNAPOLIS CITY SCHOOLS</t>
  </si>
  <si>
    <t>CALDWELL COUNTY SCHOOLS</t>
  </si>
  <si>
    <t>CALDWELL COMMUNITY COLLEGE</t>
  </si>
  <si>
    <t>CAMDEN COUNTY SCHOOLS</t>
  </si>
  <si>
    <t>CARTERET COUNTY SCHOOLS</t>
  </si>
  <si>
    <t>CAPE LOOKOUT MARINE SCIENCE H.S.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</si>
  <si>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</si>
  <si>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</si>
  <si>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</si>
  <si>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</si>
  <si>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</si>
  <si>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</si>
  <si>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</si>
  <si>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</si>
  <si>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</si>
  <si>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</si>
  <si>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</si>
  <si>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</si>
  <si>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</si>
  <si>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</si>
  <si>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</si>
  <si>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</si>
  <si>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SEGS ACADEMY</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</si>
  <si>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</si>
  <si>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</si>
  <si>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</si>
  <si>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</si>
  <si>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</si>
  <si>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</si>
  <si>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</si>
  <si>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</si>
  <si>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</si>
  <si>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</si>
  <si>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</si>
  <si>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</si>
  <si>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</si>
  <si>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</si>
  <si>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</si>
  <si>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</si>
  <si>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</si>
  <si>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 FOR CHILDREN</t>
  </si>
  <si>
    <t>HEALTHY START ACADEMY</t>
  </si>
  <si>
    <t>VOYAGER ACADEMY</t>
  </si>
  <si>
    <t>DURHAM TECHNICAL INSTITUTE</t>
  </si>
  <si>
    <t>BEAR GRASS CHARTER SCHOOL</t>
  </si>
  <si>
    <t>EDGECOMBE COUNTY SCHOOLS</t>
  </si>
  <si>
    <t>EDGECOMBE TECHNICAL COLLEGE</t>
  </si>
  <si>
    <t>WINSTON-SALEM-FORSYTH COUNTY SCHOOLS</t>
  </si>
  <si>
    <t>ARTS BASED ELEMENTARY CHARTER</t>
  </si>
  <si>
    <t xml:space="preserve">DOWNTOWN MIDDLE </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</si>
  <si>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</si>
  <si>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</si>
  <si>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</si>
  <si>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</si>
  <si>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</si>
  <si>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</si>
  <si>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</si>
  <si>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</si>
  <si>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</si>
  <si>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</si>
  <si>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</si>
  <si>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</si>
  <si>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</si>
  <si>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</si>
  <si>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</si>
  <si>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</si>
  <si>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</si>
  <si>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</si>
  <si>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</si>
  <si>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</si>
  <si>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</si>
  <si>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</si>
  <si>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</si>
  <si>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</si>
  <si>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</si>
  <si>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</si>
  <si>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</si>
  <si>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</si>
  <si>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</si>
  <si>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</si>
  <si>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</si>
  <si>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</si>
  <si>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</si>
  <si>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</si>
  <si>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</si>
  <si>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</si>
  <si>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</si>
  <si>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</si>
  <si>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</si>
  <si>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</si>
  <si>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KINSTON CHARTER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</si>
  <si>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</si>
  <si>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</si>
  <si>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</si>
  <si>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</si>
  <si>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</si>
  <si>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</si>
  <si>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</si>
  <si>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</si>
  <si>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</si>
  <si>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</si>
  <si>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</si>
  <si>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</si>
  <si>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</si>
  <si>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</si>
  <si>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</si>
  <si>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</si>
  <si>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</si>
  <si>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</si>
  <si>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</si>
  <si>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</si>
  <si>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</si>
  <si>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</si>
  <si>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</si>
  <si>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</si>
  <si>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</si>
  <si>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</si>
  <si>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</si>
  <si>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NASH-ROCKY MOUNT SCHOOLS</t>
  </si>
  <si>
    <t>NASH TECHNICAL COLLEGE</t>
  </si>
  <si>
    <t>NEW HANOVER COUNTY SCHOOLS</t>
  </si>
  <si>
    <t>CAPE FEAR CTR FOR INQUIRY</t>
  </si>
  <si>
    <t>WILMINGTON PREP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</si>
  <si>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</si>
  <si>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</si>
  <si>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</si>
  <si>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</si>
  <si>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</si>
  <si>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</si>
  <si>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</si>
  <si>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PACE ACADEMY</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</si>
  <si>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</si>
  <si>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</si>
  <si>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</si>
  <si>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</si>
  <si>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</si>
  <si>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</si>
  <si>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</si>
  <si>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</si>
  <si>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</si>
  <si>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</si>
  <si>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</si>
  <si>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</si>
  <si>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</si>
  <si>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</si>
  <si>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</si>
  <si>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</si>
  <si>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</si>
  <si>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</si>
  <si>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</si>
  <si>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</si>
  <si>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</si>
  <si>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</si>
  <si>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</si>
  <si>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</si>
  <si>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</si>
  <si>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</si>
  <si>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</si>
  <si>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</si>
  <si>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</si>
  <si>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</si>
  <si>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</si>
  <si>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</si>
  <si>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</si>
  <si>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</si>
  <si>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</si>
  <si>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</si>
  <si>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</si>
  <si>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</si>
  <si>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</si>
  <si>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</si>
  <si>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</si>
  <si>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</si>
  <si>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</si>
  <si>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</si>
  <si>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</si>
  <si>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</si>
  <si>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MTN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</si>
  <si>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</si>
  <si>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</si>
  <si>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</si>
  <si>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</si>
  <si>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</si>
  <si>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</si>
  <si>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</si>
  <si>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</si>
  <si>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</si>
  <si>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</si>
  <si>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</si>
  <si>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</si>
  <si>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</si>
  <si>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</si>
  <si>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</si>
  <si>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</si>
  <si>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</si>
  <si>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</si>
  <si>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 SCHOOL</t>
  </si>
  <si>
    <t>WAYNE COUNTY SCHOOLS</t>
  </si>
  <si>
    <t>WAYNE COMMUNITY COLLEGE</t>
  </si>
  <si>
    <t>WILKES COUNTY SCHOOLS</t>
  </si>
  <si>
    <t>PINNACLE CLASSICAL ACADEMY</t>
  </si>
  <si>
    <t>WILKES COMMUNITY COLLEGE</t>
  </si>
  <si>
    <t>WILSON COUNTY SCHOOLS</t>
  </si>
  <si>
    <t>WILSON COMMUNITY COLLEGE</t>
  </si>
  <si>
    <t>YADKIN COUNTY SCHOOLS</t>
  </si>
  <si>
    <t>HIGHWAY - ADMINISTRATIVE</t>
  </si>
  <si>
    <t>TOTAL</t>
  </si>
  <si>
    <t>GASB 68 Entries - TSERS</t>
  </si>
  <si>
    <t>Agency Name</t>
  </si>
  <si>
    <t>Net Pension Liability/Asset</t>
  </si>
  <si>
    <t>debit</t>
  </si>
  <si>
    <t>credit</t>
  </si>
  <si>
    <t>Deferred Outflow - Measurement Period Contributions</t>
  </si>
  <si>
    <r>
      <t>Entry for Conversion worksheet to record proportionate share of net pensions liability, pension expense, and deferred outflows and deferred inflows of resources related to pensions.  (Entry J</t>
    </r>
    <r>
      <rPr>
        <b/>
        <sz val="10"/>
        <rFont val="Times New Roman"/>
        <family val="1"/>
      </rPr>
      <t>1</t>
    </r>
    <r>
      <rPr>
        <b/>
        <sz val="10"/>
        <rFont val="Arial"/>
        <family val="2"/>
      </rPr>
      <t>)</t>
    </r>
  </si>
  <si>
    <t>Deferred Outflows of Resources</t>
  </si>
  <si>
    <t>Deferred Outflows for TSERS pension contributions made during the year.</t>
  </si>
  <si>
    <t>Entry E</t>
  </si>
  <si>
    <t>Deferred outflows - current year pension contributions</t>
  </si>
  <si>
    <t>Pensions - Net Difference Between Actual and Expected Earnings on Plan Investments</t>
  </si>
  <si>
    <t>Net pension liability</t>
  </si>
  <si>
    <t>Net pension asset</t>
  </si>
  <si>
    <t>J.1</t>
  </si>
  <si>
    <t>Enter appropriate pension allocation percentages.</t>
  </si>
  <si>
    <t>Governmental Funds - pension allocation percentage</t>
  </si>
  <si>
    <t>Enterprise Funds - pension allocation percentage</t>
  </si>
  <si>
    <t>Total (should = 100%)</t>
  </si>
  <si>
    <t>(percentages entered in this section should be percentages of the whole government, not percentages of the Governmental Funds)</t>
  </si>
  <si>
    <t>Total (should = Governmental Fund Allocation)</t>
  </si>
  <si>
    <t>Amount to reclassify out of pension expense and into deferred outflows - pensions</t>
  </si>
  <si>
    <t>Pension Expense - Regular instructional services (5100)</t>
  </si>
  <si>
    <t>Pension Expense - Special populations services (5200)</t>
  </si>
  <si>
    <t>Pension Expense - Alternative programs and services (5300)</t>
  </si>
  <si>
    <t>Pension Expense - School leadership services (5400)</t>
  </si>
  <si>
    <t>Pension Expense - Co-curricular services (5500)</t>
  </si>
  <si>
    <t>Pension Expense - School-based support services (5800)</t>
  </si>
  <si>
    <t>Pension Expense - Support and development services (6100)</t>
  </si>
  <si>
    <t>Pension Expense - Special pop. support &amp; develop. ser. (6200)</t>
  </si>
  <si>
    <t>Pension Expense - Alternative prog. &amp; ser. sup &amp; dev. ser. (6300)</t>
  </si>
  <si>
    <t>Pension Expense - Technology support services (6400)</t>
  </si>
  <si>
    <t>Pension Expense - Operational support services (6500)</t>
  </si>
  <si>
    <t>Pension Expense - Financial &amp; HR services (6600)</t>
  </si>
  <si>
    <t>Pension Expense - Accountablilty services (6700)</t>
  </si>
  <si>
    <t>Pension Expense - System-wide pupil support services (6800)</t>
  </si>
  <si>
    <t>Pension Expense - Policy, leadership &amp; PR services (6900)</t>
  </si>
  <si>
    <t>Pension Expense - Ancillary services (7000)</t>
  </si>
  <si>
    <t>Pension Expense - Non-programmed charges (8000)</t>
  </si>
  <si>
    <t>Work Section for Conversion entry J1</t>
  </si>
  <si>
    <t>Working Subtotal</t>
  </si>
  <si>
    <t xml:space="preserve">This worksheet prepares the journal entry to record the entity's proportionate share of the net pension liability, pension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</si>
  <si>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 xml:space="preserve">Contributions made to the LGERS pension plan on the full accrual basis subsequent to the measurement date are presented as deferred outlows of resources.  The contributions made for the current fiscal year should be allocated among all applicable functions or departments.  </t>
  </si>
  <si>
    <t>To select your agency from the drop down list, click in cell C14 and choose your name.</t>
  </si>
  <si>
    <t>What is the amount of contributions made to TSERS on the full accrual basis for the current fiscal year?</t>
  </si>
  <si>
    <t>(percentages entered in this section should be percentages of the whole government, not just percentages of the Governmental Funds)</t>
  </si>
  <si>
    <t>From Tab H (correct any errors on tab H)</t>
  </si>
  <si>
    <t>Current Proportional Share</t>
  </si>
  <si>
    <t>Prior Proportional Share</t>
  </si>
  <si>
    <t>Net Pension Liability BOY</t>
  </si>
  <si>
    <t>Net Pension Liability EOY</t>
  </si>
  <si>
    <t>blank</t>
  </si>
  <si>
    <t>INVEST COLLEGIATE CHARTER (BUNCOMBE)</t>
  </si>
  <si>
    <t>KIPP HALIFAX COLLEGE PREP CHARTER</t>
  </si>
  <si>
    <t>PIONEER SPRINGS COMMUNITY CHARTER</t>
  </si>
  <si>
    <t>A</t>
  </si>
  <si>
    <t>B</t>
  </si>
  <si>
    <t>C</t>
  </si>
  <si>
    <t>D</t>
  </si>
  <si>
    <t>E</t>
  </si>
  <si>
    <t>F</t>
  </si>
  <si>
    <t>G</t>
  </si>
  <si>
    <t>Per Buck valuation letter</t>
  </si>
  <si>
    <t>Amount is zero, nets to zero and is not applicable to reference</t>
  </si>
  <si>
    <t>Difference between Expected and Actual earnings on Plan Assets.  See earlier section IV.</t>
  </si>
  <si>
    <t>Employer specific deferred outflows and deferred inflows and these offset each other</t>
  </si>
  <si>
    <t>See Section III, represents the differences in the Experience of the plan.</t>
  </si>
  <si>
    <t>Per Buck GASB 68 Disclosure letter</t>
  </si>
  <si>
    <t>Is the sum of G and second to last column (rounding differences).</t>
  </si>
  <si>
    <t>Change in Proportional Share</t>
  </si>
  <si>
    <t>ORBIT Unit Contributions to Plan in Measurement Year</t>
  </si>
  <si>
    <t>Total Employer Pension Expense*</t>
  </si>
  <si>
    <t>CURRENT YEAR</t>
  </si>
  <si>
    <t>PRIOR YEAR</t>
  </si>
  <si>
    <t>Carolina County BOE</t>
  </si>
  <si>
    <t>3xxxx</t>
  </si>
  <si>
    <t>Deferred Outlfow - Net Difference Between Projected and Actual Investment Earnings on Plan Investments - All Years</t>
  </si>
  <si>
    <t>Adjustment to Beginning Fund Equity for Pension Accts</t>
  </si>
  <si>
    <t>Capital Assets, Long-term Debt</t>
  </si>
  <si>
    <t>and Beginning Pension Accounts</t>
  </si>
  <si>
    <t>Note that the beginning asset and liability balances related to pensions, including deferred inflows and outflows, have been mapped to the Capital Assets, Long-term Debt and Beginning Pension Balances columns Y and Z (Conversion Worksheet tab) from the J tabs.  Cell C17 on tab J.1 must be completed as part of the population of the beginning balances in the Conversion Worksheet tab.  As the conversion worksheet converts all governmental funds into governmental activities for the full accrual statement of activities and statement of net position, allocating the beginning pension asset and liability balances between governmental funds is not necessary.</t>
  </si>
  <si>
    <t>Carolina County Board of Education</t>
  </si>
  <si>
    <t>STATE TREASURER (w/o State Health Plan)</t>
  </si>
  <si>
    <t>STATE TREASURER (State Health Plan Only)</t>
  </si>
  <si>
    <t>UNC-GENERAL ADMINISTRATION (w/o SEAA)</t>
  </si>
  <si>
    <t>UNC-GENERAL ADMINISTRATION (SEAA Only)</t>
  </si>
  <si>
    <t>N.E. ACADEMY OF AEROSPACE &amp; ADV.TECH</t>
  </si>
  <si>
    <t>HIGHWAY - ADMINISTRATIVE (w/o Global Transpark or Ports Authority)</t>
  </si>
  <si>
    <t>HIGHWAY - ADMINISTRATIVE (Global Transpark Only)</t>
  </si>
  <si>
    <t>HIGHWAY - ADMINISTRATIVE (Ports Authority Only)</t>
  </si>
  <si>
    <t>Beginning DO(DI) for Earnings</t>
  </si>
  <si>
    <t>Pension Expense - Actuary</t>
  </si>
  <si>
    <t>Beginning DO - Experience</t>
  </si>
  <si>
    <t>Beginning DO - Earnings</t>
  </si>
  <si>
    <t>Beginning DO - Assumptions</t>
  </si>
  <si>
    <t>Beginning DO - Employer proportions</t>
  </si>
  <si>
    <t>Beginning DI - Experience</t>
  </si>
  <si>
    <t>Beginning DI - Earnings</t>
  </si>
  <si>
    <t>Beginning DI - Assumptions</t>
  </si>
  <si>
    <t>Beginning DI - Employer Proportions</t>
  </si>
  <si>
    <t>Ending DO - Experience</t>
  </si>
  <si>
    <t>Ending DO - Earnings</t>
  </si>
  <si>
    <t>Ending DO - Assumptions</t>
  </si>
  <si>
    <t>Ending DO - Employer proportions</t>
  </si>
  <si>
    <t>Ending DI - Experience</t>
  </si>
  <si>
    <t>Ending DI - Earnings</t>
  </si>
  <si>
    <t>Ending DI - Assumptions</t>
  </si>
  <si>
    <t>Ending DI - Employer Proportions</t>
  </si>
  <si>
    <t>Beginning DO - Contributions subsequent to PY measurement date</t>
  </si>
  <si>
    <t>Pension Expense - Measurement period contributions b/w Actuary and Agency</t>
  </si>
  <si>
    <t>Pension Expense - Rounding</t>
  </si>
  <si>
    <t>Beginning NPL</t>
  </si>
  <si>
    <t>Ending NPL</t>
  </si>
  <si>
    <t xml:space="preserve">Deferred Outflow - Differences Between Expected and Actual Experience </t>
  </si>
  <si>
    <t xml:space="preserve">Deferred Outflow - Changes in Assumptions </t>
  </si>
  <si>
    <t xml:space="preserve">Deferred Outflow - Changes in Proportion and Differences Between Employer Contributions and Proportionate Share of Contributions </t>
  </si>
  <si>
    <t xml:space="preserve">Deferred Inflow - Differences Between Expected and Actual Experience </t>
  </si>
  <si>
    <t xml:space="preserve">Deferred Inflow - Net Difference Between Projected and Actual Investment Earnings on Plan Investments </t>
  </si>
  <si>
    <t xml:space="preserve">Deferred Inflow - Changes in Assumptions </t>
  </si>
  <si>
    <t>Deferred Inflow - Changes in Proportion and Differences Between Employer Contributions and Proportionate Share of Contributions</t>
  </si>
  <si>
    <t>Pensions - Changes in Assumptions</t>
  </si>
  <si>
    <t>Pensions - Differences Between Actual and Expected Experience</t>
  </si>
  <si>
    <t>Pensions - Change in Proportion and Differences in Employer Contributions and Proportionate Share of Contributions</t>
  </si>
  <si>
    <t>Recognition periods: Difference between projected and actual investment earnings - 5 years; all other deferrals - 6 years</t>
  </si>
  <si>
    <t>OPEB Expense</t>
  </si>
  <si>
    <t>Employer Number</t>
  </si>
  <si>
    <t>Employer</t>
  </si>
  <si>
    <t>Beginning Net OPEB Liability</t>
  </si>
  <si>
    <t>Ending Net OPEB Liability</t>
  </si>
  <si>
    <t>Differences Between Expected and Actual Experience</t>
  </si>
  <si>
    <t>Net Differences Between Projected and Actual Investment Earnings on Plan Investments</t>
  </si>
  <si>
    <t>Changes of Assumptions</t>
  </si>
  <si>
    <t>Changes in Proportion and Differences Between Employer Contributions and Proportionate Share of Contributions</t>
  </si>
  <si>
    <t xml:space="preserve"> Total Deferred Outflows of Resources</t>
  </si>
  <si>
    <t>Total Deferred Inflows of Resources</t>
  </si>
  <si>
    <t>Proportionate Share of OPEB Expense</t>
  </si>
  <si>
    <t>Net Amortization of Deferred Amounts from Changes in Proportion and Difference Between Employer Contributions and Proportionate Share of Contributions</t>
  </si>
  <si>
    <t>Total Employer OPEB Expense</t>
  </si>
  <si>
    <t>No Agency Chosen</t>
  </si>
  <si>
    <t>North Carolina Education Lottery</t>
  </si>
  <si>
    <t>Department Of Justice</t>
  </si>
  <si>
    <t>State Auditor</t>
  </si>
  <si>
    <t>Department Of Cultural Resources</t>
  </si>
  <si>
    <t>Administrative Office Of The Courts</t>
  </si>
  <si>
    <t>Office Of Administrative Hearing</t>
  </si>
  <si>
    <t>Department Of Administration</t>
  </si>
  <si>
    <t>Office Of State Budget &amp; Management</t>
  </si>
  <si>
    <t>Information Technology Services</t>
  </si>
  <si>
    <t>Office Of State Controller</t>
  </si>
  <si>
    <t>N.C. School Of Science &amp; Mathematics</t>
  </si>
  <si>
    <t>Environment And Natural Resources</t>
  </si>
  <si>
    <t>N.C. Housing Finance Agency</t>
  </si>
  <si>
    <t>Wildlife Resources Commission</t>
  </si>
  <si>
    <t>State Board Of Elections</t>
  </si>
  <si>
    <t>Governor's Office</t>
  </si>
  <si>
    <t>Lt. Governor's Office</t>
  </si>
  <si>
    <t>General Assembly</t>
  </si>
  <si>
    <t>Health &amp; Human Services</t>
  </si>
  <si>
    <t>Department Of Commerce</t>
  </si>
  <si>
    <t>Insurance Department</t>
  </si>
  <si>
    <t>Labor Department</t>
  </si>
  <si>
    <t>Revenue Department</t>
  </si>
  <si>
    <t>Secretary Of State</t>
  </si>
  <si>
    <t>State Treasurer</t>
  </si>
  <si>
    <t>State Health Plan (subset of Department of Treasurer)</t>
  </si>
  <si>
    <t>Department Of Agriculture</t>
  </si>
  <si>
    <t>Barber Examiners, State Board Of</t>
  </si>
  <si>
    <t>N.C. Real Estate Commission</t>
  </si>
  <si>
    <t>N.C. Auctioneers Licensing Board</t>
  </si>
  <si>
    <t>N.C. State Board Of Examiners Of Practicing Psychol</t>
  </si>
  <si>
    <t>Community Colleges Administration</t>
  </si>
  <si>
    <t>Department Of Public Safety</t>
  </si>
  <si>
    <t>Appalachian State University</t>
  </si>
  <si>
    <t>N.C. School Of The Arts</t>
  </si>
  <si>
    <t>East Carolina University</t>
  </si>
  <si>
    <t>Elizabeth City State University</t>
  </si>
  <si>
    <t>Fayetteville State University</t>
  </si>
  <si>
    <t>N.C. A&amp;T University</t>
  </si>
  <si>
    <t>N.C. Central University</t>
  </si>
  <si>
    <t>University Of North Carolina At Greensboro</t>
  </si>
  <si>
    <t>UNC - Pembroke</t>
  </si>
  <si>
    <t>N.C. State University</t>
  </si>
  <si>
    <t>UNC-General Administration</t>
  </si>
  <si>
    <t>State Education Assistance Authority (subset of UNC General Administration)</t>
  </si>
  <si>
    <t>UNC Health Care System</t>
  </si>
  <si>
    <t>University Of North Carolina Press</t>
  </si>
  <si>
    <t>Western Carolina University</t>
  </si>
  <si>
    <t>Winston-Salem State University</t>
  </si>
  <si>
    <t>Department Of Public Instruction</t>
  </si>
  <si>
    <t>University Of North Carolina At Asheville</t>
  </si>
  <si>
    <t>University Of North Carolina At Charlotte</t>
  </si>
  <si>
    <t>University Of North Carolina At Wilmington</t>
  </si>
  <si>
    <t>Yancey County Schools</t>
  </si>
  <si>
    <t>Alamance County Schools</t>
  </si>
  <si>
    <t>Clover Garden Charter School</t>
  </si>
  <si>
    <t>River Mill Academy Charter</t>
  </si>
  <si>
    <t>The Hawbridge School</t>
  </si>
  <si>
    <t>Alamance Community College</t>
  </si>
  <si>
    <t>Alexander County Schools</t>
  </si>
  <si>
    <t>Alleghany County Schools</t>
  </si>
  <si>
    <t>Anson County Schools</t>
  </si>
  <si>
    <t>South Piedmont Community College</t>
  </si>
  <si>
    <t>Ashe County Schools</t>
  </si>
  <si>
    <t>Avery County Schools</t>
  </si>
  <si>
    <t>Grandfather Academy</t>
  </si>
  <si>
    <t>Beaufort County Schools</t>
  </si>
  <si>
    <t>Beaufort County Community College</t>
  </si>
  <si>
    <t>Bertie County Schools</t>
  </si>
  <si>
    <t>Bladen County Schools</t>
  </si>
  <si>
    <t>Bladen Community College</t>
  </si>
  <si>
    <t>Brunswick County Schools</t>
  </si>
  <si>
    <t>Brunswick Community College</t>
  </si>
  <si>
    <t>Buncombe County Schools</t>
  </si>
  <si>
    <t>F. Delany New School For Children</t>
  </si>
  <si>
    <t>Evergreen Community Charter School</t>
  </si>
  <si>
    <t>Asheville-Buncombe Technical College</t>
  </si>
  <si>
    <t>Asheville City Schools</t>
  </si>
  <si>
    <t>Burke County Schools</t>
  </si>
  <si>
    <t>Western Piedmont Community College</t>
  </si>
  <si>
    <t>Cabarrus County Schools</t>
  </si>
  <si>
    <t>Carolina International School</t>
  </si>
  <si>
    <t>Kannapolis City Schools</t>
  </si>
  <si>
    <t>Caldwell County Schools</t>
  </si>
  <si>
    <t>Caldwell Community College</t>
  </si>
  <si>
    <t>Camden County Schools</t>
  </si>
  <si>
    <t>Carteret County Schools</t>
  </si>
  <si>
    <t>Carteret Community College</t>
  </si>
  <si>
    <t>Caswell County Schools</t>
  </si>
  <si>
    <t>Catawba County Schools</t>
  </si>
  <si>
    <t>Catawba Valley Community College</t>
  </si>
  <si>
    <t>Hickory City Schools</t>
  </si>
  <si>
    <t>Newton-Conover City Schools</t>
  </si>
  <si>
    <t>Chatham County Schools</t>
  </si>
  <si>
    <t>Cherokee County Schools</t>
  </si>
  <si>
    <t>Tri-County Community College</t>
  </si>
  <si>
    <t>Edenton-Chowan County Schools</t>
  </si>
  <si>
    <t>Clay County Schools</t>
  </si>
  <si>
    <t>Cleveland County Schools</t>
  </si>
  <si>
    <t>Cleveland Technical College</t>
  </si>
  <si>
    <t>Columbus County Schools</t>
  </si>
  <si>
    <t>Southeastern Community College</t>
  </si>
  <si>
    <t>Whiteville City Schools</t>
  </si>
  <si>
    <t>New Bern/Craven County Board Of Education</t>
  </si>
  <si>
    <t>Craven Community College</t>
  </si>
  <si>
    <t>Cumberland County Schools</t>
  </si>
  <si>
    <t>Fayetteville Technical Community College</t>
  </si>
  <si>
    <t>Currituck County Schools</t>
  </si>
  <si>
    <t>Dare County Schools</t>
  </si>
  <si>
    <t>Davidson County Schools</t>
  </si>
  <si>
    <t>Invest Collegiate Charter School</t>
  </si>
  <si>
    <t>Davidson County Community College</t>
  </si>
  <si>
    <t>Lexington City Schools</t>
  </si>
  <si>
    <t>Thomasville City Schools</t>
  </si>
  <si>
    <t>Davie County Schools</t>
  </si>
  <si>
    <t>N.E. Regional School For Biotechnology</t>
  </si>
  <si>
    <t>Cornerstone Academy</t>
  </si>
  <si>
    <t>Duplin County Schools</t>
  </si>
  <si>
    <t>James Sprunt Technical College</t>
  </si>
  <si>
    <t>Durham Public Schools</t>
  </si>
  <si>
    <t>Central Park School For Children</t>
  </si>
  <si>
    <t>Healthy Start Academy</t>
  </si>
  <si>
    <t>Voyager Academy</t>
  </si>
  <si>
    <t>Durham Technical Institute</t>
  </si>
  <si>
    <t>Bear Grass Charter School</t>
  </si>
  <si>
    <t>Invest Collegiate Charter (Buncombe)</t>
  </si>
  <si>
    <t>Kipp Halifax College Prep Charter</t>
  </si>
  <si>
    <t>Pioneer Springs Community Charter</t>
  </si>
  <si>
    <t>Edgecombe County Schools</t>
  </si>
  <si>
    <t>Edgecombe Technical College</t>
  </si>
  <si>
    <t>Winston-Salem-Forsyth County Schools</t>
  </si>
  <si>
    <t>Arts Based Elementary Charter</t>
  </si>
  <si>
    <t>Forsyth Technical Institute</t>
  </si>
  <si>
    <t>Franklin County Schools</t>
  </si>
  <si>
    <t>A Childs Garden Charter (AKA Cross Creek Charter)</t>
  </si>
  <si>
    <t>Gaston County Schools</t>
  </si>
  <si>
    <t>Gaston College</t>
  </si>
  <si>
    <t>Gates County Schools</t>
  </si>
  <si>
    <t>Graham County Schools</t>
  </si>
  <si>
    <t>Granville County Schools And Oxford Orphanage</t>
  </si>
  <si>
    <t>Greene County Schools</t>
  </si>
  <si>
    <t>Guilford County Schools</t>
  </si>
  <si>
    <t>Guilford Technical Community College</t>
  </si>
  <si>
    <t>Halifax County Schools</t>
  </si>
  <si>
    <t>Halifax Community College</t>
  </si>
  <si>
    <t>Roanoke Rapids City Schools</t>
  </si>
  <si>
    <t>Weldon City Schools</t>
  </si>
  <si>
    <t>Harnett County Schools</t>
  </si>
  <si>
    <t>Haywood County Schools</t>
  </si>
  <si>
    <t>Haywood Technical College</t>
  </si>
  <si>
    <t>Henderson County Schools</t>
  </si>
  <si>
    <t>Mountain Community School</t>
  </si>
  <si>
    <t>Blue Ridge Community College</t>
  </si>
  <si>
    <t>Hertford County Schools</t>
  </si>
  <si>
    <t>Roanoke-Chowan Community College</t>
  </si>
  <si>
    <t>Hoke County Schools</t>
  </si>
  <si>
    <t>Hyde County Schools</t>
  </si>
  <si>
    <t>Iredell County Schools</t>
  </si>
  <si>
    <t>American Renaissance Middle School</t>
  </si>
  <si>
    <t>Success Institute</t>
  </si>
  <si>
    <t>Mitchell Community College</t>
  </si>
  <si>
    <t>Mooresville City Schools</t>
  </si>
  <si>
    <t>Jackson County Schools</t>
  </si>
  <si>
    <t>Southwestern Community College</t>
  </si>
  <si>
    <t>Johnston County Schools</t>
  </si>
  <si>
    <t>Johnston Technical College</t>
  </si>
  <si>
    <t>Neuse Charter School</t>
  </si>
  <si>
    <t>Jones County Schools</t>
  </si>
  <si>
    <t>Sanford-Lee County Board Of Education</t>
  </si>
  <si>
    <t>Central Carolina Community College</t>
  </si>
  <si>
    <t>Lenoir County Schools</t>
  </si>
  <si>
    <t>Childrens Village Academy</t>
  </si>
  <si>
    <t>Lenoir County Community College</t>
  </si>
  <si>
    <t>Lincoln County Schools</t>
  </si>
  <si>
    <t>Macon County Schools</t>
  </si>
  <si>
    <t>Madison County Schools</t>
  </si>
  <si>
    <t>Martin County Schools</t>
  </si>
  <si>
    <t>Martin Community College</t>
  </si>
  <si>
    <t>Mcdowell County Schools</t>
  </si>
  <si>
    <t>Mcdowell Technical College</t>
  </si>
  <si>
    <t>Charlotte-Mecklenburg County Schools</t>
  </si>
  <si>
    <t>Community Charter School</t>
  </si>
  <si>
    <t>Kennedy Charter</t>
  </si>
  <si>
    <t>Community School Of Davidson</t>
  </si>
  <si>
    <t>Corvian Community School</t>
  </si>
  <si>
    <t>Central Piedmont Community College</t>
  </si>
  <si>
    <t>Lake Norman Charter School</t>
  </si>
  <si>
    <t>Socrates Academy</t>
  </si>
  <si>
    <t>Pine Lake Prep Charter</t>
  </si>
  <si>
    <t>Charlotte Secondary Charter</t>
  </si>
  <si>
    <t>Mitchell County Schools</t>
  </si>
  <si>
    <t>Kipp Charlotte Charter</t>
  </si>
  <si>
    <t>Mayland Technical College</t>
  </si>
  <si>
    <t>Montgomery County Schools</t>
  </si>
  <si>
    <t>Montgomery Community College</t>
  </si>
  <si>
    <t>Moore County Schools</t>
  </si>
  <si>
    <t>Academy Of Moore County</t>
  </si>
  <si>
    <t>Stars Charter School</t>
  </si>
  <si>
    <t>Sandhills Community College</t>
  </si>
  <si>
    <t>Fernleaf Community Charter</t>
  </si>
  <si>
    <t>Nash-Rocky Mount Schools</t>
  </si>
  <si>
    <t>Nash Technical College</t>
  </si>
  <si>
    <t>New Hanover County Schools</t>
  </si>
  <si>
    <t>Cape Fear Center For Inquiry</t>
  </si>
  <si>
    <t>Wilmington Preparatory Academy</t>
  </si>
  <si>
    <t>Cape Fear Community College</t>
  </si>
  <si>
    <t>Northampton County Schools</t>
  </si>
  <si>
    <t>Gaston College Preparatory Charter</t>
  </si>
  <si>
    <t>Onslow County Schools</t>
  </si>
  <si>
    <t>Zeca School Of The Arts And Technology</t>
  </si>
  <si>
    <t>Coastal Carolina Community College</t>
  </si>
  <si>
    <t>Orange County Schools</t>
  </si>
  <si>
    <t>Orange Charter School</t>
  </si>
  <si>
    <t>Chapel Hill - Carboro City Schools</t>
  </si>
  <si>
    <t>Pamlico County Schools</t>
  </si>
  <si>
    <t>Arapahoe Charter School</t>
  </si>
  <si>
    <t>Pamlico Community College</t>
  </si>
  <si>
    <t>Elizabeth City And Pasquotank County Schools</t>
  </si>
  <si>
    <t>College Of The Albemarle</t>
  </si>
  <si>
    <t>Pender County Schools</t>
  </si>
  <si>
    <t>Perquimans County Schools</t>
  </si>
  <si>
    <t>Person County Schools</t>
  </si>
  <si>
    <t>Roxboro Community School</t>
  </si>
  <si>
    <t>Piedmont Community College</t>
  </si>
  <si>
    <t>Pitt County Schools</t>
  </si>
  <si>
    <t>Pitt Community College</t>
  </si>
  <si>
    <t>Polk County Schools</t>
  </si>
  <si>
    <t>Randolph County Schools</t>
  </si>
  <si>
    <t>Uwharrie Charter Academy</t>
  </si>
  <si>
    <t>Randolph Community College</t>
  </si>
  <si>
    <t>Asheboro City Schools</t>
  </si>
  <si>
    <t>Richmond County Schools</t>
  </si>
  <si>
    <t>Richmond Technical College</t>
  </si>
  <si>
    <t>Robeson County Schools</t>
  </si>
  <si>
    <t>Southeastern Academy Charter School</t>
  </si>
  <si>
    <t>Robeson Community College</t>
  </si>
  <si>
    <t>Rockingham County Schools</t>
  </si>
  <si>
    <t>Bethany Community Middle School</t>
  </si>
  <si>
    <t>Rockingham Community College</t>
  </si>
  <si>
    <t>Rowan-Salisbury School System</t>
  </si>
  <si>
    <t>Rowan-Cabarrus Community College</t>
  </si>
  <si>
    <t>Rutherford County Schools</t>
  </si>
  <si>
    <t>Isothermal Community College</t>
  </si>
  <si>
    <t>Sampson County Schools</t>
  </si>
  <si>
    <t>Sampson Community College</t>
  </si>
  <si>
    <t>Clinton City Schools</t>
  </si>
  <si>
    <t>Scotland County Schools</t>
  </si>
  <si>
    <t>Stanly County Schools</t>
  </si>
  <si>
    <t>Gray Stone Day School</t>
  </si>
  <si>
    <t>Stanly Community College</t>
  </si>
  <si>
    <t>Stokes County Schools</t>
  </si>
  <si>
    <t>Surry County Schools</t>
  </si>
  <si>
    <t>Bridges Charter Schools</t>
  </si>
  <si>
    <t>Millennium Charter Academy</t>
  </si>
  <si>
    <t>Surry Community College</t>
  </si>
  <si>
    <t>Mount Airy City Schools</t>
  </si>
  <si>
    <t>Elkin City Schools</t>
  </si>
  <si>
    <t>Swain County Schools</t>
  </si>
  <si>
    <t>Mountain Discovery Charter</t>
  </si>
  <si>
    <t>Transylvania County Schools</t>
  </si>
  <si>
    <t>Brevard Academy Charter School</t>
  </si>
  <si>
    <t>Tyrrell County Schools</t>
  </si>
  <si>
    <t>Union County Schools</t>
  </si>
  <si>
    <t>Vance County Schools</t>
  </si>
  <si>
    <t>Vance Charter School</t>
  </si>
  <si>
    <t>Vance-Granville Community College</t>
  </si>
  <si>
    <t>Wake County Schools</t>
  </si>
  <si>
    <t>Endeavor Charter School</t>
  </si>
  <si>
    <t>Southern Wake Academy</t>
  </si>
  <si>
    <t>Wake Technical College</t>
  </si>
  <si>
    <t>East Wake Academy</t>
  </si>
  <si>
    <t>Casa Esperanza Montessori</t>
  </si>
  <si>
    <t>Warren County Schools</t>
  </si>
  <si>
    <t>Haliwa-Saponi Tribal Charter</t>
  </si>
  <si>
    <t>Washington County Schools</t>
  </si>
  <si>
    <t>Henderson Collegiate Charter School</t>
  </si>
  <si>
    <t>Watauga County Schools</t>
  </si>
  <si>
    <t>Two Rivers Community School</t>
  </si>
  <si>
    <t>Wayne County Schools</t>
  </si>
  <si>
    <t>Wayne Community College</t>
  </si>
  <si>
    <t>Wilkes County Schools</t>
  </si>
  <si>
    <t>Pinnacle Classical Academy</t>
  </si>
  <si>
    <t>Wilkes Community College</t>
  </si>
  <si>
    <t>Wilson County Schools</t>
  </si>
  <si>
    <t>Wilson Community College</t>
  </si>
  <si>
    <t>Yadkin County Schools</t>
  </si>
  <si>
    <t>Consolidated Judicial Retirement System</t>
  </si>
  <si>
    <t>Highway - Administrative</t>
  </si>
  <si>
    <t>NC Global TransPark Authority (subset of DOT)</t>
  </si>
  <si>
    <t>NC State Ports Authority (subset of DOT)</t>
  </si>
  <si>
    <t>Legislative Retirement System</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</si>
  <si>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</si>
  <si>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</si>
  <si>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</si>
  <si>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</si>
  <si>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</si>
  <si>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</si>
  <si>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</si>
  <si>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</si>
  <si>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</si>
  <si>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</si>
  <si>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</si>
  <si>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Prior proportional share</t>
  </si>
  <si>
    <t>Current proportional share</t>
  </si>
  <si>
    <t>3XXXX</t>
  </si>
  <si>
    <t>Contributions to plan</t>
  </si>
  <si>
    <t>Total Plan - FYE 2018</t>
  </si>
  <si>
    <t>Deferred Outflow - contributions subsequent to the measurement date</t>
  </si>
  <si>
    <t>Net OPEB Liability BOY</t>
  </si>
  <si>
    <t>Net OPEB Liability EOY</t>
  </si>
  <si>
    <t>OPEB plan contributions</t>
  </si>
  <si>
    <t>Net OPEB Liability</t>
  </si>
  <si>
    <t>K.1</t>
  </si>
  <si>
    <t xml:space="preserve"> K.1 </t>
  </si>
  <si>
    <t>OPEB - Change in Proportion and Differences in Employer Contributions and Proportionate Share of Contributions</t>
  </si>
  <si>
    <t>OPEB - Differences Between Actual and Expected Experience</t>
  </si>
  <si>
    <t>OPEB - Changes in Assumptions</t>
  </si>
  <si>
    <t>OPEB - Net Difference Between Actual and Expected Earnings on Plan Investments</t>
  </si>
  <si>
    <t xml:space="preserve">  K.1  </t>
  </si>
  <si>
    <t>Pensions - Contributions subsequent to measurement date</t>
  </si>
  <si>
    <t>OPEB - Contributions subsequent to the measurement date</t>
  </si>
  <si>
    <t>Proportional Share Of OPEB Expense</t>
  </si>
  <si>
    <t>NO AGENCY CHOSEN</t>
  </si>
  <si>
    <t>DEPARTMENT OF NATURAL AND CULTURAL RESOURCES</t>
  </si>
  <si>
    <t>STATE DIVISION OF HEALTH SERVICES</t>
  </si>
  <si>
    <t>DEPT OF AGRICULTURE &amp; CONSUMER SVCS.</t>
  </si>
  <si>
    <t>UNC-CHAPEL HILL CB1260</t>
  </si>
  <si>
    <t>CLEVELAND COMMUNITY COLLEGE</t>
  </si>
  <si>
    <t>NEW BERN CRAVEN COUNTY BOARD OF EDUCATION</t>
  </si>
  <si>
    <t>INVEST COLLEGIATE CHARTER (DAVIDSON)</t>
  </si>
  <si>
    <t>IREDELL-STATESVILLE SCHOOLS</t>
  </si>
  <si>
    <t>AMERICAN RENAISSANCE MID SCHOOL</t>
  </si>
  <si>
    <t>LEE COUNTY SCHOOLS</t>
  </si>
  <si>
    <t>CORVIAN COMMUNITY CHARTER SCHOOL</t>
  </si>
  <si>
    <t>FERNLEAF COMMUNITY CHARTER</t>
  </si>
  <si>
    <t>NASH COMMUNITY COLLEGE</t>
  </si>
  <si>
    <t>CHAPEL HILL - CARRBORO CITY SCHOOLS</t>
  </si>
  <si>
    <t>WAKE COUNTY PUBLIC SCHOOLS SYSTEM</t>
  </si>
  <si>
    <t>EAST WAKE FIRST ACADEMY</t>
  </si>
  <si>
    <t>Measurement Year Contributions</t>
  </si>
  <si>
    <t>Deferred Outflow - Net Difference Between Projected and Actual Investment Earnings on Plan Investments - All Years</t>
  </si>
  <si>
    <t>OPEB contributions RHBF - Regular instructional services (5100)</t>
  </si>
  <si>
    <t>OPEB contributions RHBF - School leadership services (5400)</t>
  </si>
  <si>
    <t>OPEB contributions RHBF - Co-curricular services (5500)</t>
  </si>
  <si>
    <t>OPEB contributions RHBF - School-based support services (5800)</t>
  </si>
  <si>
    <t>OPEB contributions RHBF - Support and development services (6100)</t>
  </si>
  <si>
    <t>OPEB contributions RHBF - Special pop. support &amp; develop. ser. (6200)</t>
  </si>
  <si>
    <t>OPEB contributions RHBF - Alternative prog. &amp; ser. sup &amp; dev. ser. (6300)</t>
  </si>
  <si>
    <t>OPEB contributions RHBF - Technology support services (6400)</t>
  </si>
  <si>
    <t>OPEB contributions RHBF - Operational support services (6500)</t>
  </si>
  <si>
    <t>OPEB contributions RHBF - Financial &amp; HR services (6600)</t>
  </si>
  <si>
    <t>OPEB contributions RHBF - Accountablilty services (6700)</t>
  </si>
  <si>
    <t>OPEB contributions RHBF - System-wide pupil support services (6800)</t>
  </si>
  <si>
    <t>OPEB contributions RHBF - Policy, leadership &amp; PR services (6900)</t>
  </si>
  <si>
    <t>OPEB contributions RHBF - Ancillary services (7000)</t>
  </si>
  <si>
    <t>OPEB contributions RHBF - Non-programmed charges (8000)</t>
  </si>
  <si>
    <t>DO - contributions RHBF  subsequent to measurement date</t>
  </si>
  <si>
    <t>DO - OPEB contributions (RHBF) subsequent to measurement date</t>
  </si>
  <si>
    <t>OPEB contributions RHBF - Special populations services (5200)</t>
  </si>
  <si>
    <t>OPEB contributions RHBF - Alternative programs and services (5300)</t>
  </si>
  <si>
    <t>DO - OPEB contributions RHBF  subsequent to measurement date</t>
  </si>
  <si>
    <t xml:space="preserve">This worksheet prepares the journal entry to record the entity's proportionate share of the net OPEB liability, OPEB expense, and deferred outflows of the Teachers' and State Employees' Retirement System (TSERS) in accordance with GASB 68, with the exception of the accounting for current year contributions to the TSERS plan.  See H. for accounting for current year contributions to the TSERS plan.
Note:  Rows 23-99 which contain the full accrual journal entry that feeds the journal entry that is presented in Part A have been hidden.  Unhide these rows to view the full accrual journal entry details.  </t>
  </si>
  <si>
    <t>Total Employer OPEB Expense*</t>
  </si>
  <si>
    <t>OPEB Expense - Actuary</t>
  </si>
  <si>
    <t>Governmental Funds - OPEB allocation percentage</t>
  </si>
  <si>
    <t>Enterprise Funds - OPEB allocation percentage</t>
  </si>
  <si>
    <t>Net OPEB Liability/Asset</t>
  </si>
  <si>
    <t>OPEB Expense - Regular instructional services (5100)</t>
  </si>
  <si>
    <t>OPEB Expense - Special populations services (5200)</t>
  </si>
  <si>
    <t>OPEB Expense - Alternative programs and services (5300)</t>
  </si>
  <si>
    <t>OPEB Expense - School leadership services (5400)</t>
  </si>
  <si>
    <t>OPEB Expense - Co-curricular services (5500)</t>
  </si>
  <si>
    <t>OPEB Expense - School-based support services (5800)</t>
  </si>
  <si>
    <t>OPEB Expense - Support and development services (6100)</t>
  </si>
  <si>
    <t>OPEB Expense - Special pop. support &amp; develop. ser. (6200)</t>
  </si>
  <si>
    <t>OPEB Expense - Alternative prog. &amp; ser. sup &amp; dev. ser. (6300)</t>
  </si>
  <si>
    <t>OPEB Expense - Technology support services (6400)</t>
  </si>
  <si>
    <t>OPEB Expense - Operational support services (6500)</t>
  </si>
  <si>
    <t>OPEB Expense - Financial &amp; HR services (6600)</t>
  </si>
  <si>
    <t>OPEB Expense - Accountablilty services (6700)</t>
  </si>
  <si>
    <t>OPEB Expense - System-wide pupil support services (6800)</t>
  </si>
  <si>
    <t>OPEB Expense - Policy, leadership &amp; PR services (6900)</t>
  </si>
  <si>
    <t>OPEB Expense - Ancillary services (7000)</t>
  </si>
  <si>
    <t>OPEB Expense - Non-programmed charges (8000)</t>
  </si>
  <si>
    <t>OPEB Expense DIPNC - Regular instructional services (5100)</t>
  </si>
  <si>
    <t>OPEB Expense DIPNC - Special populations services (5200)</t>
  </si>
  <si>
    <t>OPEB Expense DIPNC - Alternative programs and services (5300)</t>
  </si>
  <si>
    <t>OPEB Expense DIPNC - School leadership services (5400)</t>
  </si>
  <si>
    <t>OPEB Expense DIPNC - Co-curricular services (5500)</t>
  </si>
  <si>
    <t>OPEB Expense DIPNC - School-based support services (5800)</t>
  </si>
  <si>
    <t>OPEB Expense DIPNC - Support and development services (6100)</t>
  </si>
  <si>
    <t>OPEB Expense DIPNC - Special pop. support &amp; develop. ser. (6200)</t>
  </si>
  <si>
    <t>OPEB Expense DIPNC - Alternative prog. &amp; ser. sup &amp; dev. ser. (6300)</t>
  </si>
  <si>
    <t>OPEB Expense DIPNC - Technology support services (6400)</t>
  </si>
  <si>
    <t>OPEB Expense DIPNC - Operational support services (6500)</t>
  </si>
  <si>
    <t>OPEB Expense DIPNC - Financial &amp; HR services (6600)</t>
  </si>
  <si>
    <t>OPEB Expense DIPNC - Accountablilty services (6700)</t>
  </si>
  <si>
    <t>OPEB Expense DIPNC - System-wide pupil support services (6800)</t>
  </si>
  <si>
    <t>OPEB Expense DIPNC - Policy, leadership &amp; PR services (6900)</t>
  </si>
  <si>
    <t>OPEB Expense DIPNC - Ancillary services (7000)</t>
  </si>
  <si>
    <t>OPEB Expense DIPNC - Non-programmed charges (8000)</t>
  </si>
  <si>
    <t>OPEB contributions DIPNC - Regular instructional services (5100)</t>
  </si>
  <si>
    <t>OPEB contributions DIPNC - Special populations services (5200)</t>
  </si>
  <si>
    <t>OPEB contributions DIPNC - Alternative programs and services (5300)</t>
  </si>
  <si>
    <t>OPEB contributions DIPNC - School leadership services (5400)</t>
  </si>
  <si>
    <t>OPEB contributions DIPNC - Co-curricular services (5500)</t>
  </si>
  <si>
    <t>OPEB contributions DIPNC - School-based support services (5800)</t>
  </si>
  <si>
    <t>OPEB contributions DIPNC - Support and development services (6100)</t>
  </si>
  <si>
    <t>OPEB contributions DIPNC - Special pop. support &amp; develop. ser. (6200)</t>
  </si>
  <si>
    <t>OPEB contributions DIPNC - Alternative prog. &amp; ser. sup &amp; dev. ser. (6300)</t>
  </si>
  <si>
    <t>OPEB contributions DIPNC - Technology support services (6400)</t>
  </si>
  <si>
    <t>OPEB contributions DIPNC - Operational support services (6500)</t>
  </si>
  <si>
    <t>OPEB contributions DIPNC - Financial &amp; HR services (6600)</t>
  </si>
  <si>
    <t>OPEB contributions DIPNC - Accountablilty services (6700)</t>
  </si>
  <si>
    <t>OPEB contributions DIPNC - System-wide pupil support services (6800)</t>
  </si>
  <si>
    <t>OPEB contributions DIPNC - Policy, leadership &amp; PR services (6900)</t>
  </si>
  <si>
    <t>OPEB contributions DIPNC - Ancillary services (7000)</t>
  </si>
  <si>
    <t>OPEB contributions DIPNC - Non-programmed charges (8000)</t>
  </si>
  <si>
    <t>GASB 75 Entries - DIPNC</t>
  </si>
  <si>
    <t>Measurement date 06/30/2017</t>
  </si>
  <si>
    <t>Recognition period - 4.00 years</t>
  </si>
  <si>
    <t>Beg Net Pension Liability</t>
  </si>
  <si>
    <t>Ending Net Pension Liability</t>
  </si>
  <si>
    <t>Measurement year contributions</t>
  </si>
  <si>
    <t>Adjustment to Beginning Fund Equity for OPEB Accts</t>
  </si>
  <si>
    <t>L.1</t>
  </si>
  <si>
    <t>Net OPEB Asset</t>
  </si>
  <si>
    <t>L.</t>
  </si>
  <si>
    <t xml:space="preserve">Carolina County Board of Education </t>
  </si>
  <si>
    <t>Entry for Conversion worksheet to record proportionate share of net OPEBs liability, OPEB expense, and deferred outflows and deferred inflows of resources related to OPEBs.  (Entry L1)</t>
  </si>
  <si>
    <t>Net OPEB Obligation</t>
  </si>
  <si>
    <t>Entry for Conversion worksheet to record proportionate share of net OPEBs liability, OPEB expense, and deferred outflows and deferred inflows of resources related to OPEBs.  (Entry K1)</t>
  </si>
  <si>
    <t>Beginning Capital Assets &amp; LTD and Beginning Pension and OPEB Balances</t>
  </si>
  <si>
    <t>Work Section for Conversion entry L1</t>
  </si>
  <si>
    <t>Work Section for Conversion entry K1</t>
  </si>
  <si>
    <t>GASB 75 Entries - RHBF</t>
  </si>
  <si>
    <t>CAROLINA COUNTY BOARD OF EDUCATION</t>
  </si>
  <si>
    <t xml:space="preserve"> K-L </t>
  </si>
  <si>
    <t>Restricted for Net Pension/OPEB Asset</t>
  </si>
  <si>
    <t>Restricted for pensions/OPEB</t>
  </si>
  <si>
    <r>
      <t>Entries from</t>
    </r>
    <r>
      <rPr>
        <b/>
        <sz val="9"/>
        <color indexed="10"/>
        <rFont val="Arial"/>
        <family val="2"/>
      </rPr>
      <t xml:space="preserve"> Worksheets B to H, J, K, and L</t>
    </r>
  </si>
  <si>
    <t>Measurement date 06/30/2018</t>
  </si>
  <si>
    <t>Recognition period - 7 years</t>
  </si>
  <si>
    <t>Beginning Net OPEB Asset</t>
  </si>
  <si>
    <t>Ending Net OPEB Asset</t>
  </si>
  <si>
    <t>NC DEPARTMENT OF MILITARY &amp; VETERANS AFFAIRS</t>
  </si>
  <si>
    <t>THE NORTH CAROLINA LEADERSHIP ACADEMY</t>
  </si>
  <si>
    <t>Total Plan - FYE 2019</t>
  </si>
  <si>
    <t xml:space="preserve">Enter the amount of contributions subsequent to the measurement date for the fiscal year ended June 30, 2019.  </t>
  </si>
  <si>
    <t>Employer Name</t>
  </si>
  <si>
    <t>2018 Contributions</t>
  </si>
  <si>
    <t>Net Pension Liability</t>
  </si>
  <si>
    <t>Net Difference Between Projected and Actual Investment Earnings on Plan Investments</t>
  </si>
  <si>
    <t>6% Sensitivity*</t>
  </si>
  <si>
    <t>8% Sensitivity</t>
  </si>
  <si>
    <t>NC DEPT OF ENVIRONMENTAL QUALITY</t>
  </si>
  <si>
    <t>12200M</t>
  </si>
  <si>
    <t>DEPARTMENT OF HEALTH SERVICES merged with Health and Human Services</t>
  </si>
  <si>
    <t>12220M</t>
  </si>
  <si>
    <t>HEALTH AND HUMAN SVCS merged with 12200</t>
  </si>
  <si>
    <t>HEALTH AND HUMAN SVCS includes Department of Health Services</t>
  </si>
  <si>
    <t>NC BRD OF EXAMINERS OF PRACTICING PSYCOLOGISTS</t>
  </si>
  <si>
    <t>CAPE LOOKOUT MARINE SCIENCE H.S. (inactive)</t>
  </si>
  <si>
    <t>SEGS ACADEMY (inactive)</t>
  </si>
  <si>
    <t>DOWNTOWN MIDDLE (inactive)</t>
  </si>
  <si>
    <t>GRANVILLE COUNTY PUBLIC SCHOOLS</t>
  </si>
  <si>
    <t>LEE COUNTY BOARD OF EDUCATION</t>
  </si>
  <si>
    <t>KINSTON CHARTER ACADEMY (inactive)</t>
  </si>
  <si>
    <t>KENNEDY CHARTER (inactive)</t>
  </si>
  <si>
    <t>PACE ACADEMY (inactive)</t>
  </si>
  <si>
    <t>*  Calculated by SLGFD based on allocation percentage and NPL in valuation report.</t>
  </si>
  <si>
    <t>DEPARTMENT OF HEALTH SERVICES</t>
  </si>
  <si>
    <t xml:space="preserve">HEALTH &amp; HUMAN SVCS </t>
  </si>
  <si>
    <t>FY 2018 (Measurement Year) Total Contributions</t>
  </si>
  <si>
    <t>Agency Num</t>
  </si>
  <si>
    <t>HEALTH AND HUMAN SVCS</t>
  </si>
  <si>
    <t>Enter the amount of contributions subsequent to the measurement date that you recorded as a deferred outflow of resources in your June 30, 2018 financial statement for TSERS</t>
  </si>
  <si>
    <t>`</t>
  </si>
  <si>
    <t>Measurement date 6/30/2018</t>
  </si>
  <si>
    <t>Recognition period:  6 years</t>
  </si>
  <si>
    <t>Sunset Beach</t>
  </si>
  <si>
    <t>Biltmore Forest</t>
  </si>
  <si>
    <t>Black Mountain</t>
  </si>
  <si>
    <t>Forest City</t>
  </si>
  <si>
    <t>Lake Lure</t>
  </si>
  <si>
    <t>Blowing Rock</t>
  </si>
  <si>
    <t>Black Creek</t>
  </si>
  <si>
    <t>North Carolina Department of Military &amp; Veteran Affairs</t>
  </si>
  <si>
    <t>North Carolina Board of Opticians</t>
  </si>
  <si>
    <t>North Carolina Leadership Academy</t>
  </si>
  <si>
    <t>Retiree Health Benefit Trust Fund</t>
  </si>
  <si>
    <t>Schedule of Employer Allocations</t>
  </si>
  <si>
    <t>June 30, 2018</t>
  </si>
  <si>
    <t>Present Value of Future Salary</t>
  </si>
  <si>
    <t>Present Value of Future Salary Allocation</t>
  </si>
  <si>
    <t>June 30, 2017</t>
  </si>
  <si>
    <t>FY 2018 Total Contributions</t>
  </si>
  <si>
    <t>State Education Assistance Authority (subset of UNC Gen. Adm.)</t>
  </si>
  <si>
    <t>CONSOLIDATED JUDICIAL RETIREMENT SYSTEM</t>
  </si>
  <si>
    <t>LEGISLATIVE RETIREMENT SYSTEM OF N C</t>
  </si>
  <si>
    <t>BLADEN COUNTY</t>
  </si>
  <si>
    <t>TOWN OF SUNSET BEACH</t>
  </si>
  <si>
    <t>TOWN OF BILTMORE FOREST</t>
  </si>
  <si>
    <t>TOWN OF BLACK MOUNTAIN</t>
  </si>
  <si>
    <t>RUTHERFORD COUNTY</t>
  </si>
  <si>
    <t>RUTHERFORD POLK MCDOWELL DIST BRD OF HEALTH</t>
  </si>
  <si>
    <t>TOWN OF FOREST CITY</t>
  </si>
  <si>
    <t>TOWN OF LAKE LURE</t>
  </si>
  <si>
    <t>WASHINGTON COUNTY</t>
  </si>
  <si>
    <t>TOWN OF BLOWING ROCK</t>
  </si>
  <si>
    <t>TOWN OF BLACK CREEK</t>
  </si>
  <si>
    <t>2017 Contributions</t>
  </si>
  <si>
    <t>Net OPEB  Asset BOY</t>
  </si>
  <si>
    <t>Net OPEB Asset EOY</t>
  </si>
  <si>
    <t>Accountability services (6700)</t>
  </si>
  <si>
    <t>Share of collective OPEB expense</t>
  </si>
  <si>
    <t>True up OPEB expense</t>
  </si>
  <si>
    <t>Changes of assumptions (DO)</t>
  </si>
  <si>
    <t>Differences between expected and actual experience (DO)</t>
  </si>
  <si>
    <t>Net difference between projected and actual earnings on OPEB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</si>
  <si>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</si>
  <si>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</si>
  <si>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</si>
  <si>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OPEB plan investments (DI)</t>
  </si>
  <si>
    <t>Changes in proportion and differences between employer contributions and proportionate share of contributions (DI)</t>
  </si>
  <si>
    <t>Employer contributions subsequent to measurement date (DO)</t>
  </si>
  <si>
    <t>Net OPEB asset</t>
  </si>
  <si>
    <t xml:space="preserve">  K-L</t>
  </si>
  <si>
    <t>K-L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</si>
</sst>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_);[Red]\(&quot;$&quot;#,##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
    <numFmt numFmtId="167" formatCode="0.00000"/>
    <numFmt numFmtId="168" formatCode="_(* #,##0_);_(* \(#,##0\);_(* &quot;-&quot;????_);_(@_)"/>
    <numFmt numFmtId="169" formatCode="0.000000%"/>
    <numFmt numFmtId="170" formatCode="0.00000%"/>
    <numFmt numFmtId="171" formatCode="_(* #,##0.0_);_(* \(#,##0.0\);_(* &quot;-&quot;??_);_(@_)"/>
    <numFmt numFmtId="172" formatCode="0.0000%"/>
    <numFmt numFmtId="173" formatCode="_(* #,##0.0000000_);_(* \(#,##0.0000000\);_(* &quot;-&quot;??_);_(@_)"/>
    <numFmt numFmtId="174" formatCode="0.0000000%"/>
    <numFmt numFmtId="175" formatCode="_(* #,##0.0_);_(* \(#,##0.0\);_(* &quot;-&quot;?_);_(@_)"/>
  </numFmts>
  <fonts count="10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10"/>
      <name val="Arial"/>
      <family val="2"/>
    </font>
    <font>
      <b/>
      <sz val="10"/>
      <name val="Arial"/>
      <family val="2"/>
    </font>
    <font>
      <sz val="8"/>
      <color indexed="10"/>
      <name val="Arial"/>
      <family val="2"/>
    </font>
    <font>
      <sz val="10"/>
      <name val="Arial"/>
      <family val="2"/>
    </font>
    <font>
      <sz val="8"/>
      <name val="Arial"/>
      <family val="2"/>
    </font>
    <font>
      <sz val="8"/>
      <color indexed="81"/>
      <name val="Tahoma"/>
      <family val="2"/>
    </font>
    <font>
      <b/>
      <sz val="8"/>
      <color indexed="81"/>
      <name val="Tahoma"/>
      <family val="2"/>
    </font>
    <font>
      <b/>
      <sz val="14"/>
      <name val="Arial"/>
      <family val="2"/>
    </font>
    <font>
      <sz val="10"/>
      <color indexed="12"/>
      <name val="Arial"/>
      <family val="2"/>
    </font>
    <font>
      <b/>
      <sz val="10"/>
      <color indexed="10"/>
      <name val="Arial"/>
      <family val="2"/>
    </font>
    <font>
      <i/>
      <sz val="10"/>
      <color indexed="10"/>
      <name val="Arial"/>
      <family val="2"/>
    </font>
    <font>
      <i/>
      <sz val="10"/>
      <name val="Arial"/>
      <family val="2"/>
    </font>
    <font>
      <sz val="12"/>
      <name val="Wingdings 2"/>
      <family val="1"/>
      <charset val="2"/>
    </font>
    <font>
      <b/>
      <sz val="10"/>
      <color indexed="17"/>
      <name val="Arial"/>
      <family val="2"/>
    </font>
    <font>
      <u/>
      <sz val="10"/>
      <name val="Arial"/>
      <family val="2"/>
    </font>
    <font>
      <sz val="11"/>
      <name val="Wingdings 2"/>
      <family val="1"/>
      <charset val="2"/>
    </font>
    <font>
      <b/>
      <sz val="10"/>
      <color indexed="10"/>
      <name val="Comic Sans MS"/>
      <family val="4"/>
    </font>
    <font>
      <i/>
      <sz val="8"/>
      <name val="Arial"/>
      <family val="2"/>
    </font>
    <font>
      <i/>
      <u/>
      <sz val="10"/>
      <name val="Arial"/>
      <family val="2"/>
    </font>
    <font>
      <b/>
      <sz val="12"/>
      <name val="Arial"/>
      <family val="2"/>
    </font>
    <font>
      <b/>
      <sz val="9"/>
      <color indexed="10"/>
      <name val="Arial"/>
      <family val="2"/>
    </font>
    <font>
      <b/>
      <sz val="12"/>
      <name val="Wingdings 2"/>
      <family val="1"/>
      <charset val="2"/>
    </font>
    <font>
      <sz val="9"/>
      <name val="Arial"/>
      <family val="2"/>
    </font>
    <font>
      <sz val="8"/>
      <color indexed="10"/>
      <name val="Comic Sans MS"/>
      <family val="4"/>
    </font>
    <font>
      <b/>
      <sz val="8"/>
      <name val="Arial"/>
      <family val="2"/>
    </font>
    <font>
      <b/>
      <u/>
      <sz val="10"/>
      <color indexed="10"/>
      <name val="Arial"/>
      <family val="2"/>
    </font>
    <font>
      <sz val="10"/>
      <name val="Times New Roman"/>
      <family val="1"/>
    </font>
    <font>
      <b/>
      <sz val="10"/>
      <name val="Times New Roman"/>
      <family val="1"/>
    </font>
    <font>
      <sz val="9"/>
      <name val="Times New Roman"/>
      <family val="1"/>
    </font>
    <font>
      <b/>
      <sz val="8"/>
      <color indexed="10"/>
      <name val="Arial"/>
      <family val="2"/>
    </font>
    <font>
      <sz val="13"/>
      <name val="Wingdings 2"/>
      <family val="1"/>
      <charset val="2"/>
    </font>
    <font>
      <b/>
      <sz val="11"/>
      <name val="Times New Roman"/>
      <family val="1"/>
    </font>
    <font>
      <b/>
      <sz val="7"/>
      <color indexed="10"/>
      <name val="Arial"/>
      <family val="2"/>
    </font>
    <font>
      <b/>
      <u/>
      <sz val="10"/>
      <name val="Arial"/>
      <family val="2"/>
    </font>
    <font>
      <sz val="11"/>
      <name val="Times New Roman"/>
      <family val="1"/>
    </font>
    <font>
      <u/>
      <sz val="10"/>
      <color indexed="10"/>
      <name val="Arial"/>
      <family val="2"/>
    </font>
    <font>
      <sz val="9"/>
      <color indexed="10"/>
      <name val="Arial"/>
      <family val="2"/>
    </font>
    <font>
      <b/>
      <sz val="9"/>
      <name val="Arial"/>
      <family val="2"/>
    </font>
    <font>
      <sz val="11"/>
      <name val="Arial"/>
      <family val="2"/>
    </font>
    <font>
      <b/>
      <sz val="9"/>
      <color indexed="10"/>
      <name val="Times New Roman"/>
      <family val="1"/>
    </font>
    <font>
      <i/>
      <sz val="11"/>
      <name val="Times New Roman"/>
      <family val="1"/>
    </font>
    <font>
      <sz val="8"/>
      <color indexed="10"/>
      <name val="Arial"/>
      <family val="2"/>
    </font>
    <font>
      <b/>
      <i/>
      <sz val="10"/>
      <color indexed="10"/>
      <name val="Arial"/>
      <family val="2"/>
    </font>
    <font>
      <sz val="10"/>
      <name val="Arial"/>
      <family val="2"/>
    </font>
    <font>
      <sz val="10"/>
      <name val="Arial"/>
      <family val="2"/>
    </font>
    <font>
      <b/>
      <sz val="11"/>
      <color theme="1"/>
      <name val="Calibri"/>
      <family val="2"/>
      <scheme val="minor"/>
    </font>
    <font>
      <b/>
      <sz val="11"/>
      <color rgb="FF000000"/>
      <name val="Calibri"/>
      <family val="2"/>
      <scheme val="minor"/>
    </font>
    <font>
      <sz val="10"/>
      <color rgb="FF000000"/>
      <name val="Arial"/>
      <family val="2"/>
    </font>
    <font>
      <sz val="10"/>
      <color rgb="FFFF0000"/>
      <name val="Arial"/>
      <family val="2"/>
    </font>
    <font>
      <b/>
      <i/>
      <sz val="10"/>
      <color rgb="FFFF0000"/>
      <name val="Arial"/>
      <family val="2"/>
    </font>
    <font>
      <b/>
      <sz val="10"/>
      <color rgb="FFFF0000"/>
      <name val="Arial"/>
      <family val="2"/>
    </font>
    <font>
      <sz val="11"/>
      <name val="Calibri"/>
      <family val="2"/>
      <scheme val="minor"/>
    </font>
    <font>
      <b/>
      <sz val="11"/>
      <color rgb="FFFF0000"/>
      <name val="Calibri"/>
      <family val="2"/>
      <scheme val="minor"/>
    </font>
    <font>
      <sz val="11"/>
      <color rgb="FFFF0000"/>
      <name val="Calibri"/>
      <family val="2"/>
      <scheme val="minor"/>
    </font>
    <font>
      <sz val="10"/>
      <color theme="1"/>
      <name val="Arial"/>
      <family val="2"/>
    </font>
    <font>
      <sz val="12"/>
      <name val="Times New Roman"/>
      <family val="1"/>
    </font>
    <font>
      <b/>
      <sz val="12"/>
      <color rgb="FFFF0000"/>
      <name val="Times New Roman"/>
      <family val="1"/>
    </font>
    <font>
      <sz val="10"/>
      <color indexed="8"/>
      <name val="Arial"/>
      <family val="2"/>
    </font>
    <font>
      <b/>
      <sz val="16"/>
      <name val="Times New Roman"/>
      <family val="1"/>
    </font>
    <font>
      <b/>
      <sz val="16"/>
      <name val="Arial"/>
      <family val="2"/>
    </font>
    <font>
      <b/>
      <sz val="12"/>
      <name val="Times New Roman"/>
      <family val="1"/>
    </font>
    <font>
      <sz val="12"/>
      <name val="Arial"/>
      <family val="2"/>
    </font>
    <font>
      <b/>
      <sz val="11"/>
      <name val="Arial"/>
      <family val="2"/>
    </font>
    <font>
      <sz val="10"/>
      <color theme="1"/>
      <name val="Times New Roman"/>
      <family val="1"/>
    </font>
    <font>
      <sz val="9"/>
      <color theme="1"/>
      <name val="Arial"/>
      <family val="2"/>
    </font>
    <font>
      <u/>
      <sz val="12"/>
      <name val="Times New Roman"/>
      <family val="1"/>
    </font>
    <font>
      <b/>
      <sz val="9"/>
      <color indexed="81"/>
      <name val="Tahoma"/>
      <family val="2"/>
    </font>
    <font>
      <sz val="9"/>
      <color indexed="81"/>
      <name val="Tahoma"/>
      <family val="2"/>
    </font>
    <font>
      <b/>
      <sz val="11"/>
      <name val="Calibri"/>
      <family val="2"/>
      <scheme val="minor"/>
    </font>
    <font>
      <sz val="9"/>
      <color indexed="81"/>
      <name val="Tahoma"/>
      <charset val="1"/>
    </font>
    <font>
      <b/>
      <sz val="10"/>
      <name val="Calibri"/>
      <family val="2"/>
    </font>
    <font>
      <sz val="10"/>
      <color theme="1"/>
      <name val="Calibri"/>
      <family val="2"/>
    </font>
    <font>
      <sz val="12"/>
      <name val="Calibri"/>
      <family val="2"/>
    </font>
    <font>
      <b/>
      <sz val="12"/>
      <color rgb="FFFF0000"/>
      <name val="Calibri"/>
      <family val="2"/>
    </font>
    <font>
      <sz val="10"/>
      <color indexed="8"/>
      <name val="Calibri"/>
      <family val="2"/>
    </font>
    <font>
      <sz val="10"/>
      <name val="Calibri"/>
      <family val="2"/>
    </font>
    <font>
      <b/>
      <sz val="11"/>
      <name val="Calibri"/>
      <family val="2"/>
    </font>
    <font>
      <sz val="9"/>
      <color theme="1"/>
      <name val="Calibri"/>
      <family val="2"/>
    </font>
    <font>
      <sz val="9"/>
      <name val="Calibri"/>
      <family val="2"/>
    </font>
    <font>
      <sz val="11"/>
      <color theme="1"/>
      <name val="Calibri"/>
      <family val="2"/>
    </font>
    <font>
      <u/>
      <sz val="12"/>
      <name val="Calibri"/>
      <family val="2"/>
    </font>
    <font>
      <b/>
      <sz val="9"/>
      <color indexed="81"/>
      <name val="Tahoma"/>
      <charset val="1"/>
    </font>
    <font>
      <b/>
      <sz val="16"/>
      <name val="Calibri"/>
      <family val="2"/>
    </font>
    <font>
      <b/>
      <sz val="10"/>
      <color theme="1"/>
      <name val="Calibri"/>
      <family val="2"/>
    </font>
    <font>
      <b/>
      <sz val="9.9499999999999993"/>
      <color indexed="8"/>
      <name val="Calibri"/>
      <family val="2"/>
    </font>
    <font>
      <b/>
      <sz val="12"/>
      <name val="Calibri"/>
      <family val="2"/>
    </font>
    <font>
      <sz val="12"/>
      <color indexed="12"/>
      <name val="Arial"/>
      <family val="2"/>
    </font>
    <font>
      <b/>
      <sz val="9"/>
      <color indexed="8"/>
      <name val="Calibri"/>
      <family val="2"/>
    </font>
    <font>
      <sz val="9"/>
      <color indexed="8"/>
      <name val="Calibri"/>
      <family val="2"/>
    </font>
    <font>
      <b/>
      <sz val="9.85"/>
      <color indexed="8"/>
      <name val="Calibri"/>
      <family val="2"/>
    </font>
    <font>
      <sz val="12"/>
      <color rgb="FFFF0000"/>
      <name val="Calibri"/>
      <family val="2"/>
    </font>
    <font>
      <b/>
      <sz val="18"/>
      <name val="Calibri"/>
      <family val="2"/>
    </font>
    <font>
      <b/>
      <sz val="12"/>
      <color theme="1"/>
      <name val="Calibri"/>
      <family val="2"/>
    </font>
    <font>
      <b/>
      <sz val="11"/>
      <color theme="1"/>
      <name val="Arial"/>
      <family val="2"/>
    </font>
    <font>
      <sz val="11"/>
      <name val="Calibri"/>
      <family val="2"/>
    </font>
    <font>
      <sz val="11"/>
      <color rgb="FF000000"/>
      <name val="Calibri"/>
      <family val="2"/>
      <scheme val="minor"/>
    </font>
  </fonts>
  <fills count="1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45"/>
        <bgColor indexed="64"/>
      </patternFill>
    </fill>
    <fill>
      <patternFill patternType="solid">
        <fgColor indexed="27"/>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FFCC99"/>
        <bgColor rgb="FF000000"/>
      </patternFill>
    </fill>
    <fill>
      <patternFill patternType="solid">
        <fgColor rgb="FFFFFFCC"/>
        <bgColor indexed="64"/>
      </patternFill>
    </fill>
    <fill>
      <patternFill patternType="solid">
        <fgColor theme="0" tint="-0.249977111117893"/>
        <bgColor indexed="64"/>
      </patternFill>
    </fill>
    <fill>
      <patternFill patternType="darkGrid">
        <bgColor indexed="20"/>
      </patternFill>
    </fill>
    <fill>
      <patternFill patternType="solid">
        <fgColor indexed="31"/>
        <bgColor indexed="64"/>
      </patternFill>
    </fill>
  </fills>
  <borders count="43">
    <border>
      <left/>
      <right/>
      <top/>
      <bottom/>
      <diagonal/>
    </border>
    <border>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right style="medium">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medium">
        <color indexed="64"/>
      </right>
      <top style="thin">
        <color indexed="64"/>
      </top>
      <bottom/>
      <diagonal/>
    </border>
    <border>
      <left style="thin">
        <color indexed="64"/>
      </left>
      <right/>
      <top style="medium">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medium">
        <color indexed="64"/>
      </bottom>
      <diagonal/>
    </border>
    <border>
      <left/>
      <right/>
      <top style="double">
        <color indexed="64"/>
      </top>
      <bottom style="double">
        <color indexed="64"/>
      </bottom>
      <diagonal/>
    </border>
  </borders>
  <cellStyleXfs count="40">
    <xf numFmtId="0" fontId="0" fillId="0" borderId="0"/>
    <xf numFmtId="43" fontId="12" fillId="0" borderId="0" applyFont="0" applyFill="0" applyBorder="0" applyAlignment="0" applyProtection="0"/>
    <xf numFmtId="44" fontId="12" fillId="0" borderId="0" applyFont="0" applyFill="0" applyBorder="0" applyAlignment="0" applyProtection="0"/>
    <xf numFmtId="9" fontId="56"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43" fontId="67" fillId="0" borderId="0" applyFont="0" applyFill="0" applyBorder="0" applyAlignment="0" applyProtection="0"/>
    <xf numFmtId="0" fontId="68" fillId="0" borderId="0" applyFill="0" applyBorder="0" applyAlignment="0" applyProtection="0">
      <alignment horizontal="left"/>
    </xf>
    <xf numFmtId="0" fontId="67" fillId="0" borderId="0"/>
    <xf numFmtId="0" fontId="71" fillId="4" borderId="0" applyNumberFormat="0" applyBorder="0">
      <alignment horizontal="centerContinuous"/>
    </xf>
    <xf numFmtId="0" fontId="73" fillId="4" borderId="41" applyNumberFormat="0" applyFont="0" applyBorder="0" applyAlignment="0" applyProtection="0">
      <alignment horizontal="center"/>
    </xf>
    <xf numFmtId="0" fontId="44" fillId="4" borderId="29" applyNumberFormat="0" applyBorder="0">
      <alignment horizontal="center"/>
    </xf>
    <xf numFmtId="0" fontId="9" fillId="0" borderId="0"/>
    <xf numFmtId="9" fontId="9" fillId="0" borderId="0" applyFont="0" applyFill="0" applyBorder="0" applyAlignment="0" applyProtection="0"/>
    <xf numFmtId="43" fontId="9"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9" fontId="67" fillId="0" borderId="0" applyFont="0" applyFill="0" applyBorder="0" applyAlignment="0" applyProtection="0"/>
    <xf numFmtId="9" fontId="4" fillId="0" borderId="0" applyFont="0" applyFill="0" applyBorder="0" applyAlignment="0" applyProtection="0"/>
    <xf numFmtId="38" fontId="99" fillId="0" borderId="0" applyBorder="0">
      <alignment horizontal="right"/>
    </xf>
    <xf numFmtId="10" fontId="99" fillId="0" borderId="0" applyBorder="0">
      <alignment horizontal="right"/>
    </xf>
    <xf numFmtId="0" fontId="68" fillId="17" borderId="0" applyBorder="0"/>
    <xf numFmtId="0" fontId="68" fillId="18" borderId="42" applyNumberFormat="0" applyFont="0" applyBorder="0" applyAlignment="0" applyProtection="0">
      <alignment horizontal="centerContinuous"/>
    </xf>
    <xf numFmtId="0" fontId="4" fillId="0" borderId="0"/>
    <xf numFmtId="0" fontId="3" fillId="0" borderId="0"/>
    <xf numFmtId="43" fontId="3" fillId="0" borderId="0" applyFont="0" applyFill="0" applyBorder="0" applyAlignment="0" applyProtection="0"/>
  </cellStyleXfs>
  <cellXfs count="1264">
    <xf numFmtId="0" fontId="0" fillId="0" borderId="0" xfId="0"/>
    <xf numFmtId="164" fontId="12" fillId="0" borderId="0" xfId="1" applyNumberFormat="1"/>
    <xf numFmtId="0" fontId="13" fillId="0" borderId="0" xfId="0" applyFont="1"/>
    <xf numFmtId="0" fontId="0" fillId="0" borderId="1" xfId="0" applyBorder="1" applyAlignment="1">
      <alignment horizontal="center"/>
    </xf>
    <xf numFmtId="0" fontId="14" fillId="0" borderId="0" xfId="0" applyFont="1"/>
    <xf numFmtId="164" fontId="0" fillId="0" borderId="0" xfId="0" applyNumberFormat="1"/>
    <xf numFmtId="0" fontId="15" fillId="0" borderId="0" xfId="0" applyFont="1"/>
    <xf numFmtId="0" fontId="0" fillId="0" borderId="1" xfId="0" applyBorder="1"/>
    <xf numFmtId="164" fontId="0" fillId="0" borderId="0" xfId="0" applyNumberFormat="1" applyFill="1" applyBorder="1"/>
    <xf numFmtId="164" fontId="12" fillId="0" borderId="0" xfId="1" applyNumberFormat="1" applyBorder="1"/>
    <xf numFmtId="164" fontId="0" fillId="0" borderId="0" xfId="0" applyNumberFormat="1" applyBorder="1"/>
    <xf numFmtId="0" fontId="0" fillId="0" borderId="0" xfId="0" applyFill="1"/>
    <xf numFmtId="0" fontId="0" fillId="0" borderId="0" xfId="0" applyBorder="1"/>
    <xf numFmtId="0" fontId="14" fillId="2" borderId="2" xfId="0" applyFont="1" applyFill="1" applyBorder="1" applyAlignment="1">
      <alignment horizontal="center"/>
    </xf>
    <xf numFmtId="164" fontId="12" fillId="0" borderId="3" xfId="1" applyNumberFormat="1" applyFont="1" applyBorder="1" applyAlignment="1">
      <alignment horizontal="center"/>
    </xf>
    <xf numFmtId="164" fontId="12" fillId="0" borderId="4" xfId="1" applyNumberFormat="1" applyFont="1" applyBorder="1" applyAlignment="1">
      <alignment horizontal="center"/>
    </xf>
    <xf numFmtId="164" fontId="0" fillId="0" borderId="4" xfId="0" applyNumberFormat="1" applyBorder="1" applyAlignment="1">
      <alignment horizontal="center"/>
    </xf>
    <xf numFmtId="0" fontId="0" fillId="0" borderId="4" xfId="0" applyBorder="1" applyAlignment="1">
      <alignment horizontal="center"/>
    </xf>
    <xf numFmtId="164" fontId="16" fillId="0" borderId="5" xfId="1" applyNumberFormat="1" applyFont="1" applyBorder="1" applyAlignment="1">
      <alignment horizontal="center"/>
    </xf>
    <xf numFmtId="164" fontId="16" fillId="0" borderId="6" xfId="1" applyNumberFormat="1" applyFont="1" applyBorder="1" applyAlignment="1">
      <alignment horizontal="center"/>
    </xf>
    <xf numFmtId="164" fontId="12" fillId="0" borderId="7" xfId="1" applyNumberFormat="1" applyBorder="1"/>
    <xf numFmtId="164" fontId="12" fillId="0" borderId="3" xfId="1" applyNumberFormat="1" applyBorder="1"/>
    <xf numFmtId="164" fontId="12" fillId="0" borderId="4" xfId="1" applyNumberFormat="1" applyBorder="1"/>
    <xf numFmtId="0" fontId="0" fillId="0" borderId="0" xfId="0" applyAlignment="1">
      <alignment horizontal="right"/>
    </xf>
    <xf numFmtId="164" fontId="0" fillId="0" borderId="8" xfId="0" applyNumberFormat="1" applyBorder="1"/>
    <xf numFmtId="0" fontId="14" fillId="3" borderId="4" xfId="0" applyFont="1" applyFill="1" applyBorder="1" applyAlignment="1">
      <alignment horizontal="center"/>
    </xf>
    <xf numFmtId="0" fontId="14" fillId="3" borderId="9" xfId="0" applyFont="1" applyFill="1" applyBorder="1"/>
    <xf numFmtId="0" fontId="0" fillId="3" borderId="9" xfId="0" applyFill="1" applyBorder="1"/>
    <xf numFmtId="0" fontId="0" fillId="3" borderId="9" xfId="0" applyFill="1" applyBorder="1" applyAlignment="1">
      <alignment horizontal="center"/>
    </xf>
    <xf numFmtId="0" fontId="14" fillId="3" borderId="10" xfId="0" applyFont="1" applyFill="1" applyBorder="1"/>
    <xf numFmtId="0" fontId="13" fillId="0" borderId="0" xfId="0" applyFont="1" applyFill="1"/>
    <xf numFmtId="164" fontId="12" fillId="0" borderId="0" xfId="1" applyNumberFormat="1" applyFill="1" applyBorder="1"/>
    <xf numFmtId="0" fontId="0" fillId="0" borderId="0" xfId="0" applyFill="1" applyBorder="1"/>
    <xf numFmtId="164" fontId="0" fillId="0" borderId="0" xfId="0" applyNumberFormat="1" applyFill="1"/>
    <xf numFmtId="0" fontId="0" fillId="0" borderId="0" xfId="0" applyAlignment="1">
      <alignment wrapText="1"/>
    </xf>
    <xf numFmtId="0" fontId="0" fillId="0" borderId="0" xfId="0" applyAlignment="1"/>
    <xf numFmtId="164" fontId="0" fillId="0" borderId="0" xfId="1" applyNumberFormat="1" applyFont="1"/>
    <xf numFmtId="0" fontId="14" fillId="0" borderId="0" xfId="0" applyFont="1" applyAlignment="1">
      <alignment horizontal="center"/>
    </xf>
    <xf numFmtId="0" fontId="0" fillId="0" borderId="0" xfId="0" quotePrefix="1"/>
    <xf numFmtId="0" fontId="14" fillId="0" borderId="0" xfId="0" quotePrefix="1" applyFont="1" applyAlignment="1">
      <alignment wrapText="1"/>
    </xf>
    <xf numFmtId="0" fontId="21" fillId="0" borderId="0" xfId="0" applyFont="1"/>
    <xf numFmtId="0" fontId="14" fillId="0" borderId="0" xfId="0" applyFont="1" applyFill="1" applyBorder="1"/>
    <xf numFmtId="0" fontId="0" fillId="0" borderId="0" xfId="0" applyAlignment="1">
      <alignment horizontal="center"/>
    </xf>
    <xf numFmtId="0" fontId="0" fillId="0" borderId="0" xfId="0" applyBorder="1" applyAlignment="1">
      <alignment horizontal="center"/>
    </xf>
    <xf numFmtId="164" fontId="0" fillId="0" borderId="0" xfId="1" applyNumberFormat="1" applyFont="1" applyFill="1" applyBorder="1"/>
    <xf numFmtId="164" fontId="0" fillId="0" borderId="0" xfId="1" applyNumberFormat="1" applyFont="1" applyBorder="1"/>
    <xf numFmtId="0" fontId="14" fillId="0" borderId="1" xfId="0" applyFont="1" applyBorder="1" applyAlignment="1">
      <alignment horizontal="center"/>
    </xf>
    <xf numFmtId="0" fontId="22" fillId="0" borderId="0" xfId="0" applyFont="1"/>
    <xf numFmtId="0" fontId="28" fillId="0" borderId="0" xfId="0" applyFont="1"/>
    <xf numFmtId="165" fontId="0" fillId="0" borderId="0" xfId="2" applyNumberFormat="1" applyFont="1" applyBorder="1"/>
    <xf numFmtId="0" fontId="14" fillId="0" borderId="0" xfId="0" applyFont="1" applyBorder="1" applyAlignment="1">
      <alignment horizontal="center"/>
    </xf>
    <xf numFmtId="165" fontId="0" fillId="0" borderId="1" xfId="2" applyNumberFormat="1" applyFont="1" applyBorder="1" applyAlignment="1">
      <alignment horizontal="center"/>
    </xf>
    <xf numFmtId="0" fontId="0" fillId="0" borderId="0" xfId="0" applyFill="1" applyAlignment="1"/>
    <xf numFmtId="164" fontId="29" fillId="0" borderId="0" xfId="1" applyNumberFormat="1" applyFont="1" applyBorder="1"/>
    <xf numFmtId="0" fontId="14" fillId="0" borderId="0" xfId="0" quotePrefix="1" applyFont="1"/>
    <xf numFmtId="164" fontId="17" fillId="0" borderId="0" xfId="1" applyNumberFormat="1" applyFont="1" applyAlignment="1">
      <alignment horizontal="center"/>
    </xf>
    <xf numFmtId="0" fontId="14" fillId="0" borderId="1" xfId="0" applyFont="1" applyFill="1" applyBorder="1" applyAlignment="1">
      <alignment horizontal="center"/>
    </xf>
    <xf numFmtId="0" fontId="0" fillId="0" borderId="0" xfId="0" applyFill="1" applyAlignment="1">
      <alignment wrapText="1"/>
    </xf>
    <xf numFmtId="0" fontId="0" fillId="0" borderId="1" xfId="0" applyFill="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164" fontId="0" fillId="4" borderId="9" xfId="1" applyNumberFormat="1" applyFont="1" applyFill="1" applyBorder="1"/>
    <xf numFmtId="164" fontId="0" fillId="4" borderId="8" xfId="1" applyNumberFormat="1" applyFont="1" applyFill="1" applyBorder="1"/>
    <xf numFmtId="164" fontId="17" fillId="0" borderId="0" xfId="1" applyNumberFormat="1" applyFont="1" applyFill="1" applyAlignment="1">
      <alignment horizontal="center"/>
    </xf>
    <xf numFmtId="164" fontId="0" fillId="4" borderId="0" xfId="0" applyNumberFormat="1" applyFill="1"/>
    <xf numFmtId="0" fontId="0" fillId="4" borderId="0" xfId="0" applyFill="1"/>
    <xf numFmtId="164" fontId="0" fillId="4" borderId="8" xfId="0" applyNumberFormat="1" applyFill="1" applyBorder="1"/>
    <xf numFmtId="165" fontId="0" fillId="4" borderId="8" xfId="2" applyNumberFormat="1" applyFont="1" applyFill="1" applyBorder="1"/>
    <xf numFmtId="164" fontId="17" fillId="0" borderId="0" xfId="1" applyNumberFormat="1" applyFont="1" applyFill="1" applyBorder="1" applyAlignment="1">
      <alignment horizontal="center"/>
    </xf>
    <xf numFmtId="164" fontId="0" fillId="4" borderId="0" xfId="1" applyNumberFormat="1" applyFont="1" applyFill="1"/>
    <xf numFmtId="164" fontId="12" fillId="4" borderId="0" xfId="1" applyNumberFormat="1" applyFill="1"/>
    <xf numFmtId="164" fontId="0" fillId="4" borderId="13" xfId="1" applyNumberFormat="1" applyFont="1" applyFill="1" applyBorder="1"/>
    <xf numFmtId="164" fontId="0" fillId="4" borderId="13" xfId="0" applyNumberFormat="1" applyFill="1" applyBorder="1"/>
    <xf numFmtId="0" fontId="0" fillId="0" borderId="1" xfId="0" applyBorder="1" applyAlignment="1">
      <alignment horizontal="center" wrapText="1"/>
    </xf>
    <xf numFmtId="0" fontId="25" fillId="0" borderId="0" xfId="0" applyFont="1"/>
    <xf numFmtId="164" fontId="12" fillId="4" borderId="13" xfId="1" applyNumberFormat="1" applyFill="1" applyBorder="1"/>
    <xf numFmtId="164" fontId="12" fillId="4" borderId="8" xfId="1" applyNumberFormat="1" applyFill="1" applyBorder="1"/>
    <xf numFmtId="164" fontId="12" fillId="0" borderId="0" xfId="1" applyNumberFormat="1" applyFill="1"/>
    <xf numFmtId="164" fontId="0" fillId="0" borderId="0" xfId="1" applyNumberFormat="1" applyFont="1" applyFill="1"/>
    <xf numFmtId="0" fontId="0" fillId="4" borderId="14" xfId="0" applyFill="1" applyBorder="1" applyAlignment="1">
      <alignment horizontal="center"/>
    </xf>
    <xf numFmtId="0" fontId="0" fillId="4" borderId="11" xfId="0" applyFill="1" applyBorder="1" applyAlignment="1">
      <alignment horizontal="center"/>
    </xf>
    <xf numFmtId="0" fontId="0" fillId="4" borderId="1" xfId="0" applyFill="1" applyBorder="1" applyAlignment="1">
      <alignment horizontal="center"/>
    </xf>
    <xf numFmtId="0" fontId="0" fillId="0" borderId="0" xfId="0" applyFill="1" applyBorder="1" applyAlignment="1">
      <alignment wrapText="1"/>
    </xf>
    <xf numFmtId="0" fontId="0" fillId="0" borderId="0" xfId="0" applyFill="1" applyBorder="1" applyAlignment="1">
      <alignment horizontal="center"/>
    </xf>
    <xf numFmtId="164" fontId="29" fillId="0" borderId="0" xfId="1" applyNumberFormat="1" applyFont="1" applyFill="1" applyBorder="1"/>
    <xf numFmtId="0" fontId="22" fillId="4" borderId="12" xfId="0" applyFont="1" applyFill="1" applyBorder="1" applyAlignment="1">
      <alignment horizontal="center"/>
    </xf>
    <xf numFmtId="0" fontId="16" fillId="4" borderId="12" xfId="0" applyFont="1" applyFill="1" applyBorder="1" applyAlignment="1">
      <alignment horizontal="center"/>
    </xf>
    <xf numFmtId="0" fontId="22" fillId="4" borderId="11" xfId="0" applyFont="1" applyFill="1" applyBorder="1" applyAlignment="1">
      <alignment horizontal="center"/>
    </xf>
    <xf numFmtId="0" fontId="22" fillId="0" borderId="0" xfId="0" applyFont="1" applyFill="1" applyBorder="1"/>
    <xf numFmtId="0" fontId="22" fillId="0" borderId="0" xfId="0" applyFont="1" applyAlignment="1">
      <alignment horizontal="right"/>
    </xf>
    <xf numFmtId="164" fontId="12" fillId="0" borderId="0" xfId="1" applyNumberFormat="1" applyAlignment="1">
      <alignment horizontal="center"/>
    </xf>
    <xf numFmtId="0" fontId="20" fillId="5" borderId="0" xfId="0" applyFont="1" applyFill="1" applyAlignment="1">
      <alignment horizontal="left"/>
    </xf>
    <xf numFmtId="0" fontId="0" fillId="5" borderId="0" xfId="0" applyFill="1"/>
    <xf numFmtId="164" fontId="12" fillId="0" borderId="1" xfId="1" applyNumberFormat="1" applyBorder="1" applyAlignment="1">
      <alignment horizontal="center"/>
    </xf>
    <xf numFmtId="164" fontId="12" fillId="0" borderId="12" xfId="1" applyNumberFormat="1" applyFont="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164" fontId="0" fillId="0" borderId="15" xfId="1" applyNumberFormat="1" applyFont="1" applyBorder="1"/>
    <xf numFmtId="0" fontId="15" fillId="0" borderId="0" xfId="0" applyFont="1" applyAlignment="1">
      <alignment textRotation="90"/>
    </xf>
    <xf numFmtId="0" fontId="14" fillId="0" borderId="0" xfId="0" applyFont="1" applyAlignment="1"/>
    <xf numFmtId="0" fontId="14" fillId="4" borderId="0" xfId="0" applyFont="1" applyFill="1" applyAlignment="1">
      <alignment horizontal="center"/>
    </xf>
    <xf numFmtId="0" fontId="25" fillId="0" borderId="0" xfId="0" applyFont="1" applyAlignment="1"/>
    <xf numFmtId="0" fontId="24" fillId="0" borderId="0" xfId="0" applyFont="1"/>
    <xf numFmtId="0" fontId="29" fillId="0" borderId="0" xfId="0" applyFont="1" applyAlignment="1">
      <alignment wrapText="1"/>
    </xf>
    <xf numFmtId="0" fontId="0" fillId="0" borderId="0" xfId="0" applyFill="1" applyBorder="1" applyAlignment="1"/>
    <xf numFmtId="0" fontId="37" fillId="0" borderId="0" xfId="0" applyFont="1" applyAlignment="1">
      <alignment horizontal="center" wrapText="1"/>
    </xf>
    <xf numFmtId="0" fontId="35" fillId="0" borderId="0" xfId="0" applyFont="1"/>
    <xf numFmtId="0" fontId="14" fillId="0" borderId="0" xfId="0" applyFont="1" applyFill="1"/>
    <xf numFmtId="164" fontId="16" fillId="0" borderId="0" xfId="1" applyNumberFormat="1" applyFont="1" applyBorder="1"/>
    <xf numFmtId="164" fontId="12" fillId="0" borderId="0" xfId="1" applyNumberFormat="1" applyFont="1" applyBorder="1" applyAlignment="1">
      <alignment horizontal="center"/>
    </xf>
    <xf numFmtId="164" fontId="12" fillId="0" borderId="0" xfId="1" applyNumberFormat="1" applyFill="1" applyBorder="1" applyAlignment="1">
      <alignment horizontal="center"/>
    </xf>
    <xf numFmtId="164" fontId="12" fillId="0" borderId="0" xfId="1" applyNumberFormat="1" applyFont="1" applyFill="1" applyBorder="1" applyAlignment="1">
      <alignment horizontal="center"/>
    </xf>
    <xf numFmtId="164" fontId="12" fillId="0" borderId="1" xfId="1" applyNumberFormat="1" applyFont="1" applyBorder="1" applyAlignment="1">
      <alignment horizontal="center"/>
    </xf>
    <xf numFmtId="164" fontId="12" fillId="0" borderId="1" xfId="1" applyNumberFormat="1" applyFont="1" applyFill="1" applyBorder="1" applyAlignment="1">
      <alignment horizontal="center"/>
    </xf>
    <xf numFmtId="0" fontId="39" fillId="0" borderId="0" xfId="0" applyFont="1"/>
    <xf numFmtId="164" fontId="0" fillId="2" borderId="0" xfId="0" applyNumberFormat="1" applyFill="1" applyBorder="1"/>
    <xf numFmtId="0" fontId="0" fillId="2" borderId="0" xfId="0" applyFill="1" applyBorder="1"/>
    <xf numFmtId="0" fontId="15" fillId="0" borderId="0" xfId="0" applyFont="1" applyBorder="1"/>
    <xf numFmtId="0" fontId="14" fillId="2" borderId="4" xfId="0" applyFont="1" applyFill="1" applyBorder="1" applyAlignment="1">
      <alignment horizontal="center"/>
    </xf>
    <xf numFmtId="0" fontId="0" fillId="3" borderId="6" xfId="0" applyFill="1" applyBorder="1"/>
    <xf numFmtId="0" fontId="14" fillId="3" borderId="2" xfId="0" applyFont="1" applyFill="1" applyBorder="1" applyAlignment="1">
      <alignment horizontal="center"/>
    </xf>
    <xf numFmtId="0" fontId="0" fillId="0" borderId="0" xfId="0" applyAlignment="1">
      <alignment horizontal="left" indent="1"/>
    </xf>
    <xf numFmtId="164" fontId="16" fillId="0" borderId="0" xfId="1" applyNumberFormat="1" applyFont="1" applyBorder="1" applyAlignment="1">
      <alignment horizontal="center"/>
    </xf>
    <xf numFmtId="0" fontId="17" fillId="2" borderId="16" xfId="0" applyFont="1" applyFill="1" applyBorder="1" applyAlignment="1"/>
    <xf numFmtId="0" fontId="0" fillId="4" borderId="1" xfId="0" applyFill="1" applyBorder="1"/>
    <xf numFmtId="164" fontId="14" fillId="3" borderId="4" xfId="0" applyNumberFormat="1" applyFont="1" applyFill="1" applyBorder="1" applyAlignment="1">
      <alignment horizontal="center"/>
    </xf>
    <xf numFmtId="0" fontId="16" fillId="0" borderId="0" xfId="0" applyFont="1"/>
    <xf numFmtId="164" fontId="25" fillId="0" borderId="0" xfId="1" applyNumberFormat="1" applyFont="1" applyBorder="1" applyAlignment="1">
      <alignment horizontal="left"/>
    </xf>
    <xf numFmtId="164" fontId="25" fillId="0" borderId="0" xfId="1" applyNumberFormat="1" applyFont="1" applyBorder="1" applyAlignment="1">
      <alignment horizontal="right"/>
    </xf>
    <xf numFmtId="0" fontId="0" fillId="0" borderId="17" xfId="0" applyBorder="1" applyAlignment="1">
      <alignment horizontal="center"/>
    </xf>
    <xf numFmtId="0" fontId="0" fillId="0" borderId="18"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0" fillId="0" borderId="1" xfId="0" applyFill="1" applyBorder="1"/>
    <xf numFmtId="0" fontId="0" fillId="4" borderId="19" xfId="0" applyFill="1" applyBorder="1" applyAlignment="1">
      <alignment horizontal="center"/>
    </xf>
    <xf numFmtId="0" fontId="35" fillId="3" borderId="3" xfId="0" applyFont="1" applyFill="1" applyBorder="1" applyAlignment="1">
      <alignment horizontal="center"/>
    </xf>
    <xf numFmtId="0" fontId="35" fillId="3" borderId="4" xfId="0" applyFont="1" applyFill="1" applyBorder="1" applyAlignment="1">
      <alignment horizontal="center"/>
    </xf>
    <xf numFmtId="164" fontId="0" fillId="0" borderId="20" xfId="1" applyNumberFormat="1" applyFont="1" applyBorder="1"/>
    <xf numFmtId="164" fontId="0" fillId="0" borderId="20" xfId="1" applyNumberFormat="1" applyFont="1" applyFill="1" applyBorder="1"/>
    <xf numFmtId="164" fontId="16" fillId="0" borderId="7" xfId="1" applyNumberFormat="1" applyFont="1" applyBorder="1" applyAlignment="1">
      <alignment horizontal="center"/>
    </xf>
    <xf numFmtId="164" fontId="15" fillId="0" borderId="0" xfId="1" applyNumberFormat="1" applyFont="1" applyBorder="1" applyAlignment="1">
      <alignment horizontal="right" wrapText="1"/>
    </xf>
    <xf numFmtId="164" fontId="25" fillId="0" borderId="0" xfId="1" applyNumberFormat="1" applyFont="1" applyBorder="1" applyAlignment="1"/>
    <xf numFmtId="41" fontId="0" fillId="4" borderId="8" xfId="0" applyNumberFormat="1" applyFill="1" applyBorder="1"/>
    <xf numFmtId="0" fontId="35" fillId="0" borderId="0" xfId="0" applyFont="1" applyAlignment="1">
      <alignment horizontal="center"/>
    </xf>
    <xf numFmtId="0" fontId="33" fillId="0" borderId="0" xfId="0" applyFont="1" applyAlignment="1">
      <alignment horizontal="center"/>
    </xf>
    <xf numFmtId="164" fontId="12" fillId="0" borderId="0" xfId="1" applyNumberFormat="1" applyBorder="1" applyAlignment="1">
      <alignment horizontal="right"/>
    </xf>
    <xf numFmtId="164" fontId="25" fillId="0" borderId="0" xfId="1" applyNumberFormat="1" applyFont="1" applyBorder="1" applyAlignment="1">
      <alignment horizontal="center"/>
    </xf>
    <xf numFmtId="0" fontId="16" fillId="0" borderId="0" xfId="0" applyFont="1" applyAlignment="1">
      <alignment horizontal="center"/>
    </xf>
    <xf numFmtId="164" fontId="43" fillId="0" borderId="0" xfId="1" applyNumberFormat="1" applyFont="1" applyBorder="1" applyAlignment="1">
      <alignment horizontal="center"/>
    </xf>
    <xf numFmtId="0" fontId="44" fillId="0" borderId="0" xfId="0" applyFont="1"/>
    <xf numFmtId="164" fontId="14" fillId="3" borderId="4" xfId="1" applyNumberFormat="1" applyFont="1" applyFill="1" applyBorder="1" applyAlignment="1">
      <alignment horizontal="center"/>
    </xf>
    <xf numFmtId="164" fontId="0" fillId="0" borderId="0" xfId="1" applyNumberFormat="1" applyFont="1" applyAlignment="1">
      <alignment wrapText="1"/>
    </xf>
    <xf numFmtId="164" fontId="0" fillId="3" borderId="21" xfId="1" applyNumberFormat="1" applyFont="1" applyFill="1" applyBorder="1"/>
    <xf numFmtId="164" fontId="14" fillId="3" borderId="2" xfId="1" applyNumberFormat="1" applyFont="1" applyFill="1" applyBorder="1" applyAlignment="1">
      <alignment horizontal="center"/>
    </xf>
    <xf numFmtId="164" fontId="0" fillId="0" borderId="6" xfId="1" applyNumberFormat="1" applyFont="1" applyBorder="1"/>
    <xf numFmtId="164" fontId="0" fillId="0" borderId="4" xfId="1" applyNumberFormat="1" applyFont="1" applyBorder="1"/>
    <xf numFmtId="164" fontId="0" fillId="3" borderId="6" xfId="1" applyNumberFormat="1" applyFont="1" applyFill="1" applyBorder="1"/>
    <xf numFmtId="0" fontId="35" fillId="3" borderId="6" xfId="0" applyFont="1" applyFill="1" applyBorder="1" applyAlignment="1">
      <alignment horizontal="center"/>
    </xf>
    <xf numFmtId="0" fontId="35" fillId="3" borderId="5" xfId="0" applyFont="1" applyFill="1" applyBorder="1" applyAlignment="1">
      <alignment horizontal="center"/>
    </xf>
    <xf numFmtId="0" fontId="16" fillId="0" borderId="0" xfId="0" applyFont="1" applyAlignment="1">
      <alignment horizontal="left" vertical="center"/>
    </xf>
    <xf numFmtId="41" fontId="0" fillId="0" borderId="4" xfId="0" applyNumberFormat="1" applyBorder="1" applyAlignment="1">
      <alignment horizontal="center"/>
    </xf>
    <xf numFmtId="41" fontId="0" fillId="0" borderId="0" xfId="0" applyNumberFormat="1" applyFill="1" applyBorder="1"/>
    <xf numFmtId="41" fontId="0" fillId="0" borderId="0" xfId="0" applyNumberFormat="1"/>
    <xf numFmtId="0" fontId="0" fillId="0" borderId="0" xfId="0" quotePrefix="1" applyAlignment="1">
      <alignment horizontal="left"/>
    </xf>
    <xf numFmtId="0" fontId="15" fillId="0" borderId="0" xfId="0" applyFont="1" applyAlignment="1">
      <alignment wrapText="1"/>
    </xf>
    <xf numFmtId="0" fontId="0" fillId="0" borderId="0" xfId="0" applyAlignment="1">
      <alignment vertical="top"/>
    </xf>
    <xf numFmtId="0" fontId="0" fillId="0" borderId="0" xfId="0" applyAlignment="1">
      <alignment vertical="top" wrapText="1"/>
    </xf>
    <xf numFmtId="164" fontId="12" fillId="4" borderId="0" xfId="1" applyNumberFormat="1" applyFill="1" applyBorder="1"/>
    <xf numFmtId="0" fontId="16" fillId="0" borderId="0" xfId="0" applyFont="1" applyBorder="1" applyAlignment="1">
      <alignment horizontal="center"/>
    </xf>
    <xf numFmtId="164" fontId="0" fillId="0" borderId="0" xfId="1" applyNumberFormat="1" applyFont="1" applyFill="1" applyBorder="1" applyAlignment="1"/>
    <xf numFmtId="0" fontId="0" fillId="0" borderId="0" xfId="0" quotePrefix="1" applyAlignment="1">
      <alignment vertical="top"/>
    </xf>
    <xf numFmtId="0" fontId="35" fillId="4" borderId="1" xfId="0" applyFont="1" applyFill="1" applyBorder="1" applyAlignment="1">
      <alignment horizontal="center" wrapText="1"/>
    </xf>
    <xf numFmtId="164" fontId="0" fillId="0" borderId="1" xfId="1" applyNumberFormat="1" applyFont="1" applyBorder="1"/>
    <xf numFmtId="164" fontId="17" fillId="2" borderId="16" xfId="1" applyNumberFormat="1" applyFont="1" applyFill="1" applyBorder="1" applyAlignment="1"/>
    <xf numFmtId="164" fontId="12" fillId="2" borderId="22" xfId="1" applyNumberFormat="1" applyFill="1" applyBorder="1"/>
    <xf numFmtId="164" fontId="12" fillId="2" borderId="4" xfId="1" applyNumberFormat="1" applyFill="1" applyBorder="1"/>
    <xf numFmtId="164" fontId="0" fillId="2" borderId="4" xfId="0" applyNumberFormat="1" applyFill="1" applyBorder="1"/>
    <xf numFmtId="41" fontId="0" fillId="2" borderId="4" xfId="0" applyNumberFormat="1" applyFill="1" applyBorder="1"/>
    <xf numFmtId="164" fontId="0" fillId="2" borderId="23" xfId="0" applyNumberFormat="1" applyFill="1" applyBorder="1"/>
    <xf numFmtId="164" fontId="16" fillId="2" borderId="4" xfId="0" applyNumberFormat="1" applyFont="1" applyFill="1" applyBorder="1"/>
    <xf numFmtId="164" fontId="0" fillId="2" borderId="0" xfId="0" applyNumberFormat="1" applyFill="1"/>
    <xf numFmtId="0" fontId="0" fillId="2" borderId="24" xfId="0" applyFill="1" applyBorder="1" applyAlignment="1"/>
    <xf numFmtId="0" fontId="0" fillId="2" borderId="25" xfId="0" applyFill="1" applyBorder="1" applyAlignment="1"/>
    <xf numFmtId="0" fontId="0" fillId="2" borderId="16" xfId="0" applyFill="1" applyBorder="1" applyAlignment="1"/>
    <xf numFmtId="0" fontId="0" fillId="6" borderId="0" xfId="0" applyFill="1"/>
    <xf numFmtId="164" fontId="0" fillId="6" borderId="0" xfId="1" applyNumberFormat="1" applyFont="1" applyFill="1" applyBorder="1"/>
    <xf numFmtId="164" fontId="0" fillId="6" borderId="20" xfId="1" applyNumberFormat="1" applyFont="1" applyFill="1" applyBorder="1"/>
    <xf numFmtId="164" fontId="0" fillId="6" borderId="0" xfId="1" applyNumberFormat="1" applyFont="1" applyFill="1"/>
    <xf numFmtId="0" fontId="15" fillId="0" borderId="0" xfId="0" applyFont="1" applyAlignment="1">
      <alignment vertical="center" textRotation="90"/>
    </xf>
    <xf numFmtId="164" fontId="16" fillId="4" borderId="0" xfId="0" applyNumberFormat="1" applyFont="1" applyFill="1" applyAlignment="1">
      <alignment horizontal="center"/>
    </xf>
    <xf numFmtId="164" fontId="14" fillId="4" borderId="0" xfId="1" applyNumberFormat="1" applyFont="1" applyFill="1" applyBorder="1" applyAlignment="1">
      <alignment horizontal="center"/>
    </xf>
    <xf numFmtId="164" fontId="14" fillId="4" borderId="4" xfId="1" applyNumberFormat="1" applyFont="1" applyFill="1" applyBorder="1" applyAlignment="1">
      <alignment horizontal="center"/>
    </xf>
    <xf numFmtId="164" fontId="0" fillId="4" borderId="0" xfId="1" applyNumberFormat="1" applyFont="1" applyFill="1" applyBorder="1"/>
    <xf numFmtId="164" fontId="17" fillId="0" borderId="17" xfId="1" applyNumberFormat="1" applyFont="1" applyFill="1" applyBorder="1"/>
    <xf numFmtId="164" fontId="17" fillId="0" borderId="0" xfId="1" applyNumberFormat="1" applyFont="1" applyFill="1" applyBorder="1"/>
    <xf numFmtId="164" fontId="17" fillId="0" borderId="22" xfId="1" applyNumberFormat="1" applyFont="1" applyFill="1" applyBorder="1"/>
    <xf numFmtId="164" fontId="17" fillId="0" borderId="4" xfId="1" applyNumberFormat="1" applyFont="1" applyFill="1" applyBorder="1"/>
    <xf numFmtId="165" fontId="0" fillId="0" borderId="0" xfId="0" applyNumberFormat="1"/>
    <xf numFmtId="41" fontId="0" fillId="4" borderId="9" xfId="0" applyNumberFormat="1" applyFill="1" applyBorder="1"/>
    <xf numFmtId="164" fontId="0" fillId="0" borderId="0" xfId="1" applyNumberFormat="1" applyFont="1" applyFill="1" applyAlignment="1">
      <alignment wrapText="1"/>
    </xf>
    <xf numFmtId="164" fontId="22" fillId="0" borderId="0" xfId="1" applyNumberFormat="1" applyFont="1" applyFill="1"/>
    <xf numFmtId="164" fontId="0" fillId="0" borderId="0" xfId="1" applyNumberFormat="1" applyFont="1" applyFill="1" applyAlignment="1"/>
    <xf numFmtId="0" fontId="0" fillId="0" borderId="0" xfId="0" quotePrefix="1" applyAlignment="1">
      <alignment vertical="center"/>
    </xf>
    <xf numFmtId="0" fontId="14" fillId="6" borderId="0" xfId="0" applyFont="1" applyFill="1"/>
    <xf numFmtId="0" fontId="14" fillId="4" borderId="3" xfId="0" applyFont="1" applyFill="1" applyBorder="1" applyAlignment="1">
      <alignment horizontal="center"/>
    </xf>
    <xf numFmtId="0" fontId="14" fillId="4" borderId="2" xfId="0" applyFont="1" applyFill="1" applyBorder="1" applyAlignment="1">
      <alignment horizontal="center"/>
    </xf>
    <xf numFmtId="164" fontId="0" fillId="0" borderId="2" xfId="1" applyNumberFormat="1" applyFont="1" applyFill="1" applyBorder="1"/>
    <xf numFmtId="0" fontId="14" fillId="0" borderId="0" xfId="0" applyFont="1" applyAlignment="1">
      <alignment horizontal="left" indent="1"/>
    </xf>
    <xf numFmtId="164" fontId="0" fillId="2" borderId="16" xfId="0" applyNumberFormat="1" applyFill="1" applyBorder="1"/>
    <xf numFmtId="164" fontId="12" fillId="0" borderId="7" xfId="1" applyNumberFormat="1" applyBorder="1" applyProtection="1">
      <protection locked="0"/>
    </xf>
    <xf numFmtId="164" fontId="12" fillId="0" borderId="0" xfId="1" applyNumberFormat="1" applyBorder="1" applyProtection="1">
      <protection locked="0"/>
    </xf>
    <xf numFmtId="164" fontId="12" fillId="0" borderId="7" xfId="1" applyNumberFormat="1" applyFill="1" applyBorder="1" applyProtection="1">
      <protection locked="0"/>
    </xf>
    <xf numFmtId="164" fontId="12" fillId="0" borderId="0" xfId="1" applyNumberFormat="1" applyFill="1" applyBorder="1" applyProtection="1">
      <protection locked="0"/>
    </xf>
    <xf numFmtId="164" fontId="12" fillId="6" borderId="7" xfId="1" applyNumberFormat="1" applyFill="1" applyBorder="1" applyProtection="1">
      <protection locked="0"/>
    </xf>
    <xf numFmtId="164" fontId="12" fillId="6" borderId="0" xfId="1" applyNumberFormat="1" applyFill="1" applyBorder="1" applyProtection="1">
      <protection locked="0"/>
    </xf>
    <xf numFmtId="0" fontId="0" fillId="0" borderId="0" xfId="0" applyProtection="1">
      <protection locked="0"/>
    </xf>
    <xf numFmtId="0" fontId="0" fillId="0" borderId="0" xfId="0" applyFill="1" applyBorder="1" applyProtection="1">
      <protection locked="0"/>
    </xf>
    <xf numFmtId="0" fontId="0" fillId="6" borderId="0" xfId="0" applyFill="1" applyProtection="1">
      <protection locked="0"/>
    </xf>
    <xf numFmtId="164" fontId="0" fillId="0" borderId="0" xfId="1" applyNumberFormat="1" applyFont="1" applyBorder="1" applyProtection="1">
      <protection locked="0"/>
    </xf>
    <xf numFmtId="164" fontId="0" fillId="0" borderId="20" xfId="1" applyNumberFormat="1" applyFont="1" applyBorder="1" applyProtection="1">
      <protection locked="0"/>
    </xf>
    <xf numFmtId="164" fontId="0" fillId="0" borderId="0" xfId="1" applyNumberFormat="1" applyFont="1" applyFill="1" applyBorder="1" applyProtection="1">
      <protection locked="0"/>
    </xf>
    <xf numFmtId="164" fontId="0" fillId="0" borderId="20" xfId="1" applyNumberFormat="1" applyFont="1" applyFill="1" applyBorder="1" applyProtection="1">
      <protection locked="0"/>
    </xf>
    <xf numFmtId="164" fontId="0" fillId="6" borderId="0" xfId="1" applyNumberFormat="1" applyFont="1" applyFill="1" applyBorder="1" applyProtection="1">
      <protection locked="0"/>
    </xf>
    <xf numFmtId="164" fontId="0" fillId="6" borderId="20" xfId="1" applyNumberFormat="1" applyFont="1" applyFill="1" applyBorder="1" applyProtection="1">
      <protection locked="0"/>
    </xf>
    <xf numFmtId="0" fontId="17" fillId="2" borderId="0" xfId="0" applyFont="1" applyFill="1" applyBorder="1" applyAlignment="1">
      <alignment horizontal="left"/>
    </xf>
    <xf numFmtId="0" fontId="17" fillId="2" borderId="0" xfId="0" applyFont="1" applyFill="1" applyBorder="1" applyAlignment="1">
      <alignment horizontal="center"/>
    </xf>
    <xf numFmtId="164" fontId="0" fillId="2" borderId="17" xfId="0" applyNumberFormat="1" applyFill="1" applyBorder="1"/>
    <xf numFmtId="0" fontId="0" fillId="0" borderId="0" xfId="0" applyFill="1" applyProtection="1">
      <protection locked="0"/>
    </xf>
    <xf numFmtId="164" fontId="0" fillId="2" borderId="0" xfId="1" applyNumberFormat="1" applyFont="1" applyFill="1" applyProtection="1">
      <protection locked="0"/>
    </xf>
    <xf numFmtId="164" fontId="0" fillId="2" borderId="0" xfId="1" applyNumberFormat="1" applyFont="1" applyFill="1" applyBorder="1" applyProtection="1">
      <protection locked="0"/>
    </xf>
    <xf numFmtId="41" fontId="0" fillId="2" borderId="0" xfId="1" applyNumberFormat="1" applyFont="1" applyFill="1" applyProtection="1">
      <protection locked="0"/>
    </xf>
    <xf numFmtId="41" fontId="0" fillId="2" borderId="0" xfId="0" applyNumberFormat="1" applyFill="1" applyProtection="1">
      <protection locked="0"/>
    </xf>
    <xf numFmtId="164" fontId="0" fillId="2" borderId="1" xfId="1" applyNumberFormat="1" applyFont="1" applyFill="1" applyBorder="1" applyProtection="1">
      <protection locked="0"/>
    </xf>
    <xf numFmtId="0" fontId="0" fillId="2" borderId="0" xfId="0" applyFill="1" applyProtection="1">
      <protection locked="0"/>
    </xf>
    <xf numFmtId="164" fontId="12" fillId="2" borderId="0" xfId="1" applyNumberFormat="1" applyFill="1" applyProtection="1">
      <protection locked="0"/>
    </xf>
    <xf numFmtId="164" fontId="12" fillId="2" borderId="0" xfId="1" applyNumberFormat="1" applyFill="1" applyBorder="1" applyProtection="1">
      <protection locked="0"/>
    </xf>
    <xf numFmtId="164" fontId="12" fillId="0" borderId="16" xfId="1" applyNumberFormat="1" applyFill="1" applyBorder="1"/>
    <xf numFmtId="164" fontId="0" fillId="2" borderId="0" xfId="1" applyNumberFormat="1" applyFont="1" applyFill="1" applyBorder="1" applyAlignment="1" applyProtection="1">
      <protection locked="0"/>
    </xf>
    <xf numFmtId="164" fontId="12" fillId="2" borderId="1" xfId="1" applyNumberFormat="1" applyFill="1" applyBorder="1" applyProtection="1">
      <protection locked="0"/>
    </xf>
    <xf numFmtId="164" fontId="0" fillId="2" borderId="0" xfId="1" applyNumberFormat="1" applyFont="1" applyFill="1" applyAlignment="1" applyProtection="1">
      <protection locked="0"/>
    </xf>
    <xf numFmtId="49" fontId="14" fillId="0" borderId="0" xfId="0" applyNumberFormat="1" applyFont="1" applyAlignment="1">
      <alignment wrapText="1"/>
    </xf>
    <xf numFmtId="164" fontId="12" fillId="6" borderId="0" xfId="1" applyNumberFormat="1" applyFont="1" applyFill="1" applyBorder="1" applyProtection="1">
      <protection locked="0"/>
    </xf>
    <xf numFmtId="164" fontId="12" fillId="0" borderId="0" xfId="1" applyNumberFormat="1" applyFont="1" applyBorder="1" applyProtection="1">
      <protection locked="0"/>
    </xf>
    <xf numFmtId="164" fontId="12" fillId="0" borderId="0" xfId="1" applyNumberFormat="1" applyFont="1" applyFill="1" applyBorder="1" applyProtection="1">
      <protection locked="0"/>
    </xf>
    <xf numFmtId="0" fontId="13" fillId="0" borderId="0" xfId="0" applyFont="1" applyAlignment="1">
      <alignment horizontal="right"/>
    </xf>
    <xf numFmtId="0" fontId="17" fillId="0" borderId="0" xfId="0" applyFont="1"/>
    <xf numFmtId="0" fontId="0" fillId="0" borderId="1" xfId="0" applyBorder="1" applyAlignment="1">
      <alignment wrapText="1"/>
    </xf>
    <xf numFmtId="164" fontId="0" fillId="0" borderId="0" xfId="1" applyNumberFormat="1" applyFont="1" applyBorder="1" applyAlignment="1">
      <alignment horizontal="center"/>
    </xf>
    <xf numFmtId="164" fontId="0" fillId="2" borderId="17" xfId="1" applyNumberFormat="1" applyFont="1" applyFill="1" applyBorder="1" applyProtection="1">
      <protection locked="0"/>
    </xf>
    <xf numFmtId="164" fontId="0" fillId="2" borderId="11" xfId="1" applyNumberFormat="1" applyFont="1" applyFill="1" applyBorder="1" applyProtection="1">
      <protection locked="0"/>
    </xf>
    <xf numFmtId="164" fontId="0" fillId="0" borderId="1" xfId="1" applyNumberFormat="1" applyFont="1" applyFill="1" applyBorder="1"/>
    <xf numFmtId="164" fontId="0" fillId="4" borderId="1" xfId="1" applyNumberFormat="1" applyFont="1" applyFill="1" applyBorder="1"/>
    <xf numFmtId="164" fontId="0" fillId="4" borderId="26" xfId="1" applyNumberFormat="1" applyFont="1" applyFill="1" applyBorder="1"/>
    <xf numFmtId="164" fontId="0" fillId="4" borderId="27" xfId="1" applyNumberFormat="1" applyFont="1" applyFill="1" applyBorder="1"/>
    <xf numFmtId="164" fontId="0" fillId="0" borderId="8" xfId="1" applyNumberFormat="1" applyFont="1" applyBorder="1"/>
    <xf numFmtId="164" fontId="0" fillId="0" borderId="17" xfId="1" applyNumberFormat="1" applyFont="1" applyBorder="1"/>
    <xf numFmtId="164" fontId="0" fillId="0" borderId="26" xfId="1" applyNumberFormat="1" applyFont="1" applyBorder="1"/>
    <xf numFmtId="164" fontId="0" fillId="0" borderId="28" xfId="1" applyNumberFormat="1" applyFont="1" applyBorder="1"/>
    <xf numFmtId="164" fontId="0" fillId="0" borderId="8" xfId="1" applyNumberFormat="1" applyFont="1" applyFill="1" applyBorder="1"/>
    <xf numFmtId="164" fontId="0" fillId="0" borderId="0" xfId="1" applyNumberFormat="1" applyFont="1" applyAlignment="1">
      <alignment horizontal="center"/>
    </xf>
    <xf numFmtId="164" fontId="0" fillId="0" borderId="0" xfId="1" applyNumberFormat="1" applyFont="1" applyAlignment="1">
      <alignment horizontal="left"/>
    </xf>
    <xf numFmtId="164" fontId="0" fillId="0" borderId="5" xfId="1" applyNumberFormat="1" applyFont="1" applyBorder="1"/>
    <xf numFmtId="164" fontId="0" fillId="0" borderId="21" xfId="1" applyNumberFormat="1" applyFont="1" applyBorder="1"/>
    <xf numFmtId="164" fontId="35" fillId="0" borderId="6" xfId="1" applyNumberFormat="1" applyFont="1" applyBorder="1" applyAlignment="1">
      <alignment horizontal="center"/>
    </xf>
    <xf numFmtId="164" fontId="35" fillId="0" borderId="7" xfId="1" applyNumberFormat="1" applyFont="1" applyBorder="1" applyAlignment="1">
      <alignment horizontal="center"/>
    </xf>
    <xf numFmtId="164" fontId="35" fillId="0" borderId="0" xfId="1" applyNumberFormat="1" applyFont="1" applyBorder="1" applyAlignment="1">
      <alignment horizontal="center"/>
    </xf>
    <xf numFmtId="164" fontId="0" fillId="4" borderId="5" xfId="1" applyNumberFormat="1" applyFont="1" applyFill="1" applyBorder="1"/>
    <xf numFmtId="164" fontId="0" fillId="4" borderId="21" xfId="1" applyNumberFormat="1" applyFont="1" applyFill="1" applyBorder="1"/>
    <xf numFmtId="164" fontId="0" fillId="4" borderId="6" xfId="1" applyNumberFormat="1" applyFont="1" applyFill="1" applyBorder="1"/>
    <xf numFmtId="164" fontId="0" fillId="0" borderId="7" xfId="1" applyNumberFormat="1" applyFont="1" applyBorder="1"/>
    <xf numFmtId="164" fontId="0" fillId="4" borderId="7" xfId="1" applyNumberFormat="1" applyFont="1" applyFill="1" applyBorder="1"/>
    <xf numFmtId="164" fontId="0" fillId="4" borderId="20" xfId="1" applyNumberFormat="1" applyFont="1" applyFill="1" applyBorder="1"/>
    <xf numFmtId="164" fontId="0" fillId="0" borderId="7" xfId="1" applyNumberFormat="1" applyFont="1" applyBorder="1" applyProtection="1">
      <protection locked="0"/>
    </xf>
    <xf numFmtId="164" fontId="0" fillId="0" borderId="7" xfId="1" applyNumberFormat="1" applyFont="1" applyFill="1" applyBorder="1"/>
    <xf numFmtId="164" fontId="35" fillId="0" borderId="0" xfId="1" applyNumberFormat="1" applyFont="1" applyFill="1" applyBorder="1" applyAlignment="1">
      <alignment horizontal="center"/>
    </xf>
    <xf numFmtId="164" fontId="35" fillId="0" borderId="7" xfId="1" applyNumberFormat="1" applyFont="1" applyFill="1" applyBorder="1" applyAlignment="1">
      <alignment horizontal="center"/>
    </xf>
    <xf numFmtId="164" fontId="0" fillId="6" borderId="7" xfId="1" applyNumberFormat="1" applyFont="1" applyFill="1" applyBorder="1"/>
    <xf numFmtId="164" fontId="35" fillId="6" borderId="0" xfId="1" applyNumberFormat="1" applyFont="1" applyFill="1" applyBorder="1" applyAlignment="1">
      <alignment horizontal="center"/>
    </xf>
    <xf numFmtId="164" fontId="35" fillId="6" borderId="7" xfId="1" applyNumberFormat="1" applyFont="1" applyFill="1" applyBorder="1" applyAlignment="1">
      <alignment horizontal="center"/>
    </xf>
    <xf numFmtId="164" fontId="41" fillId="0" borderId="0" xfId="1" applyNumberFormat="1" applyFont="1" applyFill="1" applyBorder="1" applyAlignment="1">
      <alignment horizontal="center"/>
    </xf>
    <xf numFmtId="164" fontId="41" fillId="0" borderId="0" xfId="1" applyNumberFormat="1" applyFont="1" applyBorder="1" applyAlignment="1">
      <alignment horizontal="center"/>
    </xf>
    <xf numFmtId="164" fontId="35" fillId="6" borderId="0" xfId="1" applyNumberFormat="1" applyFont="1" applyFill="1" applyAlignment="1">
      <alignment horizontal="center"/>
    </xf>
    <xf numFmtId="164" fontId="35" fillId="0" borderId="0" xfId="1" applyNumberFormat="1" applyFont="1" applyFill="1" applyAlignment="1">
      <alignment horizontal="center"/>
    </xf>
    <xf numFmtId="164" fontId="41" fillId="6" borderId="0" xfId="1" applyNumberFormat="1" applyFont="1" applyFill="1" applyBorder="1" applyAlignment="1">
      <alignment horizontal="center"/>
    </xf>
    <xf numFmtId="164" fontId="35" fillId="0" borderId="0" xfId="1" applyNumberFormat="1" applyFont="1" applyAlignment="1">
      <alignment horizontal="center"/>
    </xf>
    <xf numFmtId="164" fontId="0" fillId="0" borderId="0" xfId="1" applyNumberFormat="1" applyFont="1" applyProtection="1">
      <protection locked="0"/>
    </xf>
    <xf numFmtId="164" fontId="0" fillId="0" borderId="3" xfId="1" applyNumberFormat="1" applyFont="1" applyBorder="1"/>
    <xf numFmtId="164" fontId="35" fillId="0" borderId="3" xfId="1" applyNumberFormat="1" applyFont="1" applyBorder="1" applyAlignment="1">
      <alignment horizontal="center"/>
    </xf>
    <xf numFmtId="164" fontId="35" fillId="0" borderId="4" xfId="1" applyNumberFormat="1" applyFont="1" applyBorder="1" applyAlignment="1">
      <alignment horizontal="center"/>
    </xf>
    <xf numFmtId="164" fontId="0" fillId="0" borderId="2" xfId="1" applyNumberFormat="1" applyFont="1" applyBorder="1"/>
    <xf numFmtId="0" fontId="0" fillId="2" borderId="17" xfId="0" applyFill="1" applyBorder="1" applyProtection="1">
      <protection locked="0"/>
    </xf>
    <xf numFmtId="0" fontId="0" fillId="2" borderId="0" xfId="0" applyFill="1" applyBorder="1" applyProtection="1">
      <protection locked="0"/>
    </xf>
    <xf numFmtId="164" fontId="0" fillId="4" borderId="0" xfId="0" applyNumberFormat="1" applyFill="1" applyProtection="1">
      <protection locked="0"/>
    </xf>
    <xf numFmtId="164" fontId="0" fillId="0" borderId="0" xfId="1" applyNumberFormat="1" applyFont="1" applyBorder="1" applyAlignment="1" applyProtection="1">
      <protection locked="0"/>
    </xf>
    <xf numFmtId="0" fontId="14" fillId="3" borderId="5" xfId="0" applyFont="1" applyFill="1" applyBorder="1" applyAlignment="1">
      <alignment horizontal="center"/>
    </xf>
    <xf numFmtId="0" fontId="14" fillId="0" borderId="0" xfId="0" applyFont="1" applyAlignment="1">
      <alignment horizontal="center" wrapText="1"/>
    </xf>
    <xf numFmtId="164" fontId="14" fillId="3" borderId="2" xfId="0" applyNumberFormat="1" applyFont="1" applyFill="1" applyBorder="1" applyAlignment="1">
      <alignment horizontal="centerContinuous"/>
    </xf>
    <xf numFmtId="164" fontId="17" fillId="4" borderId="5" xfId="0" applyNumberFormat="1" applyFont="1" applyFill="1" applyBorder="1"/>
    <xf numFmtId="164" fontId="0" fillId="4" borderId="21" xfId="0" applyNumberFormat="1" applyFill="1" applyBorder="1"/>
    <xf numFmtId="164" fontId="35" fillId="0" borderId="5" xfId="1" applyNumberFormat="1" applyFont="1" applyBorder="1" applyAlignment="1">
      <alignment horizontal="center"/>
    </xf>
    <xf numFmtId="164" fontId="22" fillId="4" borderId="2" xfId="0" applyNumberFormat="1" applyFont="1" applyFill="1" applyBorder="1" applyAlignment="1">
      <alignment horizontal="centerContinuous"/>
    </xf>
    <xf numFmtId="164" fontId="22" fillId="4" borderId="21" xfId="1" applyNumberFormat="1" applyFont="1" applyFill="1" applyBorder="1"/>
    <xf numFmtId="164" fontId="14" fillId="3" borderId="3" xfId="0" applyNumberFormat="1" applyFont="1" applyFill="1" applyBorder="1" applyAlignment="1">
      <alignment horizontal="center"/>
    </xf>
    <xf numFmtId="164" fontId="0" fillId="0" borderId="7" xfId="1" applyNumberFormat="1" applyFont="1" applyBorder="1" applyProtection="1"/>
    <xf numFmtId="164" fontId="0" fillId="0" borderId="0" xfId="1" applyNumberFormat="1" applyFont="1" applyBorder="1" applyProtection="1"/>
    <xf numFmtId="164" fontId="0" fillId="0" borderId="7" xfId="1" applyNumberFormat="1" applyFont="1" applyFill="1" applyBorder="1" applyProtection="1"/>
    <xf numFmtId="164" fontId="0" fillId="0" borderId="0" xfId="1" applyNumberFormat="1" applyFont="1" applyFill="1" applyBorder="1" applyProtection="1"/>
    <xf numFmtId="164" fontId="0" fillId="6" borderId="7" xfId="1" applyNumberFormat="1" applyFont="1" applyFill="1" applyBorder="1" applyProtection="1"/>
    <xf numFmtId="164" fontId="0" fillId="6" borderId="0" xfId="1" applyNumberFormat="1" applyFont="1" applyFill="1" applyBorder="1" applyProtection="1"/>
    <xf numFmtId="164" fontId="0" fillId="6" borderId="0" xfId="1" applyNumberFormat="1" applyFont="1" applyFill="1" applyProtection="1"/>
    <xf numFmtId="164" fontId="12" fillId="0" borderId="7" xfId="1" applyNumberFormat="1" applyBorder="1" applyProtection="1"/>
    <xf numFmtId="164" fontId="0" fillId="0" borderId="3" xfId="1" applyNumberFormat="1" applyFont="1" applyBorder="1" applyProtection="1"/>
    <xf numFmtId="164" fontId="0" fillId="0" borderId="4" xfId="1" applyNumberFormat="1" applyFont="1" applyBorder="1" applyProtection="1"/>
    <xf numFmtId="164" fontId="0" fillId="0" borderId="0" xfId="1" applyNumberFormat="1" applyFont="1" applyFill="1" applyProtection="1"/>
    <xf numFmtId="0" fontId="0" fillId="0" borderId="0" xfId="0" applyProtection="1"/>
    <xf numFmtId="0" fontId="0" fillId="0" borderId="0" xfId="0" applyAlignment="1" applyProtection="1">
      <alignment wrapText="1"/>
    </xf>
    <xf numFmtId="0" fontId="0" fillId="0" borderId="0" xfId="0" applyAlignment="1" applyProtection="1"/>
    <xf numFmtId="0" fontId="14" fillId="0" borderId="0" xfId="0" applyFont="1" applyProtection="1"/>
    <xf numFmtId="164" fontId="12" fillId="0" borderId="0" xfId="1" applyNumberFormat="1" applyFill="1" applyBorder="1" applyProtection="1"/>
    <xf numFmtId="0" fontId="0" fillId="0" borderId="0" xfId="0" quotePrefix="1" applyProtection="1"/>
    <xf numFmtId="164" fontId="0" fillId="0" borderId="0" xfId="0" applyNumberFormat="1" applyProtection="1"/>
    <xf numFmtId="0" fontId="0" fillId="0" borderId="1" xfId="0" applyBorder="1" applyAlignment="1" applyProtection="1">
      <alignment horizontal="center"/>
    </xf>
    <xf numFmtId="0" fontId="0" fillId="0" borderId="0" xfId="0" applyFill="1" applyProtection="1"/>
    <xf numFmtId="0" fontId="0" fillId="0" borderId="20" xfId="0" applyFill="1" applyBorder="1" applyAlignment="1" applyProtection="1"/>
    <xf numFmtId="164" fontId="0" fillId="0" borderId="0" xfId="1" applyNumberFormat="1" applyFont="1" applyProtection="1"/>
    <xf numFmtId="165" fontId="0" fillId="4" borderId="8" xfId="2" applyNumberFormat="1" applyFont="1" applyFill="1" applyBorder="1" applyProtection="1"/>
    <xf numFmtId="165" fontId="0" fillId="0" borderId="0" xfId="2" applyNumberFormat="1" applyFont="1" applyBorder="1" applyProtection="1"/>
    <xf numFmtId="165" fontId="0" fillId="0" borderId="1" xfId="2" applyNumberFormat="1" applyFont="1" applyBorder="1" applyAlignment="1" applyProtection="1">
      <alignment horizontal="center"/>
    </xf>
    <xf numFmtId="0" fontId="14" fillId="0" borderId="0" xfId="0" applyFont="1" applyFill="1" applyBorder="1" applyProtection="1"/>
    <xf numFmtId="0" fontId="14" fillId="0" borderId="1" xfId="0" applyFont="1" applyBorder="1" applyAlignment="1" applyProtection="1">
      <alignment horizontal="center"/>
    </xf>
    <xf numFmtId="0" fontId="14" fillId="0" borderId="0" xfId="0" applyFont="1" applyAlignment="1" applyProtection="1">
      <alignment horizontal="center"/>
    </xf>
    <xf numFmtId="164" fontId="16" fillId="4" borderId="0" xfId="0" applyNumberFormat="1" applyFont="1" applyFill="1" applyAlignment="1" applyProtection="1">
      <alignment horizontal="center"/>
    </xf>
    <xf numFmtId="164" fontId="0" fillId="4" borderId="0" xfId="1" applyNumberFormat="1" applyFont="1" applyFill="1" applyProtection="1"/>
    <xf numFmtId="0" fontId="0" fillId="0" borderId="0" xfId="0" applyAlignment="1" applyProtection="1">
      <alignment horizontal="left" indent="1"/>
    </xf>
    <xf numFmtId="164" fontId="0" fillId="4" borderId="0" xfId="0" applyNumberFormat="1" applyFill="1" applyBorder="1" applyProtection="1"/>
    <xf numFmtId="0" fontId="0" fillId="0" borderId="0" xfId="0" applyBorder="1" applyProtection="1"/>
    <xf numFmtId="164" fontId="0" fillId="4" borderId="8" xfId="0" applyNumberFormat="1" applyFill="1" applyBorder="1" applyProtection="1"/>
    <xf numFmtId="0" fontId="28" fillId="0" borderId="0" xfId="0" applyFont="1" applyProtection="1"/>
    <xf numFmtId="0" fontId="0" fillId="0" borderId="0" xfId="0" applyFill="1" applyBorder="1" applyProtection="1"/>
    <xf numFmtId="0" fontId="0" fillId="6" borderId="0" xfId="0" applyFill="1" applyProtection="1"/>
    <xf numFmtId="0" fontId="0" fillId="0" borderId="0" xfId="0" applyFill="1" applyBorder="1" applyAlignment="1" applyProtection="1"/>
    <xf numFmtId="0" fontId="0" fillId="6" borderId="0" xfId="0" applyFill="1" applyBorder="1" applyProtection="1"/>
    <xf numFmtId="0" fontId="0" fillId="0" borderId="0" xfId="0" applyBorder="1" applyAlignment="1"/>
    <xf numFmtId="0" fontId="0" fillId="0" borderId="0" xfId="0" quotePrefix="1" applyFill="1" applyProtection="1">
      <protection locked="0"/>
    </xf>
    <xf numFmtId="164" fontId="12" fillId="0" borderId="29" xfId="1" applyNumberFormat="1" applyBorder="1"/>
    <xf numFmtId="164" fontId="0" fillId="0" borderId="7" xfId="1" applyNumberFormat="1" applyFont="1" applyBorder="1" applyAlignment="1" applyProtection="1">
      <protection locked="0"/>
    </xf>
    <xf numFmtId="164" fontId="12" fillId="0" borderId="20" xfId="1" applyNumberFormat="1" applyBorder="1"/>
    <xf numFmtId="164" fontId="12" fillId="0" borderId="2" xfId="1" applyNumberFormat="1" applyBorder="1"/>
    <xf numFmtId="164" fontId="0" fillId="0" borderId="3" xfId="0" applyNumberFormat="1" applyBorder="1" applyAlignment="1">
      <alignment horizontal="center"/>
    </xf>
    <xf numFmtId="0" fontId="0" fillId="0" borderId="2" xfId="0" applyBorder="1" applyAlignment="1">
      <alignment horizontal="center"/>
    </xf>
    <xf numFmtId="0" fontId="0" fillId="3" borderId="21" xfId="0" applyFill="1" applyBorder="1" applyAlignment="1"/>
    <xf numFmtId="0" fontId="0" fillId="3" borderId="3" xfId="0" applyFill="1" applyBorder="1" applyAlignment="1">
      <alignment horizontal="center"/>
    </xf>
    <xf numFmtId="164" fontId="0" fillId="3" borderId="2" xfId="0" applyNumberFormat="1" applyFill="1" applyBorder="1" applyAlignment="1">
      <alignment horizontal="center"/>
    </xf>
    <xf numFmtId="164" fontId="0" fillId="0" borderId="3" xfId="1" applyNumberFormat="1" applyFont="1" applyFill="1" applyBorder="1"/>
    <xf numFmtId="164" fontId="12" fillId="0" borderId="0" xfId="1" applyNumberFormat="1" applyFont="1" applyFill="1" applyAlignment="1">
      <alignment horizontal="center"/>
    </xf>
    <xf numFmtId="165" fontId="0" fillId="4" borderId="13" xfId="0" applyNumberFormat="1" applyFill="1" applyBorder="1" applyProtection="1"/>
    <xf numFmtId="0" fontId="16" fillId="0" borderId="1" xfId="0" applyFont="1" applyBorder="1" applyProtection="1"/>
    <xf numFmtId="0" fontId="0" fillId="0" borderId="1" xfId="0" applyBorder="1" applyProtection="1"/>
    <xf numFmtId="0" fontId="0" fillId="0" borderId="0" xfId="0" applyAlignment="1" applyProtection="1">
      <alignment horizontal="left" indent="2"/>
    </xf>
    <xf numFmtId="0" fontId="28" fillId="0" borderId="0" xfId="0" applyFont="1" applyAlignment="1">
      <alignment horizontal="right"/>
    </xf>
    <xf numFmtId="0" fontId="0" fillId="0" borderId="0" xfId="0" applyAlignment="1">
      <alignment horizontal="left" indent="2"/>
    </xf>
    <xf numFmtId="164" fontId="0" fillId="0" borderId="9" xfId="0" applyNumberFormat="1" applyFill="1" applyBorder="1" applyAlignment="1">
      <alignment horizontal="center"/>
    </xf>
    <xf numFmtId="164" fontId="0" fillId="0" borderId="9" xfId="1" applyNumberFormat="1" applyFont="1" applyBorder="1" applyAlignment="1">
      <alignment horizontal="center"/>
    </xf>
    <xf numFmtId="0" fontId="0" fillId="0" borderId="9" xfId="0" applyBorder="1" applyAlignment="1">
      <alignment horizontal="center"/>
    </xf>
    <xf numFmtId="0" fontId="25" fillId="0" borderId="0" xfId="0" applyFont="1" applyAlignment="1">
      <alignment horizontal="right"/>
    </xf>
    <xf numFmtId="0" fontId="16" fillId="0" borderId="0" xfId="0" quotePrefix="1" applyFont="1" applyAlignment="1">
      <alignment wrapText="1"/>
    </xf>
    <xf numFmtId="0" fontId="35" fillId="0" borderId="0" xfId="0" applyFont="1" applyAlignment="1">
      <alignment horizontal="left" indent="2"/>
    </xf>
    <xf numFmtId="164" fontId="12" fillId="0" borderId="1" xfId="1" applyNumberFormat="1" applyFill="1" applyBorder="1"/>
    <xf numFmtId="0" fontId="0" fillId="3" borderId="30" xfId="0" applyFill="1" applyBorder="1"/>
    <xf numFmtId="0" fontId="13" fillId="0" borderId="0" xfId="0" applyFont="1" applyAlignment="1">
      <alignment wrapText="1"/>
    </xf>
    <xf numFmtId="41" fontId="0" fillId="2" borderId="0" xfId="1" applyNumberFormat="1" applyFont="1" applyFill="1" applyBorder="1" applyProtection="1">
      <protection locked="0"/>
    </xf>
    <xf numFmtId="41" fontId="0" fillId="2" borderId="0" xfId="0" applyNumberFormat="1" applyFill="1" applyBorder="1" applyProtection="1">
      <protection locked="0"/>
    </xf>
    <xf numFmtId="0" fontId="35" fillId="0" borderId="1" xfId="0" applyFont="1" applyFill="1" applyBorder="1" applyAlignment="1">
      <alignment horizontal="center" wrapText="1"/>
    </xf>
    <xf numFmtId="164" fontId="35" fillId="0" borderId="1" xfId="1" applyNumberFormat="1" applyFont="1" applyFill="1" applyBorder="1"/>
    <xf numFmtId="164" fontId="12" fillId="0" borderId="1" xfId="1" applyNumberFormat="1" applyFont="1" applyFill="1" applyBorder="1"/>
    <xf numFmtId="164" fontId="0" fillId="0" borderId="0" xfId="1" applyNumberFormat="1" applyFont="1" applyFill="1" applyBorder="1" applyAlignment="1">
      <alignment horizontal="center"/>
    </xf>
    <xf numFmtId="0" fontId="27" fillId="0" borderId="0" xfId="0" applyFont="1"/>
    <xf numFmtId="0" fontId="27" fillId="0" borderId="0" xfId="0" applyFont="1" applyBorder="1"/>
    <xf numFmtId="0" fontId="49" fillId="0" borderId="0" xfId="0" applyFont="1" applyAlignment="1">
      <alignment wrapText="1"/>
    </xf>
    <xf numFmtId="0" fontId="49" fillId="0" borderId="0" xfId="0" applyFont="1"/>
    <xf numFmtId="0" fontId="0" fillId="3" borderId="30" xfId="0" applyFill="1" applyBorder="1" applyAlignment="1">
      <alignment horizontal="center"/>
    </xf>
    <xf numFmtId="0" fontId="0" fillId="0" borderId="0" xfId="0" quotePrefix="1" applyFill="1" applyProtection="1"/>
    <xf numFmtId="0" fontId="50" fillId="0" borderId="0" xfId="0" applyFont="1" applyAlignment="1">
      <alignment horizontal="center"/>
    </xf>
    <xf numFmtId="164" fontId="15" fillId="0" borderId="0" xfId="1" applyNumberFormat="1" applyFont="1" applyBorder="1" applyAlignment="1">
      <alignment wrapText="1"/>
    </xf>
    <xf numFmtId="164" fontId="15" fillId="0" borderId="1" xfId="1" applyNumberFormat="1" applyFont="1" applyBorder="1" applyAlignment="1">
      <alignment wrapText="1"/>
    </xf>
    <xf numFmtId="0" fontId="14" fillId="7" borderId="0" xfId="0" applyFont="1" applyFill="1"/>
    <xf numFmtId="164" fontId="12" fillId="7" borderId="31" xfId="1" applyNumberFormat="1" applyFill="1" applyBorder="1"/>
    <xf numFmtId="164" fontId="12" fillId="7" borderId="8" xfId="1" applyNumberFormat="1" applyFill="1" applyBorder="1"/>
    <xf numFmtId="164" fontId="12" fillId="7" borderId="32" xfId="1" applyNumberFormat="1" applyFill="1" applyBorder="1"/>
    <xf numFmtId="164" fontId="12" fillId="7" borderId="26" xfId="1" applyNumberFormat="1" applyFill="1" applyBorder="1"/>
    <xf numFmtId="164" fontId="12" fillId="7" borderId="26" xfId="1" applyNumberFormat="1" applyFill="1" applyBorder="1" applyProtection="1"/>
    <xf numFmtId="164" fontId="12" fillId="7" borderId="8" xfId="1" applyNumberFormat="1" applyFill="1" applyBorder="1" applyProtection="1"/>
    <xf numFmtId="164" fontId="35" fillId="7" borderId="7" xfId="1" applyNumberFormat="1" applyFont="1" applyFill="1" applyBorder="1" applyAlignment="1">
      <alignment horizontal="center"/>
    </xf>
    <xf numFmtId="164" fontId="35" fillId="7" borderId="0" xfId="1" applyNumberFormat="1" applyFont="1" applyFill="1" applyBorder="1" applyAlignment="1">
      <alignment horizontal="center"/>
    </xf>
    <xf numFmtId="164" fontId="0" fillId="7" borderId="4" xfId="1" applyNumberFormat="1" applyFont="1" applyFill="1" applyBorder="1"/>
    <xf numFmtId="164" fontId="0" fillId="7" borderId="2" xfId="1" applyNumberFormat="1" applyFont="1" applyFill="1" applyBorder="1"/>
    <xf numFmtId="0" fontId="16" fillId="0" borderId="0" xfId="0" applyFont="1" applyAlignment="1">
      <alignment wrapText="1"/>
    </xf>
    <xf numFmtId="0" fontId="24" fillId="0" borderId="0" xfId="0" applyFont="1" applyAlignment="1">
      <alignment wrapText="1"/>
    </xf>
    <xf numFmtId="0" fontId="0" fillId="4" borderId="9" xfId="0" applyFill="1" applyBorder="1"/>
    <xf numFmtId="164" fontId="15" fillId="0" borderId="0" xfId="1" applyNumberFormat="1" applyFont="1" applyAlignment="1">
      <alignment wrapText="1"/>
    </xf>
    <xf numFmtId="0" fontId="0" fillId="0" borderId="0" xfId="0" quotePrefix="1" applyAlignment="1">
      <alignment horizontal="center"/>
    </xf>
    <xf numFmtId="164" fontId="0" fillId="0" borderId="0" xfId="1" applyNumberFormat="1" applyFont="1" applyAlignment="1">
      <alignment horizontal="left" indent="1"/>
    </xf>
    <xf numFmtId="164" fontId="0" fillId="0" borderId="0" xfId="1" applyNumberFormat="1" applyFont="1" applyAlignment="1">
      <alignment horizontal="right" wrapText="1"/>
    </xf>
    <xf numFmtId="41" fontId="0" fillId="4" borderId="9" xfId="1" applyNumberFormat="1" applyFont="1" applyFill="1" applyBorder="1"/>
    <xf numFmtId="41" fontId="0" fillId="0" borderId="0" xfId="1" applyNumberFormat="1" applyFont="1" applyFill="1" applyBorder="1"/>
    <xf numFmtId="164" fontId="0" fillId="0" borderId="0" xfId="1" applyNumberFormat="1" applyFont="1" applyFill="1" applyAlignment="1">
      <alignment horizontal="right"/>
    </xf>
    <xf numFmtId="41" fontId="0" fillId="0" borderId="0" xfId="0" applyNumberFormat="1" applyFill="1"/>
    <xf numFmtId="0" fontId="0" fillId="0" borderId="0" xfId="0" applyAlignment="1">
      <alignment horizontal="left" wrapText="1"/>
    </xf>
    <xf numFmtId="0" fontId="54" fillId="0" borderId="0" xfId="0" applyFont="1" applyAlignment="1">
      <alignment wrapText="1"/>
    </xf>
    <xf numFmtId="0" fontId="14" fillId="0" borderId="0" xfId="0" quotePrefix="1" applyFont="1" applyFill="1" applyBorder="1"/>
    <xf numFmtId="0" fontId="29" fillId="0" borderId="0" xfId="0" applyFont="1" applyFill="1" applyAlignment="1">
      <alignment wrapText="1"/>
    </xf>
    <xf numFmtId="164" fontId="0" fillId="0" borderId="17" xfId="0" applyNumberFormat="1" applyFill="1" applyBorder="1"/>
    <xf numFmtId="164" fontId="0" fillId="0" borderId="8" xfId="0" applyNumberFormat="1" applyFill="1" applyBorder="1"/>
    <xf numFmtId="0" fontId="14" fillId="3" borderId="10" xfId="0" applyFont="1" applyFill="1" applyBorder="1" applyProtection="1"/>
    <xf numFmtId="0" fontId="14" fillId="3" borderId="9" xfId="0" applyFont="1" applyFill="1" applyBorder="1" applyProtection="1"/>
    <xf numFmtId="0" fontId="15" fillId="0" borderId="0" xfId="0" applyFont="1" applyAlignment="1" applyProtection="1">
      <alignment vertical="center" textRotation="90"/>
    </xf>
    <xf numFmtId="164" fontId="12" fillId="0" borderId="0" xfId="1" applyNumberFormat="1" applyBorder="1" applyProtection="1"/>
    <xf numFmtId="164" fontId="0" fillId="0" borderId="20" xfId="1" applyNumberFormat="1" applyFont="1" applyBorder="1" applyProtection="1"/>
    <xf numFmtId="0" fontId="14" fillId="3" borderId="0" xfId="0" applyFont="1" applyFill="1" applyBorder="1" applyProtection="1"/>
    <xf numFmtId="0" fontId="14" fillId="0" borderId="0" xfId="0" applyFont="1" applyFill="1" applyProtection="1"/>
    <xf numFmtId="164" fontId="12" fillId="0" borderId="7" xfId="1" applyNumberFormat="1" applyFill="1" applyBorder="1" applyProtection="1"/>
    <xf numFmtId="164" fontId="0" fillId="0" borderId="20" xfId="1" applyNumberFormat="1" applyFont="1" applyFill="1" applyBorder="1" applyProtection="1"/>
    <xf numFmtId="0" fontId="0" fillId="3" borderId="9" xfId="0" applyFill="1" applyBorder="1" applyProtection="1"/>
    <xf numFmtId="0" fontId="13" fillId="0" borderId="0" xfId="0" applyFont="1" applyProtection="1"/>
    <xf numFmtId="164" fontId="35" fillId="0" borderId="0" xfId="1" applyNumberFormat="1" applyFont="1" applyBorder="1" applyAlignment="1" applyProtection="1">
      <alignment horizontal="center"/>
    </xf>
    <xf numFmtId="164" fontId="35" fillId="0" borderId="7" xfId="1" applyNumberFormat="1" applyFont="1" applyBorder="1" applyAlignment="1" applyProtection="1">
      <alignment horizontal="center"/>
    </xf>
    <xf numFmtId="164" fontId="14" fillId="3" borderId="5" xfId="0" applyNumberFormat="1" applyFont="1" applyFill="1" applyBorder="1" applyAlignment="1">
      <alignment horizontal="center"/>
    </xf>
    <xf numFmtId="164" fontId="14" fillId="3" borderId="21" xfId="0" applyNumberFormat="1" applyFont="1" applyFill="1" applyBorder="1" applyAlignment="1">
      <alignment horizontal="center"/>
    </xf>
    <xf numFmtId="164" fontId="14" fillId="3" borderId="7" xfId="0" applyNumberFormat="1" applyFont="1" applyFill="1" applyBorder="1" applyAlignment="1">
      <alignment horizontal="center"/>
    </xf>
    <xf numFmtId="164" fontId="14" fillId="3" borderId="20" xfId="0" applyNumberFormat="1" applyFont="1" applyFill="1" applyBorder="1" applyAlignment="1">
      <alignment horizontal="center"/>
    </xf>
    <xf numFmtId="164" fontId="0" fillId="2" borderId="0" xfId="0" applyNumberFormat="1" applyFill="1" applyBorder="1" applyAlignment="1" applyProtection="1">
      <protection locked="0"/>
    </xf>
    <xf numFmtId="164" fontId="0" fillId="0" borderId="0" xfId="1" applyNumberFormat="1" applyFont="1" applyBorder="1" applyAlignment="1"/>
    <xf numFmtId="164" fontId="29" fillId="0" borderId="0" xfId="1" applyNumberFormat="1" applyFont="1" applyBorder="1" applyAlignment="1"/>
    <xf numFmtId="164" fontId="0" fillId="4" borderId="0" xfId="0" applyNumberFormat="1" applyFill="1" applyAlignment="1"/>
    <xf numFmtId="164" fontId="0" fillId="0" borderId="0" xfId="0" applyNumberFormat="1" applyFill="1" applyBorder="1" applyAlignment="1"/>
    <xf numFmtId="0" fontId="14" fillId="0" borderId="0" xfId="0" applyFont="1" applyAlignment="1" applyProtection="1">
      <alignment horizontal="center" wrapText="1"/>
    </xf>
    <xf numFmtId="0" fontId="0" fillId="0" borderId="0" xfId="0" applyAlignment="1">
      <alignment horizontal="left"/>
    </xf>
    <xf numFmtId="0" fontId="0" fillId="0" borderId="0" xfId="0" applyAlignment="1">
      <alignment readingOrder="1"/>
    </xf>
    <xf numFmtId="164" fontId="0" fillId="4" borderId="0" xfId="0" applyNumberFormat="1" applyFill="1" applyProtection="1"/>
    <xf numFmtId="0" fontId="0" fillId="0" borderId="0" xfId="0" applyFill="1" applyBorder="1" applyAlignment="1">
      <alignment horizontal="justify"/>
    </xf>
    <xf numFmtId="164" fontId="12" fillId="6" borderId="7" xfId="1" applyNumberFormat="1" applyFill="1" applyBorder="1" applyProtection="1"/>
    <xf numFmtId="164" fontId="12" fillId="6" borderId="0" xfId="1" applyNumberFormat="1" applyFill="1" applyBorder="1" applyProtection="1"/>
    <xf numFmtId="164" fontId="0" fillId="6" borderId="20" xfId="1" applyNumberFormat="1" applyFont="1" applyFill="1" applyBorder="1" applyProtection="1"/>
    <xf numFmtId="164" fontId="14" fillId="3" borderId="3" xfId="1" applyNumberFormat="1" applyFont="1" applyFill="1" applyBorder="1" applyAlignment="1">
      <alignment horizontal="center"/>
    </xf>
    <xf numFmtId="164" fontId="0" fillId="4" borderId="0" xfId="1" applyNumberFormat="1" applyFont="1" applyFill="1" applyProtection="1">
      <protection locked="0"/>
    </xf>
    <xf numFmtId="164" fontId="15" fillId="0" borderId="0" xfId="0" applyNumberFormat="1" applyFont="1" applyAlignment="1">
      <alignment wrapText="1"/>
    </xf>
    <xf numFmtId="164" fontId="15" fillId="0" borderId="0" xfId="1" applyNumberFormat="1" applyFont="1" applyBorder="1" applyAlignment="1">
      <alignment horizontal="center" wrapText="1"/>
    </xf>
    <xf numFmtId="0" fontId="35" fillId="0" borderId="0" xfId="0" applyFont="1" applyFill="1" applyBorder="1" applyAlignment="1">
      <alignment horizontal="center" wrapText="1"/>
    </xf>
    <xf numFmtId="164" fontId="15" fillId="0" borderId="0" xfId="1" applyNumberFormat="1" applyFont="1" applyFill="1" applyBorder="1" applyAlignment="1">
      <alignment wrapText="1"/>
    </xf>
    <xf numFmtId="164" fontId="12" fillId="0" borderId="0" xfId="1" applyNumberFormat="1" applyFont="1" applyBorder="1" applyAlignment="1">
      <alignment horizontal="right"/>
    </xf>
    <xf numFmtId="0" fontId="0" fillId="0" borderId="15" xfId="0" applyBorder="1" applyProtection="1"/>
    <xf numFmtId="0" fontId="0" fillId="0" borderId="16" xfId="0" applyBorder="1" applyProtection="1"/>
    <xf numFmtId="0" fontId="0" fillId="0" borderId="24" xfId="0" applyBorder="1" applyProtection="1"/>
    <xf numFmtId="0" fontId="0" fillId="0" borderId="17" xfId="0" applyBorder="1" applyProtection="1"/>
    <xf numFmtId="0" fontId="0" fillId="0" borderId="18" xfId="0" applyBorder="1" applyProtection="1"/>
    <xf numFmtId="0" fontId="0" fillId="0" borderId="11" xfId="0" applyBorder="1" applyProtection="1"/>
    <xf numFmtId="0" fontId="0" fillId="0" borderId="12" xfId="0" applyBorder="1" applyProtection="1"/>
    <xf numFmtId="164" fontId="16" fillId="0" borderId="1" xfId="1" applyNumberFormat="1" applyFont="1" applyBorder="1"/>
    <xf numFmtId="0" fontId="14" fillId="0" borderId="1" xfId="0" applyFont="1" applyBorder="1" applyAlignment="1">
      <alignment horizontal="center" wrapText="1"/>
    </xf>
    <xf numFmtId="0" fontId="12" fillId="0" borderId="0" xfId="0" applyFont="1" applyFill="1" applyProtection="1"/>
    <xf numFmtId="0" fontId="12" fillId="0" borderId="0" xfId="0" applyFont="1" applyAlignment="1">
      <alignment horizontal="left" wrapText="1" indent="1"/>
    </xf>
    <xf numFmtId="0" fontId="12" fillId="0" borderId="0" xfId="0" applyFont="1"/>
    <xf numFmtId="164" fontId="12" fillId="0" borderId="0" xfId="1" applyNumberFormat="1" applyFont="1" applyAlignment="1">
      <alignment horizontal="center"/>
    </xf>
    <xf numFmtId="164" fontId="12" fillId="0" borderId="1" xfId="1" applyNumberFormat="1" applyFont="1" applyBorder="1"/>
    <xf numFmtId="0" fontId="0" fillId="9" borderId="0" xfId="0" applyFill="1"/>
    <xf numFmtId="0" fontId="0" fillId="9" borderId="0" xfId="0" applyFill="1" applyProtection="1"/>
    <xf numFmtId="0" fontId="12" fillId="0" borderId="0" xfId="0" applyFont="1" applyAlignment="1"/>
    <xf numFmtId="0" fontId="12" fillId="0" borderId="0" xfId="0" applyFont="1" applyAlignment="1">
      <alignment wrapText="1"/>
    </xf>
    <xf numFmtId="0" fontId="0" fillId="0" borderId="0" xfId="0"/>
    <xf numFmtId="0" fontId="14" fillId="0" borderId="0" xfId="0" applyFont="1"/>
    <xf numFmtId="0" fontId="0" fillId="0" borderId="0" xfId="0" applyFill="1" applyBorder="1" applyAlignment="1">
      <alignment horizontal="center"/>
    </xf>
    <xf numFmtId="164" fontId="0" fillId="4" borderId="0" xfId="1" applyNumberFormat="1" applyFont="1" applyFill="1"/>
    <xf numFmtId="0" fontId="0" fillId="0" borderId="0" xfId="0" applyFill="1"/>
    <xf numFmtId="164" fontId="15" fillId="0" borderId="0" xfId="1" applyNumberFormat="1" applyFont="1" applyBorder="1" applyAlignment="1">
      <alignment horizontal="center" wrapText="1"/>
    </xf>
    <xf numFmtId="164" fontId="25" fillId="0" borderId="0" xfId="1" applyNumberFormat="1" applyFont="1" applyBorder="1" applyAlignment="1">
      <alignment horizontal="right"/>
    </xf>
    <xf numFmtId="164" fontId="12" fillId="2" borderId="0" xfId="1" applyNumberFormat="1" applyFill="1" applyBorder="1" applyProtection="1">
      <protection locked="0"/>
    </xf>
    <xf numFmtId="0" fontId="58" fillId="0" borderId="1" xfId="0" applyFont="1" applyBorder="1" applyAlignment="1">
      <alignment horizontal="centerContinuous"/>
    </xf>
    <xf numFmtId="0" fontId="59" fillId="0" borderId="0" xfId="0" applyFont="1" applyFill="1" applyBorder="1" applyAlignment="1">
      <alignment horizontal="center" wrapText="1"/>
    </xf>
    <xf numFmtId="43" fontId="0" fillId="0" borderId="0" xfId="0" applyNumberFormat="1"/>
    <xf numFmtId="0" fontId="14" fillId="0" borderId="0" xfId="0" applyFont="1" applyAlignment="1">
      <alignment horizontal="right"/>
    </xf>
    <xf numFmtId="0" fontId="61" fillId="4" borderId="39" xfId="0" applyFont="1" applyFill="1" applyBorder="1" applyAlignment="1"/>
    <xf numFmtId="43" fontId="0" fillId="0" borderId="0" xfId="1" applyFont="1"/>
    <xf numFmtId="0" fontId="12" fillId="0" borderId="0" xfId="0" applyFont="1" applyAlignment="1">
      <alignment horizontal="center"/>
    </xf>
    <xf numFmtId="0" fontId="14" fillId="0" borderId="0" xfId="0" applyFont="1" applyAlignment="1">
      <alignment horizontal="right" vertical="top"/>
    </xf>
    <xf numFmtId="0" fontId="14" fillId="0" borderId="0" xfId="0" applyFont="1" applyFill="1" applyBorder="1" applyAlignment="1">
      <alignment horizontal="left"/>
    </xf>
    <xf numFmtId="43" fontId="12" fillId="0" borderId="0" xfId="1" applyFont="1" applyAlignment="1">
      <alignment horizontal="center"/>
    </xf>
    <xf numFmtId="164" fontId="12" fillId="4" borderId="0" xfId="1" applyNumberFormat="1" applyFill="1" applyAlignment="1">
      <alignment horizontal="right"/>
    </xf>
    <xf numFmtId="164" fontId="12" fillId="4" borderId="8" xfId="1" applyNumberFormat="1" applyFill="1" applyBorder="1" applyAlignment="1">
      <alignment horizontal="right"/>
    </xf>
    <xf numFmtId="0" fontId="0" fillId="0" borderId="0" xfId="0"/>
    <xf numFmtId="0" fontId="0" fillId="0" borderId="0" xfId="0" applyFill="1"/>
    <xf numFmtId="164" fontId="12" fillId="12" borderId="0" xfId="1" applyNumberFormat="1" applyFill="1" applyBorder="1" applyProtection="1">
      <protection locked="0"/>
    </xf>
    <xf numFmtId="0" fontId="14" fillId="0" borderId="0" xfId="0" applyFont="1"/>
    <xf numFmtId="0" fontId="0" fillId="0" borderId="0" xfId="0" applyAlignment="1">
      <alignment wrapText="1"/>
    </xf>
    <xf numFmtId="0" fontId="0" fillId="0" borderId="0" xfId="0"/>
    <xf numFmtId="164" fontId="0" fillId="4" borderId="0" xfId="0" applyNumberFormat="1" applyFill="1" applyBorder="1"/>
    <xf numFmtId="164" fontId="15" fillId="0" borderId="0" xfId="1" applyNumberFormat="1" applyFont="1" applyBorder="1" applyAlignment="1">
      <alignment wrapText="1"/>
    </xf>
    <xf numFmtId="0" fontId="0" fillId="0" borderId="0" xfId="0" applyFill="1" applyBorder="1"/>
    <xf numFmtId="0" fontId="0" fillId="0" borderId="17" xfId="0" applyBorder="1" applyAlignment="1">
      <alignment horizontal="center"/>
    </xf>
    <xf numFmtId="0" fontId="0" fillId="0" borderId="0" xfId="0" applyFill="1"/>
    <xf numFmtId="164" fontId="15" fillId="0" borderId="0" xfId="1" applyNumberFormat="1" applyFont="1" applyBorder="1" applyAlignment="1">
      <alignment horizontal="center" wrapText="1"/>
    </xf>
    <xf numFmtId="0" fontId="12" fillId="0" borderId="0" xfId="0" applyFont="1" applyAlignment="1">
      <alignment horizontal="left" vertical="top" wrapText="1"/>
    </xf>
    <xf numFmtId="10" fontId="14" fillId="0" borderId="0" xfId="3" applyNumberFormat="1" applyFont="1" applyFill="1" applyBorder="1" applyAlignment="1">
      <alignment horizontal="center"/>
    </xf>
    <xf numFmtId="0" fontId="62" fillId="0" borderId="0" xfId="0" applyFont="1" applyFill="1" applyBorder="1" applyAlignment="1">
      <alignment horizontal="left"/>
    </xf>
    <xf numFmtId="0" fontId="61" fillId="0" borderId="0" xfId="0" applyFont="1" applyFill="1" applyBorder="1" applyAlignment="1"/>
    <xf numFmtId="0" fontId="14" fillId="0" borderId="17" xfId="0" applyFont="1" applyFill="1" applyBorder="1" applyAlignment="1">
      <alignment horizontal="left"/>
    </xf>
    <xf numFmtId="0" fontId="14" fillId="0" borderId="18" xfId="0" applyFont="1" applyFill="1" applyBorder="1" applyAlignment="1">
      <alignment horizontal="left"/>
    </xf>
    <xf numFmtId="0" fontId="62" fillId="0" borderId="17" xfId="0" applyFont="1" applyFill="1" applyBorder="1" applyAlignment="1">
      <alignment horizontal="left"/>
    </xf>
    <xf numFmtId="0" fontId="61" fillId="0" borderId="17" xfId="0" applyFont="1" applyFill="1" applyBorder="1" applyAlignment="1"/>
    <xf numFmtId="0" fontId="14" fillId="0" borderId="17" xfId="0" applyFont="1" applyBorder="1"/>
    <xf numFmtId="0" fontId="62" fillId="0" borderId="11" xfId="0" applyFont="1" applyFill="1" applyBorder="1" applyAlignment="1">
      <alignment horizontal="left"/>
    </xf>
    <xf numFmtId="10" fontId="14" fillId="0" borderId="1" xfId="3" applyNumberFormat="1" applyFont="1" applyFill="1" applyBorder="1" applyAlignment="1">
      <alignment horizontal="center"/>
    </xf>
    <xf numFmtId="0" fontId="14" fillId="0" borderId="12" xfId="0" applyFont="1" applyFill="1" applyBorder="1" applyAlignment="1">
      <alignment horizontal="left"/>
    </xf>
    <xf numFmtId="0" fontId="12" fillId="0" borderId="0" xfId="0" applyFont="1" applyBorder="1"/>
    <xf numFmtId="0" fontId="20" fillId="0" borderId="15" xfId="0" applyFont="1" applyFill="1" applyBorder="1" applyAlignment="1">
      <alignment horizontal="left" vertical="center"/>
    </xf>
    <xf numFmtId="0" fontId="20" fillId="0" borderId="16" xfId="0" applyFont="1" applyFill="1" applyBorder="1" applyAlignment="1">
      <alignment horizontal="left" vertical="center"/>
    </xf>
    <xf numFmtId="0" fontId="0" fillId="3" borderId="40" xfId="0" applyFill="1" applyBorder="1" applyAlignment="1">
      <alignment horizontal="center"/>
    </xf>
    <xf numFmtId="0" fontId="20" fillId="0" borderId="0" xfId="0" applyFont="1" applyFill="1" applyAlignment="1">
      <alignment horizontal="left" vertical="center"/>
    </xf>
    <xf numFmtId="43" fontId="12" fillId="0" borderId="17" xfId="1" applyFont="1" applyFill="1" applyBorder="1"/>
    <xf numFmtId="43" fontId="12" fillId="0" borderId="0" xfId="1" applyFont="1" applyFill="1" applyBorder="1"/>
    <xf numFmtId="0" fontId="0" fillId="3" borderId="19" xfId="0" applyFill="1" applyBorder="1" applyAlignment="1">
      <alignment horizontal="center"/>
    </xf>
    <xf numFmtId="43" fontId="12" fillId="0" borderId="11" xfId="1" applyFont="1" applyFill="1" applyBorder="1" applyAlignment="1">
      <alignment horizontal="center"/>
    </xf>
    <xf numFmtId="0" fontId="0" fillId="3" borderId="14" xfId="0" applyFill="1" applyBorder="1" applyAlignment="1">
      <alignment horizontal="center"/>
    </xf>
    <xf numFmtId="164" fontId="0" fillId="3" borderId="19" xfId="1" applyNumberFormat="1" applyFont="1" applyFill="1" applyBorder="1" applyAlignment="1">
      <alignment horizontal="center"/>
    </xf>
    <xf numFmtId="164" fontId="0" fillId="0" borderId="39" xfId="0" applyNumberFormat="1" applyBorder="1"/>
    <xf numFmtId="164" fontId="12" fillId="0" borderId="15" xfId="1" applyNumberFormat="1" applyFont="1" applyBorder="1"/>
    <xf numFmtId="164" fontId="12" fillId="0" borderId="24" xfId="1" applyNumberFormat="1" applyFont="1" applyBorder="1"/>
    <xf numFmtId="164" fontId="12" fillId="0" borderId="17" xfId="1" applyNumberFormat="1" applyFont="1" applyBorder="1"/>
    <xf numFmtId="164" fontId="12" fillId="0" borderId="18" xfId="1" applyNumberFormat="1" applyFont="1" applyBorder="1"/>
    <xf numFmtId="164" fontId="0" fillId="0" borderId="10" xfId="0" applyNumberFormat="1" applyBorder="1"/>
    <xf numFmtId="164" fontId="0" fillId="0" borderId="37" xfId="0" applyNumberFormat="1" applyBorder="1"/>
    <xf numFmtId="164" fontId="0" fillId="0" borderId="24" xfId="1" applyNumberFormat="1" applyFont="1" applyBorder="1"/>
    <xf numFmtId="164" fontId="0" fillId="0" borderId="18" xfId="1" applyNumberFormat="1" applyFont="1" applyBorder="1"/>
    <xf numFmtId="0" fontId="14" fillId="0" borderId="0" xfId="0" applyFont="1"/>
    <xf numFmtId="0" fontId="0" fillId="0" borderId="0" xfId="0" applyAlignment="1">
      <alignment wrapText="1"/>
    </xf>
    <xf numFmtId="0" fontId="0" fillId="0" borderId="0" xfId="0"/>
    <xf numFmtId="164" fontId="57" fillId="0" borderId="0" xfId="1" applyNumberFormat="1" applyFont="1" applyFill="1" applyBorder="1" applyProtection="1">
      <protection locked="0"/>
    </xf>
    <xf numFmtId="0" fontId="12" fillId="0" borderId="0" xfId="0" quotePrefix="1" applyFont="1" applyAlignment="1">
      <alignment vertical="top"/>
    </xf>
    <xf numFmtId="10" fontId="14" fillId="13" borderId="0" xfId="3" applyNumberFormat="1" applyFont="1" applyFill="1" applyBorder="1" applyAlignment="1">
      <alignment horizontal="center"/>
    </xf>
    <xf numFmtId="0" fontId="63" fillId="0" borderId="0" xfId="0" applyFont="1" applyFill="1" applyBorder="1" applyAlignment="1">
      <alignment horizontal="left"/>
    </xf>
    <xf numFmtId="0" fontId="63" fillId="0" borderId="1" xfId="0" applyFont="1" applyFill="1" applyBorder="1" applyAlignment="1">
      <alignment horizontal="left"/>
    </xf>
    <xf numFmtId="0" fontId="0" fillId="0" borderId="0" xfId="0" applyAlignment="1">
      <alignment wrapText="1"/>
    </xf>
    <xf numFmtId="0" fontId="0" fillId="0" borderId="0" xfId="0"/>
    <xf numFmtId="0" fontId="12" fillId="0" borderId="0" xfId="0" applyFont="1" applyAlignment="1">
      <alignment wrapText="1"/>
    </xf>
    <xf numFmtId="0" fontId="0" fillId="0" borderId="0" xfId="0" applyFill="1" applyBorder="1"/>
    <xf numFmtId="41" fontId="0" fillId="2" borderId="17" xfId="0" applyNumberFormat="1" applyFill="1" applyBorder="1" applyProtection="1">
      <protection locked="0"/>
    </xf>
    <xf numFmtId="0" fontId="0" fillId="0" borderId="0" xfId="0" applyAlignment="1">
      <alignment wrapText="1"/>
    </xf>
    <xf numFmtId="0" fontId="0" fillId="0" borderId="0" xfId="0"/>
    <xf numFmtId="0" fontId="58" fillId="0" borderId="0" xfId="4" applyFont="1" applyFill="1"/>
    <xf numFmtId="0" fontId="11" fillId="0" borderId="0" xfId="4" applyFill="1"/>
    <xf numFmtId="0" fontId="58" fillId="0" borderId="1" xfId="4" applyFont="1" applyFill="1" applyBorder="1" applyAlignment="1">
      <alignment horizontal="centerContinuous"/>
    </xf>
    <xf numFmtId="0" fontId="59" fillId="0" borderId="0" xfId="4" applyFont="1" applyFill="1" applyBorder="1" applyAlignment="1">
      <alignment horizontal="center" wrapText="1"/>
    </xf>
    <xf numFmtId="164" fontId="11" fillId="0" borderId="0" xfId="4" applyNumberFormat="1" applyFill="1"/>
    <xf numFmtId="0" fontId="64" fillId="0" borderId="0" xfId="4" applyFont="1" applyFill="1" applyBorder="1" applyAlignment="1">
      <alignment horizontal="center"/>
    </xf>
    <xf numFmtId="0" fontId="64" fillId="0" borderId="0" xfId="4" applyFont="1" applyFill="1" applyBorder="1" applyAlignment="1">
      <alignment horizontal="left"/>
    </xf>
    <xf numFmtId="169" fontId="64" fillId="0" borderId="0" xfId="5" applyNumberFormat="1" applyFont="1" applyFill="1"/>
    <xf numFmtId="164" fontId="64" fillId="0" borderId="0" xfId="6" applyNumberFormat="1" applyFont="1" applyFill="1"/>
    <xf numFmtId="168" fontId="64" fillId="0" borderId="0" xfId="4" applyNumberFormat="1" applyFont="1" applyFill="1"/>
    <xf numFmtId="164" fontId="64" fillId="0" borderId="0" xfId="4" applyNumberFormat="1" applyFont="1" applyFill="1"/>
    <xf numFmtId="164" fontId="0" fillId="0" borderId="0" xfId="6" applyNumberFormat="1" applyFont="1" applyFill="1"/>
    <xf numFmtId="170" fontId="64" fillId="0" borderId="0" xfId="5" applyNumberFormat="1" applyFont="1" applyFill="1"/>
    <xf numFmtId="0" fontId="64" fillId="0" borderId="0" xfId="4" applyFont="1" applyFill="1" applyAlignment="1">
      <alignment horizontal="center"/>
    </xf>
    <xf numFmtId="164" fontId="58" fillId="0" borderId="0" xfId="4" applyNumberFormat="1" applyFont="1" applyFill="1"/>
    <xf numFmtId="164" fontId="58" fillId="0" borderId="0" xfId="6" applyNumberFormat="1" applyFont="1" applyFill="1"/>
    <xf numFmtId="43" fontId="58" fillId="0" borderId="0" xfId="4" applyNumberFormat="1" applyFont="1" applyFill="1"/>
    <xf numFmtId="0" fontId="65" fillId="0" borderId="0" xfId="4" applyFont="1" applyFill="1" applyAlignment="1">
      <alignment horizontal="center"/>
    </xf>
    <xf numFmtId="164" fontId="65" fillId="0" borderId="0" xfId="6" applyNumberFormat="1" applyFont="1" applyFill="1" applyAlignment="1">
      <alignment horizontal="center"/>
    </xf>
    <xf numFmtId="43" fontId="0" fillId="0" borderId="0" xfId="6" applyFont="1" applyFill="1"/>
    <xf numFmtId="170" fontId="0" fillId="0" borderId="0" xfId="5" applyNumberFormat="1" applyFont="1" applyFill="1"/>
    <xf numFmtId="164" fontId="0" fillId="0" borderId="0" xfId="6" applyNumberFormat="1" applyFont="1"/>
    <xf numFmtId="0" fontId="0" fillId="0" borderId="0" xfId="0" applyFill="1" applyBorder="1" applyAlignment="1">
      <alignment horizontal="right"/>
    </xf>
    <xf numFmtId="170" fontId="0" fillId="0" borderId="0" xfId="5" applyNumberFormat="1" applyFont="1"/>
    <xf numFmtId="0" fontId="58" fillId="0" borderId="0" xfId="0" applyFont="1" applyAlignment="1">
      <alignment horizontal="center"/>
    </xf>
    <xf numFmtId="2" fontId="0" fillId="0" borderId="0" xfId="0" applyNumberFormat="1" applyFill="1" applyBorder="1"/>
    <xf numFmtId="0" fontId="11" fillId="0" borderId="0" xfId="4" applyFill="1" applyAlignment="1">
      <alignment horizontal="center"/>
    </xf>
    <xf numFmtId="170" fontId="0" fillId="0" borderId="0" xfId="3" applyNumberFormat="1" applyFont="1"/>
    <xf numFmtId="0" fontId="0" fillId="0" borderId="0" xfId="0"/>
    <xf numFmtId="0" fontId="0" fillId="0" borderId="0" xfId="0" applyFill="1"/>
    <xf numFmtId="0" fontId="12" fillId="6" borderId="0" xfId="0" applyFont="1" applyFill="1" applyProtection="1"/>
    <xf numFmtId="164" fontId="22" fillId="4" borderId="3" xfId="0" applyNumberFormat="1" applyFont="1" applyFill="1" applyBorder="1" applyAlignment="1">
      <alignment horizontal="centerContinuous" wrapText="1"/>
    </xf>
    <xf numFmtId="0" fontId="12" fillId="0" borderId="0" xfId="0" applyFont="1" applyAlignment="1">
      <alignment wrapText="1"/>
    </xf>
    <xf numFmtId="0" fontId="0" fillId="0" borderId="0" xfId="0" applyFill="1" applyBorder="1"/>
    <xf numFmtId="0" fontId="0" fillId="0" borderId="0" xfId="0" applyFill="1" applyBorder="1" applyAlignment="1">
      <alignment horizontal="center"/>
    </xf>
    <xf numFmtId="0" fontId="0" fillId="0" borderId="0" xfId="0" applyFill="1"/>
    <xf numFmtId="0" fontId="58" fillId="0" borderId="0" xfId="7" applyFont="1" applyFill="1"/>
    <xf numFmtId="0" fontId="10" fillId="0" borderId="0" xfId="7" applyFill="1"/>
    <xf numFmtId="0" fontId="58" fillId="0" borderId="1" xfId="7" applyFont="1" applyFill="1" applyBorder="1" applyAlignment="1">
      <alignment horizontal="centerContinuous"/>
    </xf>
    <xf numFmtId="0" fontId="59" fillId="0" borderId="0" xfId="7" applyFont="1" applyFill="1" applyBorder="1" applyAlignment="1">
      <alignment horizontal="center" wrapText="1"/>
    </xf>
    <xf numFmtId="0" fontId="64" fillId="0" borderId="0" xfId="7" applyFont="1" applyFill="1" applyBorder="1" applyAlignment="1">
      <alignment horizontal="center"/>
    </xf>
    <xf numFmtId="0" fontId="64" fillId="0" borderId="0" xfId="7" applyFont="1" applyFill="1" applyBorder="1" applyAlignment="1">
      <alignment horizontal="left"/>
    </xf>
    <xf numFmtId="170" fontId="64" fillId="0" borderId="0" xfId="8" applyNumberFormat="1" applyFont="1" applyFill="1"/>
    <xf numFmtId="164" fontId="64" fillId="0" borderId="0" xfId="9" applyNumberFormat="1" applyFont="1" applyFill="1"/>
    <xf numFmtId="168" fontId="64" fillId="0" borderId="0" xfId="7" applyNumberFormat="1" applyFont="1" applyFill="1"/>
    <xf numFmtId="164" fontId="64" fillId="0" borderId="0" xfId="7" applyNumberFormat="1" applyFont="1" applyFill="1"/>
    <xf numFmtId="0" fontId="64" fillId="0" borderId="0" xfId="7" applyFont="1" applyFill="1" applyAlignment="1">
      <alignment horizontal="center"/>
    </xf>
    <xf numFmtId="0" fontId="10" fillId="0" borderId="0" xfId="7" applyFont="1" applyFill="1" applyAlignment="1">
      <alignment horizontal="center"/>
    </xf>
    <xf numFmtId="170" fontId="0" fillId="0" borderId="0" xfId="8" applyNumberFormat="1" applyFont="1" applyFill="1"/>
    <xf numFmtId="164" fontId="0" fillId="0" borderId="0" xfId="9" applyNumberFormat="1" applyFont="1" applyFill="1"/>
    <xf numFmtId="164" fontId="10" fillId="0" borderId="0" xfId="7" applyNumberFormat="1" applyFill="1"/>
    <xf numFmtId="0" fontId="10" fillId="0" borderId="0" xfId="7" applyFont="1" applyFill="1"/>
    <xf numFmtId="43" fontId="58" fillId="0" borderId="0" xfId="7" applyNumberFormat="1" applyFont="1" applyFill="1"/>
    <xf numFmtId="164" fontId="10" fillId="0" borderId="0" xfId="7" applyNumberFormat="1" applyFont="1" applyFill="1"/>
    <xf numFmtId="170" fontId="58" fillId="0" borderId="0" xfId="7" applyNumberFormat="1" applyFont="1" applyFill="1"/>
    <xf numFmtId="164" fontId="58" fillId="0" borderId="0" xfId="9" applyNumberFormat="1" applyFont="1" applyFill="1"/>
    <xf numFmtId="0" fontId="65" fillId="0" borderId="0" xfId="7" applyFont="1" applyFill="1" applyAlignment="1">
      <alignment horizontal="center"/>
    </xf>
    <xf numFmtId="164" fontId="65" fillId="0" borderId="0" xfId="9" applyNumberFormat="1" applyFont="1" applyFill="1" applyAlignment="1">
      <alignment horizontal="center"/>
    </xf>
    <xf numFmtId="0" fontId="10" fillId="11" borderId="0" xfId="7" applyFill="1"/>
    <xf numFmtId="0" fontId="66" fillId="11" borderId="0" xfId="7" applyFont="1" applyFill="1"/>
    <xf numFmtId="0" fontId="64" fillId="10" borderId="0" xfId="7" applyFont="1" applyFill="1"/>
    <xf numFmtId="0" fontId="10" fillId="0" borderId="0" xfId="7" applyFill="1" applyAlignment="1">
      <alignment horizontal="center"/>
    </xf>
    <xf numFmtId="0" fontId="10" fillId="0" borderId="0" xfId="7" applyFill="1" applyAlignment="1"/>
    <xf numFmtId="43" fontId="0" fillId="0" borderId="0" xfId="9" applyFont="1" applyFill="1"/>
    <xf numFmtId="168" fontId="10" fillId="0" borderId="0" xfId="7" applyNumberFormat="1" applyFill="1"/>
    <xf numFmtId="164" fontId="0" fillId="0" borderId="0" xfId="6" applyNumberFormat="1" applyFont="1" applyFill="1" applyBorder="1"/>
    <xf numFmtId="43" fontId="0" fillId="0" borderId="0" xfId="6" applyFont="1" applyFill="1" applyBorder="1"/>
    <xf numFmtId="43" fontId="0" fillId="0" borderId="0" xfId="0" applyNumberFormat="1" applyFill="1" applyBorder="1"/>
    <xf numFmtId="43" fontId="58" fillId="0" borderId="0" xfId="0" applyNumberFormat="1" applyFont="1" applyFill="1" applyBorder="1"/>
    <xf numFmtId="0" fontId="58" fillId="0" borderId="0" xfId="0" applyFont="1" applyFill="1" applyBorder="1"/>
    <xf numFmtId="164" fontId="0" fillId="0" borderId="0" xfId="0" applyNumberFormat="1" applyFill="1" applyBorder="1" applyAlignment="1">
      <alignment horizontal="center"/>
    </xf>
    <xf numFmtId="0" fontId="0" fillId="0" borderId="0" xfId="0" applyFill="1" applyBorder="1" applyAlignment="1">
      <alignment horizontal="right" wrapText="1"/>
    </xf>
    <xf numFmtId="0" fontId="58" fillId="0" borderId="0" xfId="0" applyFont="1" applyFill="1" applyBorder="1" applyAlignment="1">
      <alignment horizontal="center" wrapText="1"/>
    </xf>
    <xf numFmtId="0" fontId="0" fillId="0" borderId="0" xfId="0" applyFill="1" applyBorder="1" applyAlignment="1">
      <alignment horizontal="left" wrapText="1"/>
    </xf>
    <xf numFmtId="164" fontId="0" fillId="0" borderId="0" xfId="0" applyNumberFormat="1" applyFill="1" applyBorder="1" applyAlignment="1">
      <alignment horizontal="right" wrapText="1"/>
    </xf>
    <xf numFmtId="164" fontId="0" fillId="3" borderId="18" xfId="1" applyNumberFormat="1" applyFont="1" applyFill="1" applyBorder="1" applyAlignment="1">
      <alignment horizontal="center"/>
    </xf>
    <xf numFmtId="0" fontId="0" fillId="13" borderId="0" xfId="0" applyFill="1" applyBorder="1" applyProtection="1">
      <protection locked="0"/>
    </xf>
    <xf numFmtId="164" fontId="0" fillId="13" borderId="0" xfId="1" applyNumberFormat="1" applyFont="1" applyFill="1" applyBorder="1" applyProtection="1">
      <protection locked="0"/>
    </xf>
    <xf numFmtId="0" fontId="0" fillId="0" borderId="0" xfId="0" applyAlignment="1">
      <alignment wrapText="1"/>
    </xf>
    <xf numFmtId="0" fontId="0" fillId="0" borderId="0" xfId="0"/>
    <xf numFmtId="0" fontId="12" fillId="0" borderId="0" xfId="0" applyFont="1" applyAlignment="1">
      <alignment wrapText="1"/>
    </xf>
    <xf numFmtId="0" fontId="0" fillId="0" borderId="0" xfId="0" applyFill="1" applyBorder="1"/>
    <xf numFmtId="0" fontId="0" fillId="0" borderId="0" xfId="0" applyFill="1" applyBorder="1" applyAlignment="1">
      <alignment horizontal="center"/>
    </xf>
    <xf numFmtId="0" fontId="14" fillId="0" borderId="0" xfId="0" applyFont="1" applyFill="1" applyBorder="1"/>
    <xf numFmtId="0" fontId="0" fillId="0" borderId="17" xfId="0" applyBorder="1" applyAlignment="1">
      <alignment horizontal="center"/>
    </xf>
    <xf numFmtId="0" fontId="0" fillId="0" borderId="0" xfId="0"/>
    <xf numFmtId="0" fontId="12" fillId="0" borderId="0" xfId="0" applyFont="1" applyAlignment="1">
      <alignment wrapText="1"/>
    </xf>
    <xf numFmtId="0" fontId="0" fillId="0" borderId="0" xfId="0" applyFill="1"/>
    <xf numFmtId="0" fontId="69" fillId="0" borderId="0" xfId="11" applyFont="1" applyFill="1" applyBorder="1" applyAlignment="1">
      <alignment horizontal="fill"/>
    </xf>
    <xf numFmtId="0" fontId="68" fillId="0" borderId="0" xfId="11" applyFill="1" applyBorder="1" applyAlignment="1"/>
    <xf numFmtId="0" fontId="70" fillId="0" borderId="0" xfId="12" applyNumberFormat="1" applyFont="1" applyFill="1" applyBorder="1" applyAlignment="1" applyProtection="1"/>
    <xf numFmtId="0" fontId="72" fillId="0" borderId="0" xfId="13" applyFont="1" applyFill="1" applyBorder="1">
      <alignment horizontal="centerContinuous"/>
    </xf>
    <xf numFmtId="171" fontId="67" fillId="0" borderId="0" xfId="10" applyNumberFormat="1" applyFont="1" applyFill="1" applyBorder="1" applyAlignment="1"/>
    <xf numFmtId="0" fontId="67" fillId="0" borderId="0" xfId="14" applyFont="1" applyFill="1" applyBorder="1" applyAlignment="1"/>
    <xf numFmtId="0" fontId="74" fillId="0" borderId="0" xfId="14" applyFont="1" applyFill="1" applyBorder="1" applyAlignment="1"/>
    <xf numFmtId="0" fontId="32" fillId="0" borderId="0" xfId="14" applyFont="1" applyFill="1" applyBorder="1" applyAlignment="1">
      <alignment horizontal="center"/>
    </xf>
    <xf numFmtId="0" fontId="74" fillId="0" borderId="0" xfId="14" applyFont="1" applyFill="1" applyBorder="1" applyAlignment="1">
      <alignment horizontal="centerContinuous"/>
    </xf>
    <xf numFmtId="0" fontId="32" fillId="0" borderId="0" xfId="14" applyFont="1" applyFill="1" applyBorder="1" applyAlignment="1">
      <alignment horizontal="centerContinuous"/>
    </xf>
    <xf numFmtId="171" fontId="75" fillId="0" borderId="0" xfId="10" applyNumberFormat="1" applyFont="1" applyFill="1" applyBorder="1" applyAlignment="1">
      <alignment horizontal="center" wrapText="1"/>
    </xf>
    <xf numFmtId="0" fontId="75" fillId="0" borderId="0" xfId="15" applyFont="1" applyFill="1" applyBorder="1">
      <alignment horizontal="center"/>
    </xf>
    <xf numFmtId="0" fontId="75" fillId="0" borderId="0" xfId="15" applyFont="1" applyFill="1" applyBorder="1" applyAlignment="1">
      <alignment horizontal="center" wrapText="1"/>
    </xf>
    <xf numFmtId="172" fontId="75" fillId="0" borderId="0" xfId="15" applyNumberFormat="1" applyFont="1" applyFill="1" applyBorder="1" applyAlignment="1">
      <alignment horizontal="center" wrapText="1"/>
    </xf>
    <xf numFmtId="171" fontId="75" fillId="0" borderId="0" xfId="10" applyNumberFormat="1" applyFont="1" applyFill="1" applyBorder="1" applyAlignment="1">
      <alignment horizontal="center"/>
    </xf>
    <xf numFmtId="38" fontId="39" fillId="0" borderId="0" xfId="11" applyNumberFormat="1" applyFont="1" applyFill="1" applyBorder="1" applyAlignment="1">
      <alignment horizontal="right" wrapText="1"/>
    </xf>
    <xf numFmtId="38" fontId="39" fillId="0" borderId="0" xfId="11" applyNumberFormat="1" applyFont="1" applyFill="1" applyBorder="1" applyAlignment="1">
      <alignment wrapText="1"/>
    </xf>
    <xf numFmtId="41" fontId="76" fillId="0" borderId="0" xfId="11" applyNumberFormat="1" applyFont="1" applyFill="1" applyBorder="1" applyAlignment="1"/>
    <xf numFmtId="0" fontId="39" fillId="0" borderId="0" xfId="10" applyNumberFormat="1" applyFont="1" applyFill="1" applyBorder="1" applyAlignment="1"/>
    <xf numFmtId="37" fontId="76" fillId="0" borderId="0" xfId="11" applyNumberFormat="1" applyFont="1" applyFill="1" applyBorder="1" applyAlignment="1"/>
    <xf numFmtId="37" fontId="68" fillId="0" borderId="0" xfId="11" applyNumberFormat="1" applyFill="1" applyBorder="1" applyAlignment="1"/>
    <xf numFmtId="0" fontId="39" fillId="10" borderId="0" xfId="10" applyNumberFormat="1" applyFont="1" applyFill="1" applyBorder="1" applyAlignment="1"/>
    <xf numFmtId="38" fontId="39" fillId="10" borderId="0" xfId="11" applyNumberFormat="1" applyFont="1" applyFill="1" applyBorder="1" applyAlignment="1">
      <alignment wrapText="1"/>
    </xf>
    <xf numFmtId="41" fontId="76" fillId="10" borderId="0" xfId="11" applyNumberFormat="1" applyFont="1" applyFill="1" applyBorder="1" applyAlignment="1"/>
    <xf numFmtId="41" fontId="76" fillId="0" borderId="1" xfId="11" applyNumberFormat="1" applyFont="1" applyFill="1" applyBorder="1" applyAlignment="1"/>
    <xf numFmtId="171" fontId="39" fillId="0" borderId="0" xfId="10" applyNumberFormat="1" applyFont="1" applyFill="1" applyBorder="1"/>
    <xf numFmtId="0" fontId="39" fillId="0" borderId="0" xfId="12" applyFont="1" applyFill="1" applyBorder="1"/>
    <xf numFmtId="41" fontId="76" fillId="0" borderId="0" xfId="12" applyNumberFormat="1" applyFont="1" applyFill="1" applyBorder="1"/>
    <xf numFmtId="171" fontId="77" fillId="0" borderId="0" xfId="10" applyNumberFormat="1" applyFont="1" applyFill="1" applyBorder="1"/>
    <xf numFmtId="0" fontId="77" fillId="0" borderId="0" xfId="12" applyFont="1" applyFill="1" applyBorder="1"/>
    <xf numFmtId="0" fontId="41" fillId="0" borderId="0" xfId="11" applyFont="1" applyFill="1" applyBorder="1" applyAlignment="1"/>
    <xf numFmtId="0" fontId="67" fillId="0" borderId="0" xfId="12" applyFill="1" applyBorder="1"/>
    <xf numFmtId="41" fontId="41" fillId="0" borderId="0" xfId="11" applyNumberFormat="1" applyFont="1" applyFill="1" applyBorder="1" applyAlignment="1"/>
    <xf numFmtId="171" fontId="0" fillId="0" borderId="0" xfId="10" applyNumberFormat="1" applyFont="1" applyFill="1" applyBorder="1"/>
    <xf numFmtId="38" fontId="68" fillId="0" borderId="0" xfId="11" applyNumberFormat="1" applyFill="1" applyBorder="1" applyAlignment="1"/>
    <xf numFmtId="38" fontId="78" fillId="0" borderId="0" xfId="11" applyNumberFormat="1" applyFont="1" applyFill="1" applyBorder="1" applyAlignment="1"/>
    <xf numFmtId="172" fontId="68" fillId="0" borderId="0" xfId="3" applyNumberFormat="1" applyFont="1" applyFill="1" applyBorder="1" applyAlignment="1">
      <alignment horizontal="left" vertical="top" wrapText="1"/>
    </xf>
    <xf numFmtId="172" fontId="67" fillId="0" borderId="0" xfId="3" applyNumberFormat="1" applyFont="1" applyFill="1" applyBorder="1" applyAlignment="1"/>
    <xf numFmtId="172" fontId="75" fillId="0" borderId="0" xfId="3" applyNumberFormat="1" applyFont="1" applyFill="1" applyBorder="1" applyAlignment="1">
      <alignment horizontal="center" wrapText="1"/>
    </xf>
    <xf numFmtId="172" fontId="75" fillId="0" borderId="0" xfId="3" applyNumberFormat="1" applyFont="1" applyFill="1" applyBorder="1" applyAlignment="1">
      <alignment horizontal="center"/>
    </xf>
    <xf numFmtId="172" fontId="39" fillId="0" borderId="0" xfId="3" applyNumberFormat="1" applyFont="1" applyFill="1" applyBorder="1" applyAlignment="1">
      <alignment wrapText="1"/>
    </xf>
    <xf numFmtId="172" fontId="39" fillId="0" borderId="0" xfId="3" applyNumberFormat="1" applyFont="1" applyFill="1" applyBorder="1"/>
    <xf numFmtId="172" fontId="77" fillId="0" borderId="0" xfId="3" applyNumberFormat="1" applyFont="1" applyFill="1" applyBorder="1"/>
    <xf numFmtId="172" fontId="67" fillId="0" borderId="0" xfId="3" applyNumberFormat="1" applyFont="1" applyFill="1" applyBorder="1"/>
    <xf numFmtId="172" fontId="39" fillId="0" borderId="0" xfId="3" applyNumberFormat="1" applyFont="1" applyFill="1" applyBorder="1" applyAlignment="1">
      <alignment horizontal="right" wrapText="1"/>
    </xf>
    <xf numFmtId="41" fontId="39" fillId="0" borderId="0" xfId="2" applyNumberFormat="1" applyFont="1" applyFill="1" applyBorder="1" applyAlignment="1">
      <alignment wrapText="1"/>
    </xf>
    <xf numFmtId="41" fontId="0" fillId="0" borderId="0" xfId="3" applyNumberFormat="1" applyFont="1"/>
    <xf numFmtId="43" fontId="12" fillId="0" borderId="0" xfId="0" applyNumberFormat="1" applyFont="1"/>
    <xf numFmtId="0" fontId="0" fillId="0" borderId="0" xfId="0" applyAlignment="1">
      <alignment wrapText="1"/>
    </xf>
    <xf numFmtId="0" fontId="0" fillId="0" borderId="0" xfId="0"/>
    <xf numFmtId="0" fontId="12" fillId="0" borderId="0" xfId="0" applyFont="1" applyAlignment="1">
      <alignment wrapText="1"/>
    </xf>
    <xf numFmtId="0" fontId="0" fillId="0" borderId="0" xfId="0" applyFill="1" applyBorder="1"/>
    <xf numFmtId="0" fontId="0" fillId="0" borderId="0" xfId="0" applyFill="1" applyBorder="1" applyAlignment="1">
      <alignment horizontal="center"/>
    </xf>
    <xf numFmtId="0" fontId="14" fillId="0" borderId="0" xfId="0" applyFont="1" applyFill="1" applyBorder="1"/>
    <xf numFmtId="0" fontId="0" fillId="0" borderId="17" xfId="0" applyBorder="1" applyAlignment="1">
      <alignment horizontal="center"/>
    </xf>
    <xf numFmtId="164" fontId="35" fillId="0" borderId="0" xfId="1" applyNumberFormat="1" applyFont="1" applyBorder="1"/>
    <xf numFmtId="164" fontId="35" fillId="14" borderId="0" xfId="0" applyNumberFormat="1" applyFont="1" applyFill="1" applyAlignment="1">
      <alignment horizontal="center"/>
    </xf>
    <xf numFmtId="164" fontId="12" fillId="6" borderId="0" xfId="1" quotePrefix="1" applyNumberFormat="1" applyFont="1" applyFill="1"/>
    <xf numFmtId="164" fontId="35" fillId="0" borderId="0" xfId="0" applyNumberFormat="1" applyFont="1" applyFill="1" applyAlignment="1">
      <alignment horizontal="center"/>
    </xf>
    <xf numFmtId="164" fontId="35" fillId="0" borderId="0" xfId="0" applyNumberFormat="1" applyFont="1" applyAlignment="1">
      <alignment horizontal="center"/>
    </xf>
    <xf numFmtId="164" fontId="12" fillId="0" borderId="0" xfId="0" applyNumberFormat="1" applyFont="1"/>
    <xf numFmtId="0" fontId="0" fillId="0" borderId="0" xfId="0"/>
    <xf numFmtId="0" fontId="12" fillId="0" borderId="0" xfId="0" applyFont="1" applyAlignment="1">
      <alignment wrapText="1"/>
    </xf>
    <xf numFmtId="0" fontId="0" fillId="0" borderId="0" xfId="0" applyFill="1" applyBorder="1"/>
    <xf numFmtId="0" fontId="0" fillId="0" borderId="0" xfId="0" applyFill="1"/>
    <xf numFmtId="0" fontId="64" fillId="0" borderId="0" xfId="16" applyFont="1" applyFill="1"/>
    <xf numFmtId="170" fontId="64" fillId="0" borderId="0" xfId="16" applyNumberFormat="1" applyFont="1" applyFill="1"/>
    <xf numFmtId="0" fontId="9" fillId="0" borderId="0" xfId="16" applyFill="1"/>
    <xf numFmtId="0" fontId="81" fillId="0" borderId="1" xfId="16" applyFont="1" applyFill="1" applyBorder="1" applyAlignment="1">
      <alignment horizontal="centerContinuous"/>
    </xf>
    <xf numFmtId="0" fontId="81" fillId="0" borderId="0" xfId="16" applyFont="1" applyFill="1" applyBorder="1" applyAlignment="1">
      <alignment horizontal="center" wrapText="1"/>
    </xf>
    <xf numFmtId="0" fontId="59" fillId="0" borderId="0" xfId="16" applyFont="1" applyFill="1" applyBorder="1" applyAlignment="1">
      <alignment horizontal="center" wrapText="1"/>
    </xf>
    <xf numFmtId="0" fontId="64" fillId="0" borderId="0" xfId="16" applyFont="1" applyFill="1" applyBorder="1" applyAlignment="1">
      <alignment horizontal="center" wrapText="1"/>
    </xf>
    <xf numFmtId="0" fontId="64" fillId="0" borderId="0" xfId="16" applyFont="1" applyFill="1" applyBorder="1" applyAlignment="1">
      <alignment horizontal="left" wrapText="1"/>
    </xf>
    <xf numFmtId="168" fontId="64" fillId="0" borderId="0" xfId="16" applyNumberFormat="1" applyFont="1" applyFill="1"/>
    <xf numFmtId="0" fontId="64" fillId="0" borderId="0" xfId="16" applyFont="1" applyFill="1" applyBorder="1" applyAlignment="1">
      <alignment horizontal="center"/>
    </xf>
    <xf numFmtId="0" fontId="64" fillId="0" borderId="0" xfId="16" applyFont="1" applyFill="1" applyBorder="1" applyAlignment="1">
      <alignment horizontal="left"/>
    </xf>
    <xf numFmtId="170" fontId="64" fillId="0" borderId="0" xfId="17" applyNumberFormat="1" applyFont="1" applyFill="1"/>
    <xf numFmtId="164" fontId="64" fillId="0" borderId="0" xfId="18" applyNumberFormat="1" applyFont="1" applyFill="1"/>
    <xf numFmtId="164" fontId="64" fillId="0" borderId="0" xfId="16" applyNumberFormat="1" applyFont="1" applyFill="1"/>
    <xf numFmtId="0" fontId="64" fillId="0" borderId="0" xfId="16" applyFont="1" applyFill="1" applyAlignment="1">
      <alignment horizontal="center"/>
    </xf>
    <xf numFmtId="0" fontId="81" fillId="0" borderId="0" xfId="16" applyFont="1" applyFill="1"/>
    <xf numFmtId="170" fontId="81" fillId="0" borderId="0" xfId="17" applyNumberFormat="1" applyFont="1" applyFill="1"/>
    <xf numFmtId="164" fontId="58" fillId="0" borderId="0" xfId="16" applyNumberFormat="1" applyFont="1" applyFill="1"/>
    <xf numFmtId="164" fontId="81" fillId="0" borderId="0" xfId="18" applyNumberFormat="1" applyFont="1" applyFill="1"/>
    <xf numFmtId="43" fontId="81" fillId="0" borderId="0" xfId="16" applyNumberFormat="1" applyFont="1" applyFill="1"/>
    <xf numFmtId="172" fontId="39" fillId="10" borderId="0" xfId="3" applyNumberFormat="1" applyFont="1" applyFill="1" applyBorder="1" applyAlignment="1">
      <alignment wrapText="1"/>
    </xf>
    <xf numFmtId="41" fontId="39" fillId="10" borderId="0" xfId="2" applyNumberFormat="1" applyFont="1" applyFill="1" applyBorder="1" applyAlignment="1">
      <alignment wrapText="1"/>
    </xf>
    <xf numFmtId="37" fontId="76" fillId="10" borderId="0" xfId="11" applyNumberFormat="1" applyFont="1" applyFill="1" applyBorder="1" applyAlignment="1"/>
    <xf numFmtId="37" fontId="68" fillId="10" borderId="0" xfId="11" applyNumberFormat="1" applyFill="1" applyBorder="1" applyAlignment="1"/>
    <xf numFmtId="0" fontId="68" fillId="10" borderId="0" xfId="11" applyFill="1" applyBorder="1" applyAlignment="1"/>
    <xf numFmtId="0" fontId="64" fillId="10" borderId="0" xfId="16" applyFont="1" applyFill="1" applyBorder="1" applyAlignment="1">
      <alignment horizontal="center"/>
    </xf>
    <xf numFmtId="0" fontId="64" fillId="10" borderId="0" xfId="16" applyFont="1" applyFill="1" applyBorder="1" applyAlignment="1">
      <alignment horizontal="left"/>
    </xf>
    <xf numFmtId="170" fontId="64" fillId="10" borderId="0" xfId="17" applyNumberFormat="1" applyFont="1" applyFill="1"/>
    <xf numFmtId="168" fontId="64" fillId="10" borderId="0" xfId="16" applyNumberFormat="1" applyFont="1" applyFill="1"/>
    <xf numFmtId="164" fontId="64" fillId="10" borderId="0" xfId="18" applyNumberFormat="1" applyFont="1" applyFill="1"/>
    <xf numFmtId="164" fontId="64" fillId="10" borderId="0" xfId="16" applyNumberFormat="1" applyFont="1" applyFill="1"/>
    <xf numFmtId="0" fontId="64" fillId="10" borderId="0" xfId="16" applyFont="1" applyFill="1"/>
    <xf numFmtId="0" fontId="0" fillId="0" borderId="0" xfId="0"/>
    <xf numFmtId="0" fontId="0" fillId="0" borderId="0" xfId="0" applyFill="1"/>
    <xf numFmtId="0" fontId="0" fillId="0" borderId="0" xfId="0" applyFill="1" applyBorder="1"/>
    <xf numFmtId="0" fontId="0" fillId="13" borderId="0" xfId="0" applyFill="1" applyBorder="1" applyAlignment="1">
      <alignment wrapText="1"/>
    </xf>
    <xf numFmtId="0" fontId="0" fillId="0" borderId="0" xfId="0" applyFill="1" applyAlignment="1">
      <alignment horizontal="right"/>
    </xf>
    <xf numFmtId="0" fontId="12" fillId="0" borderId="0" xfId="0" applyFont="1" applyFill="1"/>
    <xf numFmtId="0" fontId="0" fillId="0" borderId="0" xfId="0"/>
    <xf numFmtId="164" fontId="12" fillId="0" borderId="17" xfId="1" applyNumberFormat="1" applyFont="1" applyFill="1" applyBorder="1"/>
    <xf numFmtId="164" fontId="12" fillId="0" borderId="18" xfId="1" applyNumberFormat="1" applyFont="1" applyFill="1" applyBorder="1"/>
    <xf numFmtId="0" fontId="0" fillId="0" borderId="0" xfId="0" applyFill="1"/>
    <xf numFmtId="0" fontId="0" fillId="0" borderId="0" xfId="0" applyFill="1" applyBorder="1"/>
    <xf numFmtId="0" fontId="64" fillId="0" borderId="0" xfId="19" applyFont="1" applyFill="1"/>
    <xf numFmtId="0" fontId="81" fillId="0" borderId="1" xfId="19" applyFont="1" applyFill="1" applyBorder="1" applyAlignment="1">
      <alignment horizontal="centerContinuous"/>
    </xf>
    <xf numFmtId="0" fontId="81" fillId="0" borderId="0" xfId="19" applyFont="1" applyFill="1" applyBorder="1" applyAlignment="1">
      <alignment horizontal="center" wrapText="1"/>
    </xf>
    <xf numFmtId="0" fontId="64" fillId="0" borderId="0" xfId="19" applyFont="1" applyFill="1" applyBorder="1" applyAlignment="1">
      <alignment horizontal="center" wrapText="1"/>
    </xf>
    <xf numFmtId="0" fontId="64" fillId="0" borderId="0" xfId="19" applyFont="1" applyFill="1" applyBorder="1" applyAlignment="1">
      <alignment horizontal="left"/>
    </xf>
    <xf numFmtId="168" fontId="64" fillId="0" borderId="0" xfId="19" applyNumberFormat="1" applyFont="1" applyFill="1"/>
    <xf numFmtId="0" fontId="64" fillId="0" borderId="0" xfId="19" applyFont="1" applyFill="1" applyBorder="1" applyAlignment="1">
      <alignment horizontal="center"/>
    </xf>
    <xf numFmtId="170" fontId="64" fillId="0" borderId="0" xfId="20" applyNumberFormat="1" applyFont="1" applyFill="1"/>
    <xf numFmtId="164" fontId="64" fillId="0" borderId="0" xfId="21" applyNumberFormat="1" applyFont="1" applyFill="1"/>
    <xf numFmtId="164" fontId="64" fillId="0" borderId="0" xfId="19" applyNumberFormat="1" applyFont="1" applyFill="1"/>
    <xf numFmtId="0" fontId="12" fillId="0" borderId="0" xfId="19" applyFont="1" applyFill="1" applyBorder="1" applyAlignment="1">
      <alignment horizontal="center"/>
    </xf>
    <xf numFmtId="0" fontId="64" fillId="0" borderId="0" xfId="19" applyFont="1" applyFill="1" applyAlignment="1">
      <alignment horizontal="center"/>
    </xf>
    <xf numFmtId="0" fontId="81" fillId="0" borderId="0" xfId="19" applyFont="1" applyFill="1"/>
    <xf numFmtId="173" fontId="81" fillId="0" borderId="0" xfId="19" applyNumberFormat="1" applyFont="1" applyFill="1"/>
    <xf numFmtId="164" fontId="81" fillId="0" borderId="0" xfId="19" applyNumberFormat="1" applyFont="1" applyFill="1"/>
    <xf numFmtId="43" fontId="81" fillId="0" borderId="0" xfId="19" applyNumberFormat="1" applyFont="1" applyFill="1"/>
    <xf numFmtId="0" fontId="0" fillId="0" borderId="0" xfId="0"/>
    <xf numFmtId="0" fontId="0" fillId="0" borderId="0" xfId="0" applyFill="1"/>
    <xf numFmtId="0" fontId="39" fillId="0" borderId="0" xfId="10" applyNumberFormat="1" applyFont="1" applyFill="1" applyBorder="1" applyAlignment="1">
      <alignment horizontal="right"/>
    </xf>
    <xf numFmtId="41" fontId="0" fillId="0" borderId="0" xfId="3" applyNumberFormat="1" applyFont="1" applyFill="1"/>
    <xf numFmtId="0" fontId="0" fillId="0" borderId="0" xfId="0"/>
    <xf numFmtId="0" fontId="12" fillId="0" borderId="0" xfId="0" applyFont="1" applyFill="1" applyProtection="1">
      <protection locked="0"/>
    </xf>
    <xf numFmtId="0" fontId="14" fillId="0" borderId="0" xfId="0" applyFont="1"/>
    <xf numFmtId="0" fontId="0" fillId="0" borderId="0" xfId="0"/>
    <xf numFmtId="0" fontId="0" fillId="0" borderId="0" xfId="0" applyProtection="1"/>
    <xf numFmtId="164" fontId="0" fillId="4" borderId="0" xfId="1" applyNumberFormat="1" applyFont="1" applyFill="1"/>
    <xf numFmtId="164" fontId="0" fillId="0" borderId="0" xfId="0" applyNumberFormat="1" applyAlignment="1">
      <alignment wrapText="1"/>
    </xf>
    <xf numFmtId="164" fontId="0" fillId="13" borderId="0" xfId="1" applyNumberFormat="1" applyFont="1" applyFill="1"/>
    <xf numFmtId="0" fontId="12" fillId="0" borderId="0" xfId="0" quotePrefix="1" applyFont="1"/>
    <xf numFmtId="0" fontId="0" fillId="0" borderId="0" xfId="0"/>
    <xf numFmtId="0" fontId="0" fillId="0" borderId="0" xfId="0" applyFill="1"/>
    <xf numFmtId="0" fontId="64" fillId="0" borderId="0" xfId="0" applyFont="1"/>
    <xf numFmtId="0" fontId="64" fillId="0" borderId="0" xfId="0" applyFont="1" applyAlignment="1">
      <alignment horizontal="center" wrapText="1"/>
    </xf>
    <xf numFmtId="0" fontId="64" fillId="0" borderId="0" xfId="0" applyFont="1" applyAlignment="1">
      <alignment horizontal="center"/>
    </xf>
    <xf numFmtId="0" fontId="81" fillId="0" borderId="0" xfId="0" applyFont="1" applyAlignment="1">
      <alignment horizontal="center" wrapText="1"/>
    </xf>
    <xf numFmtId="168" fontId="64" fillId="0" borderId="0" xfId="0" applyNumberFormat="1" applyFont="1" applyFill="1"/>
    <xf numFmtId="170" fontId="64" fillId="0" borderId="0" xfId="3" applyNumberFormat="1" applyFont="1" applyFill="1"/>
    <xf numFmtId="170" fontId="81" fillId="0" borderId="0" xfId="3" applyNumberFormat="1" applyFont="1" applyFill="1"/>
    <xf numFmtId="164" fontId="64" fillId="0" borderId="0" xfId="1" applyNumberFormat="1" applyFont="1" applyFill="1"/>
    <xf numFmtId="43" fontId="81" fillId="0" borderId="0" xfId="1" applyFont="1" applyFill="1"/>
    <xf numFmtId="0" fontId="81" fillId="0" borderId="0" xfId="0" applyFont="1" applyFill="1" applyBorder="1" applyAlignment="1">
      <alignment horizontal="center" wrapText="1"/>
    </xf>
    <xf numFmtId="0" fontId="64" fillId="13" borderId="0" xfId="0" applyFont="1" applyFill="1" applyAlignment="1">
      <alignment horizontal="center"/>
    </xf>
    <xf numFmtId="0" fontId="64" fillId="13" borderId="0" xfId="0" applyFont="1" applyFill="1"/>
    <xf numFmtId="170" fontId="64" fillId="13" borderId="0" xfId="3" applyNumberFormat="1" applyFont="1" applyFill="1"/>
    <xf numFmtId="164" fontId="64" fillId="13" borderId="0" xfId="1" applyNumberFormat="1" applyFont="1" applyFill="1"/>
    <xf numFmtId="0" fontId="64" fillId="0" borderId="0" xfId="16" applyFont="1" applyFill="1" applyBorder="1" applyAlignment="1">
      <alignment horizontal="right"/>
    </xf>
    <xf numFmtId="0" fontId="58" fillId="0" borderId="1" xfId="22" applyNumberFormat="1" applyFont="1" applyBorder="1" applyAlignment="1">
      <alignment horizontal="center" wrapText="1"/>
    </xf>
    <xf numFmtId="43" fontId="58" fillId="0" borderId="1" xfId="22" applyFont="1" applyBorder="1" applyAlignment="1">
      <alignment wrapText="1"/>
    </xf>
    <xf numFmtId="43" fontId="58" fillId="0" borderId="1" xfId="22" applyFont="1" applyBorder="1" applyAlignment="1">
      <alignment horizontal="center"/>
    </xf>
    <xf numFmtId="0" fontId="7" fillId="0" borderId="0" xfId="23"/>
    <xf numFmtId="0" fontId="7" fillId="0" borderId="0" xfId="23" applyAlignment="1">
      <alignment horizontal="center"/>
    </xf>
    <xf numFmtId="43" fontId="0" fillId="0" borderId="0" xfId="22" applyFont="1"/>
    <xf numFmtId="0" fontId="7" fillId="15" borderId="0" xfId="23" applyFill="1" applyAlignment="1">
      <alignment horizontal="center"/>
    </xf>
    <xf numFmtId="0" fontId="7" fillId="15" borderId="0" xfId="23" applyFill="1"/>
    <xf numFmtId="43" fontId="0" fillId="15" borderId="0" xfId="22" applyFont="1" applyFill="1"/>
    <xf numFmtId="0" fontId="64" fillId="0" borderId="0" xfId="23" applyFont="1" applyFill="1" applyBorder="1" applyAlignment="1">
      <alignment horizontal="left"/>
    </xf>
    <xf numFmtId="0" fontId="64" fillId="0" borderId="0" xfId="23" applyFont="1" applyFill="1" applyBorder="1" applyAlignment="1">
      <alignment horizontal="center"/>
    </xf>
    <xf numFmtId="43" fontId="7" fillId="0" borderId="0" xfId="23" applyNumberFormat="1"/>
    <xf numFmtId="43" fontId="64" fillId="0" borderId="0" xfId="0" applyNumberFormat="1" applyFont="1"/>
    <xf numFmtId="164" fontId="7" fillId="0" borderId="16" xfId="23" applyNumberFormat="1" applyBorder="1"/>
    <xf numFmtId="164" fontId="64" fillId="0" borderId="0" xfId="22" applyNumberFormat="1" applyFont="1" applyFill="1"/>
    <xf numFmtId="164" fontId="64" fillId="15" borderId="0" xfId="22" applyNumberFormat="1" applyFont="1" applyFill="1"/>
    <xf numFmtId="43" fontId="81" fillId="0" borderId="0" xfId="22" applyFont="1" applyFill="1"/>
    <xf numFmtId="0" fontId="64" fillId="0" borderId="0" xfId="0" applyFont="1" applyFill="1"/>
    <xf numFmtId="0" fontId="81" fillId="0" borderId="0" xfId="0" applyFont="1" applyFill="1"/>
    <xf numFmtId="164" fontId="81" fillId="0" borderId="0" xfId="22" applyNumberFormat="1" applyFont="1" applyFill="1"/>
    <xf numFmtId="0" fontId="64" fillId="0" borderId="0" xfId="24" applyFont="1" applyFill="1"/>
    <xf numFmtId="0" fontId="6" fillId="0" borderId="0" xfId="24"/>
    <xf numFmtId="0" fontId="6" fillId="0" borderId="0" xfId="24" applyFill="1"/>
    <xf numFmtId="0" fontId="81" fillId="0" borderId="1" xfId="24" applyFont="1" applyFill="1" applyBorder="1" applyAlignment="1">
      <alignment horizontal="centerContinuous"/>
    </xf>
    <xf numFmtId="0" fontId="81" fillId="0" borderId="0" xfId="24" applyFont="1" applyFill="1" applyBorder="1" applyAlignment="1">
      <alignment horizontal="center" wrapText="1"/>
    </xf>
    <xf numFmtId="0" fontId="64" fillId="0" borderId="0" xfId="24" applyFont="1" applyFill="1" applyBorder="1" applyAlignment="1">
      <alignment horizontal="center" wrapText="1"/>
    </xf>
    <xf numFmtId="0" fontId="64" fillId="0" borderId="0" xfId="24" applyFont="1" applyFill="1" applyBorder="1" applyAlignment="1">
      <alignment horizontal="left" wrapText="1"/>
    </xf>
    <xf numFmtId="43" fontId="64" fillId="0" borderId="0" xfId="25" applyFont="1" applyFill="1" applyBorder="1" applyAlignment="1">
      <alignment horizontal="center" wrapText="1"/>
    </xf>
    <xf numFmtId="164" fontId="64" fillId="0" borderId="0" xfId="25" applyNumberFormat="1" applyFont="1" applyFill="1" applyBorder="1" applyAlignment="1">
      <alignment horizontal="center" wrapText="1"/>
    </xf>
    <xf numFmtId="164" fontId="81" fillId="0" borderId="0" xfId="25" applyNumberFormat="1" applyFont="1" applyFill="1" applyBorder="1" applyAlignment="1">
      <alignment horizontal="center" wrapText="1"/>
    </xf>
    <xf numFmtId="164" fontId="0" fillId="0" borderId="0" xfId="25" applyNumberFormat="1" applyFont="1"/>
    <xf numFmtId="0" fontId="6" fillId="0" borderId="0" xfId="24" applyAlignment="1">
      <alignment horizontal="center"/>
    </xf>
    <xf numFmtId="170" fontId="0" fillId="0" borderId="0" xfId="26" applyNumberFormat="1" applyFont="1"/>
    <xf numFmtId="164" fontId="64" fillId="0" borderId="0" xfId="25" applyNumberFormat="1" applyFont="1" applyFill="1"/>
    <xf numFmtId="165" fontId="6" fillId="0" borderId="0" xfId="24" applyNumberFormat="1" applyFill="1"/>
    <xf numFmtId="165" fontId="0" fillId="0" borderId="0" xfId="27" applyNumberFormat="1" applyFont="1"/>
    <xf numFmtId="165" fontId="6" fillId="0" borderId="0" xfId="24" applyNumberFormat="1"/>
    <xf numFmtId="164" fontId="0" fillId="0" borderId="0" xfId="25" applyNumberFormat="1" applyFont="1" applyFill="1"/>
    <xf numFmtId="0" fontId="6" fillId="0" borderId="0" xfId="24" applyFill="1" applyAlignment="1">
      <alignment horizontal="center"/>
    </xf>
    <xf numFmtId="170" fontId="0" fillId="0" borderId="0" xfId="26" applyNumberFormat="1" applyFont="1" applyFill="1"/>
    <xf numFmtId="0" fontId="64" fillId="0" borderId="0" xfId="24" applyFont="1" applyFill="1" applyBorder="1" applyAlignment="1">
      <alignment horizontal="center"/>
    </xf>
    <xf numFmtId="0" fontId="64" fillId="0" borderId="0" xfId="24" applyFont="1" applyFill="1" applyBorder="1" applyAlignment="1">
      <alignment horizontal="left"/>
    </xf>
    <xf numFmtId="170" fontId="64" fillId="0" borderId="0" xfId="26" applyNumberFormat="1" applyFont="1" applyFill="1"/>
    <xf numFmtId="168" fontId="64" fillId="0" borderId="0" xfId="24" applyNumberFormat="1" applyFont="1" applyFill="1"/>
    <xf numFmtId="164" fontId="64" fillId="0" borderId="0" xfId="24" applyNumberFormat="1" applyFont="1" applyFill="1"/>
    <xf numFmtId="10" fontId="64" fillId="0" borderId="0" xfId="24" applyNumberFormat="1" applyFont="1" applyFill="1"/>
    <xf numFmtId="0" fontId="81" fillId="0" borderId="0" xfId="24" applyFont="1" applyFill="1" applyAlignment="1">
      <alignment horizontal="left"/>
    </xf>
    <xf numFmtId="0" fontId="81" fillId="0" borderId="0" xfId="24" applyFont="1" applyFill="1"/>
    <xf numFmtId="170" fontId="81" fillId="0" borderId="0" xfId="24" applyNumberFormat="1" applyFont="1" applyFill="1"/>
    <xf numFmtId="173" fontId="81" fillId="0" borderId="0" xfId="24" applyNumberFormat="1" applyFont="1" applyFill="1"/>
    <xf numFmtId="164" fontId="81" fillId="0" borderId="0" xfId="24" applyNumberFormat="1" applyFont="1" applyFill="1"/>
    <xf numFmtId="43" fontId="81" fillId="0" borderId="0" xfId="24" applyNumberFormat="1" applyFont="1" applyFill="1"/>
    <xf numFmtId="0" fontId="58" fillId="0" borderId="1" xfId="28" applyFont="1" applyBorder="1"/>
    <xf numFmtId="43" fontId="58" fillId="0" borderId="1" xfId="29" applyFont="1" applyBorder="1" applyAlignment="1">
      <alignment wrapText="1"/>
    </xf>
    <xf numFmtId="0" fontId="5" fillId="0" borderId="0" xfId="28"/>
    <xf numFmtId="0" fontId="5" fillId="0" borderId="0" xfId="28" applyFont="1" applyBorder="1" applyAlignment="1">
      <alignment horizontal="right"/>
    </xf>
    <xf numFmtId="0" fontId="5" fillId="0" borderId="0" xfId="28" applyFont="1" applyBorder="1"/>
    <xf numFmtId="43" fontId="5" fillId="0" borderId="0" xfId="29" applyFont="1" applyBorder="1" applyAlignment="1">
      <alignment wrapText="1"/>
    </xf>
    <xf numFmtId="43" fontId="0" fillId="0" borderId="0" xfId="29" applyFont="1"/>
    <xf numFmtId="0" fontId="12" fillId="0" borderId="0" xfId="28" applyFont="1" applyFill="1" applyBorder="1" applyAlignment="1">
      <alignment horizontal="right"/>
    </xf>
    <xf numFmtId="0" fontId="64" fillId="0" borderId="0" xfId="28" applyFont="1" applyFill="1" applyBorder="1" applyAlignment="1">
      <alignment horizontal="left"/>
    </xf>
    <xf numFmtId="43" fontId="0" fillId="0" borderId="0" xfId="29" applyFont="1" applyFill="1"/>
    <xf numFmtId="43" fontId="0" fillId="0" borderId="0" xfId="29" applyFont="1" applyBorder="1"/>
    <xf numFmtId="43" fontId="0" fillId="0" borderId="0" xfId="29" applyFont="1" applyFill="1" applyBorder="1"/>
    <xf numFmtId="164" fontId="6" fillId="0" borderId="0" xfId="1" applyNumberFormat="1" applyFont="1"/>
    <xf numFmtId="0" fontId="0" fillId="0" borderId="0" xfId="0" applyFill="1"/>
    <xf numFmtId="171" fontId="83" fillId="0" borderId="0" xfId="10" applyNumberFormat="1" applyFont="1" applyFill="1" applyBorder="1" applyAlignment="1">
      <alignment horizontal="left" vertical="top"/>
    </xf>
    <xf numFmtId="0" fontId="84" fillId="0" borderId="0" xfId="12" applyFont="1" applyFill="1" applyBorder="1"/>
    <xf numFmtId="0" fontId="85" fillId="0" borderId="0" xfId="11" applyFont="1" applyFill="1" applyBorder="1" applyAlignment="1"/>
    <xf numFmtId="171" fontId="85" fillId="0" borderId="0" xfId="10" applyNumberFormat="1" applyFont="1" applyFill="1" applyBorder="1" applyAlignment="1">
      <alignment horizontal="left" vertical="top" wrapText="1"/>
    </xf>
    <xf numFmtId="0" fontId="86" fillId="0" borderId="0" xfId="11" applyFont="1" applyFill="1" applyBorder="1" applyAlignment="1">
      <alignment horizontal="fill"/>
    </xf>
    <xf numFmtId="0" fontId="87" fillId="0" borderId="0" xfId="12" applyNumberFormat="1" applyFont="1" applyFill="1" applyBorder="1" applyAlignment="1" applyProtection="1"/>
    <xf numFmtId="171" fontId="84" fillId="0" borderId="0" xfId="10" applyNumberFormat="1" applyFont="1" applyFill="1" applyBorder="1" applyAlignment="1"/>
    <xf numFmtId="0" fontId="84" fillId="0" borderId="0" xfId="14" applyFont="1" applyFill="1" applyBorder="1" applyAlignment="1"/>
    <xf numFmtId="0" fontId="88" fillId="0" borderId="0" xfId="14" applyFont="1" applyFill="1" applyBorder="1" applyAlignment="1"/>
    <xf numFmtId="0" fontId="83" fillId="0" borderId="0" xfId="14" applyFont="1" applyFill="1" applyBorder="1" applyAlignment="1">
      <alignment horizontal="center"/>
    </xf>
    <xf numFmtId="0" fontId="88" fillId="0" borderId="0" xfId="14" applyFont="1" applyFill="1" applyBorder="1" applyAlignment="1">
      <alignment horizontal="centerContinuous"/>
    </xf>
    <xf numFmtId="0" fontId="83" fillId="0" borderId="0" xfId="14" applyFont="1" applyFill="1" applyBorder="1" applyAlignment="1">
      <alignment horizontal="centerContinuous"/>
    </xf>
    <xf numFmtId="0" fontId="88" fillId="0" borderId="0" xfId="11" applyFont="1" applyFill="1" applyBorder="1" applyAlignment="1"/>
    <xf numFmtId="171" fontId="83" fillId="0" borderId="0" xfId="10" applyNumberFormat="1" applyFont="1" applyFill="1" applyBorder="1" applyAlignment="1">
      <alignment horizontal="center" wrapText="1"/>
    </xf>
    <xf numFmtId="0" fontId="83" fillId="0" borderId="0" xfId="15" applyFont="1" applyFill="1" applyBorder="1">
      <alignment horizontal="center"/>
    </xf>
    <xf numFmtId="0" fontId="83" fillId="0" borderId="0" xfId="15" applyFont="1" applyFill="1" applyBorder="1" applyAlignment="1">
      <alignment horizontal="center" wrapText="1"/>
    </xf>
    <xf numFmtId="172" fontId="83" fillId="0" borderId="0" xfId="15" applyNumberFormat="1" applyFont="1" applyFill="1" applyBorder="1" applyAlignment="1">
      <alignment horizontal="center" wrapText="1"/>
    </xf>
    <xf numFmtId="38" fontId="88" fillId="0" borderId="0" xfId="11" applyNumberFormat="1" applyFont="1" applyFill="1" applyBorder="1" applyAlignment="1">
      <alignment horizontal="right" wrapText="1"/>
    </xf>
    <xf numFmtId="38" fontId="88" fillId="0" borderId="0" xfId="11" applyNumberFormat="1" applyFont="1" applyFill="1" applyBorder="1" applyAlignment="1">
      <alignment wrapText="1"/>
    </xf>
    <xf numFmtId="41" fontId="84" fillId="0" borderId="0" xfId="11" applyNumberFormat="1" applyFont="1" applyFill="1" applyBorder="1" applyAlignment="1"/>
    <xf numFmtId="171" fontId="89" fillId="0" borderId="0" xfId="10" applyNumberFormat="1" applyFont="1" applyFill="1" applyBorder="1" applyAlignment="1">
      <alignment horizontal="center"/>
    </xf>
    <xf numFmtId="0" fontId="88" fillId="0" borderId="0" xfId="10" applyNumberFormat="1" applyFont="1" applyFill="1" applyBorder="1" applyAlignment="1"/>
    <xf numFmtId="41" fontId="84" fillId="16" borderId="0" xfId="11" applyNumberFormat="1" applyFont="1" applyFill="1" applyBorder="1" applyAlignment="1"/>
    <xf numFmtId="37" fontId="84" fillId="0" borderId="0" xfId="11" applyNumberFormat="1" applyFont="1" applyFill="1" applyBorder="1" applyAlignment="1"/>
    <xf numFmtId="37" fontId="85" fillId="0" borderId="0" xfId="11" applyNumberFormat="1" applyFont="1" applyFill="1" applyBorder="1" applyAlignment="1"/>
    <xf numFmtId="43" fontId="88" fillId="0" borderId="0" xfId="30" applyFont="1" applyFill="1" applyBorder="1" applyAlignment="1">
      <alignment wrapText="1"/>
    </xf>
    <xf numFmtId="171" fontId="88" fillId="0" borderId="0" xfId="10" applyNumberFormat="1" applyFont="1" applyFill="1" applyBorder="1"/>
    <xf numFmtId="0" fontId="88" fillId="0" borderId="0" xfId="12" applyFont="1" applyFill="1" applyBorder="1"/>
    <xf numFmtId="41" fontId="84" fillId="0" borderId="16" xfId="12" applyNumberFormat="1" applyFont="1" applyFill="1" applyBorder="1"/>
    <xf numFmtId="171" fontId="90" fillId="0" borderId="0" xfId="10" applyNumberFormat="1" applyFont="1" applyFill="1" applyBorder="1"/>
    <xf numFmtId="0" fontId="90" fillId="0" borderId="0" xfId="12" applyFont="1" applyFill="1" applyBorder="1"/>
    <xf numFmtId="0" fontId="91" fillId="0" borderId="0" xfId="11" applyFont="1" applyFill="1" applyBorder="1" applyAlignment="1"/>
    <xf numFmtId="171" fontId="92" fillId="0" borderId="0" xfId="10" applyNumberFormat="1" applyFont="1" applyFill="1" applyBorder="1"/>
    <xf numFmtId="38" fontId="88" fillId="0" borderId="0" xfId="11" applyNumberFormat="1" applyFont="1" applyFill="1" applyBorder="1" applyAlignment="1">
      <alignment vertical="top" wrapText="1"/>
    </xf>
    <xf numFmtId="38" fontId="85" fillId="0" borderId="0" xfId="11" applyNumberFormat="1" applyFont="1" applyFill="1" applyBorder="1" applyAlignment="1"/>
    <xf numFmtId="38" fontId="93" fillId="0" borderId="0" xfId="11" applyNumberFormat="1" applyFont="1" applyFill="1" applyBorder="1" applyAlignment="1"/>
    <xf numFmtId="171" fontId="85" fillId="0" borderId="0" xfId="10" applyNumberFormat="1" applyFont="1" applyFill="1" applyBorder="1" applyAlignment="1">
      <alignment vertical="top"/>
    </xf>
    <xf numFmtId="0" fontId="95" fillId="0" borderId="0" xfId="13" applyFont="1" applyFill="1" applyBorder="1">
      <alignment horizontal="centerContinuous"/>
    </xf>
    <xf numFmtId="171" fontId="83" fillId="0" borderId="1" xfId="10" applyNumberFormat="1" applyFont="1" applyFill="1" applyBorder="1" applyAlignment="1">
      <alignment horizontal="center" wrapText="1"/>
    </xf>
    <xf numFmtId="0" fontId="83" fillId="0" borderId="1" xfId="15" applyFont="1" applyFill="1" applyBorder="1">
      <alignment horizontal="center"/>
    </xf>
    <xf numFmtId="0" fontId="83" fillId="0" borderId="1" xfId="15" applyFont="1" applyFill="1" applyBorder="1" applyAlignment="1">
      <alignment horizontal="center" wrapText="1"/>
    </xf>
    <xf numFmtId="172" fontId="83" fillId="0" borderId="1" xfId="15" applyNumberFormat="1" applyFont="1" applyFill="1" applyBorder="1" applyAlignment="1">
      <alignment horizontal="center" wrapText="1"/>
    </xf>
    <xf numFmtId="171" fontId="89" fillId="0" borderId="0" xfId="10" applyNumberFormat="1" applyFont="1" applyFill="1" applyBorder="1" applyAlignment="1">
      <alignment horizontal="center" wrapText="1"/>
    </xf>
    <xf numFmtId="0" fontId="88" fillId="15" borderId="0" xfId="10" applyNumberFormat="1" applyFont="1" applyFill="1" applyBorder="1" applyAlignment="1"/>
    <xf numFmtId="38" fontId="88" fillId="15" borderId="0" xfId="11" applyNumberFormat="1" applyFont="1" applyFill="1" applyBorder="1" applyAlignment="1">
      <alignment wrapText="1"/>
    </xf>
    <xf numFmtId="41" fontId="84" fillId="15" borderId="0" xfId="11" applyNumberFormat="1" applyFont="1" applyFill="1" applyBorder="1" applyAlignment="1"/>
    <xf numFmtId="38" fontId="88" fillId="0" borderId="0" xfId="11" applyNumberFormat="1" applyFont="1" applyFill="1" applyBorder="1" applyAlignment="1"/>
    <xf numFmtId="41" fontId="84" fillId="0" borderId="1" xfId="11" applyNumberFormat="1" applyFont="1" applyFill="1" applyBorder="1" applyAlignment="1"/>
    <xf numFmtId="41" fontId="84" fillId="0" borderId="0" xfId="12" applyNumberFormat="1" applyFont="1" applyFill="1" applyBorder="1"/>
    <xf numFmtId="41" fontId="91" fillId="0" borderId="0" xfId="11" applyNumberFormat="1" applyFont="1" applyFill="1" applyBorder="1" applyAlignment="1"/>
    <xf numFmtId="164" fontId="86" fillId="0" borderId="0" xfId="30" applyNumberFormat="1" applyFont="1" applyFill="1" applyBorder="1" applyAlignment="1">
      <alignment horizontal="fill"/>
    </xf>
    <xf numFmtId="170" fontId="86" fillId="0" borderId="0" xfId="11" applyNumberFormat="1" applyFont="1" applyFill="1" applyBorder="1" applyAlignment="1">
      <alignment horizontal="fill"/>
    </xf>
    <xf numFmtId="164" fontId="84" fillId="0" borderId="0" xfId="30" applyNumberFormat="1" applyFont="1" applyFill="1" applyBorder="1"/>
    <xf numFmtId="170" fontId="84" fillId="0" borderId="0" xfId="12" applyNumberFormat="1" applyFont="1" applyFill="1" applyBorder="1"/>
    <xf numFmtId="171" fontId="96" fillId="0" borderId="0" xfId="10" quotePrefix="1" applyNumberFormat="1" applyFont="1" applyFill="1" applyBorder="1"/>
    <xf numFmtId="0" fontId="96" fillId="0" borderId="0" xfId="12" applyFont="1" applyFill="1" applyBorder="1"/>
    <xf numFmtId="171" fontId="95" fillId="0" borderId="0" xfId="10" applyNumberFormat="1" applyFont="1" applyFill="1" applyBorder="1" applyAlignment="1">
      <alignment horizontal="centerContinuous"/>
    </xf>
    <xf numFmtId="164" fontId="95" fillId="0" borderId="0" xfId="30" applyNumberFormat="1" applyFont="1" applyFill="1" applyBorder="1" applyAlignment="1">
      <alignment horizontal="centerContinuous"/>
    </xf>
    <xf numFmtId="170" fontId="95" fillId="0" borderId="0" xfId="13" applyNumberFormat="1" applyFont="1" applyFill="1" applyBorder="1">
      <alignment horizontal="centerContinuous"/>
    </xf>
    <xf numFmtId="0" fontId="89" fillId="0" borderId="0" xfId="15" applyFont="1" applyFill="1" applyBorder="1">
      <alignment horizontal="center"/>
    </xf>
    <xf numFmtId="164" fontId="89" fillId="0" borderId="0" xfId="30" applyNumberFormat="1" applyFont="1" applyFill="1" applyBorder="1" applyAlignment="1">
      <alignment horizontal="center" wrapText="1"/>
    </xf>
    <xf numFmtId="170" fontId="89" fillId="0" borderId="0" xfId="15" applyNumberFormat="1" applyFont="1" applyFill="1" applyBorder="1" applyAlignment="1">
      <alignment horizontal="center" wrapText="1"/>
    </xf>
    <xf numFmtId="172" fontId="89" fillId="0" borderId="0" xfId="15" applyNumberFormat="1" applyFont="1" applyFill="1" applyBorder="1" applyAlignment="1">
      <alignment horizontal="center" wrapText="1"/>
    </xf>
    <xf numFmtId="0" fontId="89" fillId="0" borderId="0" xfId="15" applyFont="1" applyFill="1" applyBorder="1" applyAlignment="1">
      <alignment horizontal="center" wrapText="1"/>
    </xf>
    <xf numFmtId="0" fontId="97" fillId="0" borderId="0" xfId="12" applyFont="1" applyFill="1" applyBorder="1" applyAlignment="1">
      <alignment horizontal="center" wrapText="1"/>
    </xf>
    <xf numFmtId="0" fontId="98" fillId="0" borderId="0" xfId="14" applyFont="1" applyFill="1" applyBorder="1" applyAlignment="1">
      <alignment wrapText="1"/>
    </xf>
    <xf numFmtId="164" fontId="84" fillId="0" borderId="0" xfId="30" applyNumberFormat="1" applyFont="1" applyBorder="1" applyAlignment="1"/>
    <xf numFmtId="170" fontId="84" fillId="0" borderId="0" xfId="31" applyNumberFormat="1" applyFont="1" applyBorder="1" applyAlignment="1"/>
    <xf numFmtId="1" fontId="88" fillId="0" borderId="0" xfId="30" applyNumberFormat="1" applyFont="1" applyFill="1" applyBorder="1" applyAlignment="1">
      <alignment wrapText="1"/>
    </xf>
    <xf numFmtId="174" fontId="84" fillId="0" borderId="0" xfId="32" applyNumberFormat="1" applyFont="1" applyBorder="1" applyAlignment="1"/>
    <xf numFmtId="38" fontId="84" fillId="0" borderId="0" xfId="11" applyNumberFormat="1" applyFont="1" applyBorder="1" applyAlignment="1"/>
    <xf numFmtId="37" fontId="84" fillId="0" borderId="0" xfId="11" applyNumberFormat="1" applyFont="1" applyBorder="1" applyAlignment="1"/>
    <xf numFmtId="164" fontId="84" fillId="0" borderId="0" xfId="12" applyNumberFormat="1" applyFont="1" applyFill="1" applyBorder="1" applyAlignment="1" applyProtection="1"/>
    <xf numFmtId="172" fontId="84" fillId="0" borderId="0" xfId="31" applyNumberFormat="1" applyFont="1" applyFill="1" applyBorder="1" applyAlignment="1" applyProtection="1"/>
    <xf numFmtId="174" fontId="84" fillId="0" borderId="0" xfId="31" applyNumberFormat="1" applyFont="1" applyBorder="1" applyAlignment="1"/>
    <xf numFmtId="38" fontId="84" fillId="0" borderId="0" xfId="33" applyFont="1" applyBorder="1">
      <alignment horizontal="right"/>
    </xf>
    <xf numFmtId="10" fontId="84" fillId="0" borderId="0" xfId="34" applyFont="1" applyBorder="1">
      <alignment horizontal="right"/>
    </xf>
    <xf numFmtId="37" fontId="85" fillId="0" borderId="0" xfId="11" applyNumberFormat="1" applyFont="1" applyBorder="1" applyAlignment="1"/>
    <xf numFmtId="0" fontId="85" fillId="0" borderId="0" xfId="11" applyFont="1" applyBorder="1" applyAlignment="1"/>
    <xf numFmtId="164" fontId="84" fillId="0" borderId="16" xfId="30" applyNumberFormat="1" applyFont="1" applyBorder="1"/>
    <xf numFmtId="9" fontId="84" fillId="0" borderId="16" xfId="32" applyFont="1" applyBorder="1"/>
    <xf numFmtId="38" fontId="84" fillId="0" borderId="0" xfId="12" applyNumberFormat="1" applyFont="1" applyBorder="1"/>
    <xf numFmtId="37" fontId="84" fillId="0" borderId="0" xfId="12" applyNumberFormat="1" applyFont="1" applyBorder="1"/>
    <xf numFmtId="172" fontId="84" fillId="0" borderId="0" xfId="12" applyNumberFormat="1" applyFont="1" applyFill="1" applyBorder="1" applyAlignment="1" applyProtection="1"/>
    <xf numFmtId="174" fontId="84" fillId="0" borderId="0" xfId="11" applyNumberFormat="1" applyFont="1" applyBorder="1" applyAlignment="1"/>
    <xf numFmtId="10" fontId="84" fillId="0" borderId="0" xfId="11" applyNumberFormat="1" applyFont="1" applyBorder="1" applyAlignment="1"/>
    <xf numFmtId="170" fontId="90" fillId="0" borderId="0" xfId="12" applyNumberFormat="1" applyFont="1" applyBorder="1"/>
    <xf numFmtId="0" fontId="91" fillId="0" borderId="0" xfId="11" applyFont="1" applyBorder="1" applyAlignment="1"/>
    <xf numFmtId="38" fontId="91" fillId="0" borderId="0" xfId="11" applyNumberFormat="1" applyFont="1" applyFill="1" applyBorder="1" applyAlignment="1"/>
    <xf numFmtId="4" fontId="100" fillId="0" borderId="0" xfId="12" applyNumberFormat="1" applyFont="1" applyBorder="1" applyAlignment="1">
      <alignment horizontal="right" vertical="center"/>
    </xf>
    <xf numFmtId="0" fontId="101" fillId="0" borderId="0" xfId="12" applyNumberFormat="1" applyFont="1" applyFill="1" applyBorder="1" applyAlignment="1" applyProtection="1"/>
    <xf numFmtId="164" fontId="84" fillId="0" borderId="0" xfId="30" applyNumberFormat="1" applyFont="1" applyBorder="1"/>
    <xf numFmtId="170" fontId="84" fillId="0" borderId="0" xfId="12" applyNumberFormat="1" applyFont="1" applyBorder="1"/>
    <xf numFmtId="4" fontId="102" fillId="0" borderId="0" xfId="12" applyNumberFormat="1" applyFont="1" applyBorder="1" applyAlignment="1">
      <alignment horizontal="right" vertical="center"/>
    </xf>
    <xf numFmtId="164" fontId="87" fillId="0" borderId="0" xfId="12" applyNumberFormat="1" applyFont="1" applyFill="1" applyBorder="1" applyAlignment="1" applyProtection="1"/>
    <xf numFmtId="172" fontId="87" fillId="0" borderId="0" xfId="12" applyNumberFormat="1" applyFont="1" applyFill="1" applyBorder="1" applyAlignment="1" applyProtection="1"/>
    <xf numFmtId="0" fontId="85" fillId="17" borderId="0" xfId="35" applyFont="1" applyBorder="1"/>
    <xf numFmtId="38" fontId="85" fillId="0" borderId="0" xfId="11" applyNumberFormat="1" applyFont="1" applyBorder="1" applyAlignment="1"/>
    <xf numFmtId="38" fontId="93" fillId="0" borderId="0" xfId="11" applyNumberFormat="1" applyFont="1" applyBorder="1" applyAlignment="1"/>
    <xf numFmtId="6" fontId="85" fillId="0" borderId="0" xfId="11" applyNumberFormat="1" applyFont="1" applyBorder="1" applyAlignment="1"/>
    <xf numFmtId="0" fontId="103" fillId="0" borderId="0" xfId="36" applyFont="1" applyFill="1" applyBorder="1" applyAlignment="1">
      <alignment horizontal="left"/>
    </xf>
    <xf numFmtId="0" fontId="104" fillId="0" borderId="0" xfId="36" applyFont="1" applyFill="1" applyBorder="1">
      <alignment horizontal="centerContinuous"/>
    </xf>
    <xf numFmtId="164" fontId="71" fillId="0" borderId="0" xfId="30" applyNumberFormat="1" applyFont="1" applyFill="1" applyBorder="1" applyAlignment="1">
      <alignment horizontal="center"/>
    </xf>
    <xf numFmtId="0" fontId="71" fillId="0" borderId="0" xfId="13" applyFill="1" applyBorder="1" applyAlignment="1">
      <alignment horizontal="center"/>
    </xf>
    <xf numFmtId="164" fontId="72" fillId="0" borderId="0" xfId="30" applyNumberFormat="1" applyFont="1" applyFill="1" applyBorder="1" applyAlignment="1">
      <alignment horizontal="center"/>
    </xf>
    <xf numFmtId="0" fontId="72" fillId="0" borderId="0" xfId="13" applyFont="1" applyFill="1" applyBorder="1" applyAlignment="1">
      <alignment horizontal="center"/>
    </xf>
    <xf numFmtId="164" fontId="106" fillId="0" borderId="0" xfId="30" applyNumberFormat="1" applyFont="1" applyFill="1" applyBorder="1" applyAlignment="1">
      <alignment horizontal="center"/>
    </xf>
    <xf numFmtId="0" fontId="106" fillId="0" borderId="0" xfId="14" applyFont="1" applyFill="1" applyBorder="1" applyAlignment="1">
      <alignment horizontal="center"/>
    </xf>
    <xf numFmtId="171" fontId="105" fillId="0" borderId="0" xfId="10" quotePrefix="1" applyNumberFormat="1" applyFont="1" applyFill="1" applyBorder="1" applyAlignment="1">
      <alignment horizontal="center"/>
    </xf>
    <xf numFmtId="164" fontId="107" fillId="0" borderId="0" xfId="30" applyNumberFormat="1" applyFont="1" applyFill="1" applyBorder="1" applyAlignment="1">
      <alignment horizontal="center"/>
    </xf>
    <xf numFmtId="171" fontId="107" fillId="0" borderId="0" xfId="10" applyNumberFormat="1" applyFont="1" applyFill="1" applyBorder="1" applyAlignment="1">
      <alignment horizontal="center"/>
    </xf>
    <xf numFmtId="0" fontId="68" fillId="0" borderId="0" xfId="11" applyBorder="1" applyAlignment="1"/>
    <xf numFmtId="164" fontId="84" fillId="0" borderId="1" xfId="30" applyNumberFormat="1" applyFont="1" applyBorder="1" applyAlignment="1"/>
    <xf numFmtId="170" fontId="84" fillId="0" borderId="1" xfId="31" applyNumberFormat="1" applyFont="1" applyBorder="1" applyAlignment="1"/>
    <xf numFmtId="9" fontId="84" fillId="0" borderId="0" xfId="32" applyFont="1" applyBorder="1"/>
    <xf numFmtId="164" fontId="90" fillId="0" borderId="0" xfId="30" applyNumberFormat="1" applyFont="1" applyBorder="1"/>
    <xf numFmtId="174" fontId="90" fillId="0" borderId="0" xfId="12" applyNumberFormat="1" applyFont="1" applyBorder="1"/>
    <xf numFmtId="164" fontId="67" fillId="0" borderId="0" xfId="30" applyNumberFormat="1" applyFont="1" applyBorder="1"/>
    <xf numFmtId="0" fontId="67" fillId="0" borderId="0" xfId="12" applyBorder="1"/>
    <xf numFmtId="0" fontId="58" fillId="0" borderId="0" xfId="37" applyFont="1"/>
    <xf numFmtId="164" fontId="58" fillId="0" borderId="0" xfId="30" applyNumberFormat="1" applyFont="1"/>
    <xf numFmtId="0" fontId="4" fillId="0" borderId="0" xfId="37"/>
    <xf numFmtId="0" fontId="4" fillId="0" borderId="0" xfId="37" applyAlignment="1">
      <alignment horizontal="right"/>
    </xf>
    <xf numFmtId="164" fontId="0" fillId="0" borderId="0" xfId="30" applyNumberFormat="1" applyFont="1"/>
    <xf numFmtId="0" fontId="4" fillId="0" borderId="0" xfId="37" applyFill="1"/>
    <xf numFmtId="164" fontId="0" fillId="0" borderId="0" xfId="30" applyNumberFormat="1" applyFont="1" applyFill="1"/>
    <xf numFmtId="0" fontId="4" fillId="0" borderId="0" xfId="37" applyAlignment="1">
      <alignment wrapText="1"/>
    </xf>
    <xf numFmtId="164" fontId="4" fillId="0" borderId="16" xfId="37" applyNumberFormat="1" applyBorder="1"/>
    <xf numFmtId="164" fontId="4" fillId="0" borderId="0" xfId="37" applyNumberFormat="1"/>
    <xf numFmtId="164" fontId="58" fillId="0" borderId="0" xfId="30" applyNumberFormat="1" applyFont="1" applyAlignment="1">
      <alignment horizontal="center"/>
    </xf>
    <xf numFmtId="0" fontId="88" fillId="0" borderId="0" xfId="10" applyNumberFormat="1" applyFont="1" applyFill="1" applyBorder="1" applyAlignment="1">
      <alignment horizontal="right"/>
    </xf>
    <xf numFmtId="0" fontId="0" fillId="0" borderId="0" xfId="0" applyFill="1"/>
    <xf numFmtId="175" fontId="0" fillId="0" borderId="0" xfId="0" applyNumberFormat="1"/>
    <xf numFmtId="43" fontId="0" fillId="0" borderId="0" xfId="0" applyNumberFormat="1" applyFill="1"/>
    <xf numFmtId="0" fontId="0" fillId="0" borderId="0" xfId="0" applyFill="1" applyBorder="1"/>
    <xf numFmtId="164" fontId="108" fillId="0" borderId="0" xfId="0" applyNumberFormat="1" applyFont="1" applyFill="1" applyBorder="1" applyAlignment="1">
      <alignment horizontal="center" wrapText="1"/>
    </xf>
    <xf numFmtId="164" fontId="0" fillId="0" borderId="39" xfId="0" applyNumberFormat="1" applyFill="1" applyBorder="1"/>
    <xf numFmtId="164" fontId="14" fillId="0" borderId="18" xfId="1" applyNumberFormat="1" applyFont="1" applyBorder="1"/>
    <xf numFmtId="164" fontId="35" fillId="0" borderId="17" xfId="0" applyNumberFormat="1" applyFont="1" applyBorder="1" applyAlignment="1">
      <alignment horizontal="center"/>
    </xf>
    <xf numFmtId="164" fontId="12" fillId="0" borderId="0" xfId="0" applyNumberFormat="1" applyFont="1" applyFill="1"/>
    <xf numFmtId="0" fontId="3" fillId="0" borderId="0" xfId="38"/>
    <xf numFmtId="0" fontId="3" fillId="0" borderId="0" xfId="38" applyAlignment="1">
      <alignment horizontal="right"/>
    </xf>
    <xf numFmtId="43" fontId="0" fillId="0" borderId="0" xfId="39" applyFont="1"/>
    <xf numFmtId="0" fontId="3" fillId="15" borderId="0" xfId="38" applyFill="1"/>
    <xf numFmtId="43" fontId="0" fillId="15" borderId="0" xfId="39" applyFont="1" applyFill="1"/>
    <xf numFmtId="0" fontId="64" fillId="0" borderId="0" xfId="38" applyFont="1" applyFill="1" applyBorder="1" applyAlignment="1">
      <alignment horizontal="left"/>
    </xf>
    <xf numFmtId="0" fontId="64" fillId="0" borderId="0" xfId="38" applyFont="1" applyFill="1" applyBorder="1" applyAlignment="1">
      <alignment horizontal="center"/>
    </xf>
    <xf numFmtId="43" fontId="3" fillId="0" borderId="0" xfId="38" applyNumberFormat="1"/>
    <xf numFmtId="0" fontId="0" fillId="0" borderId="0" xfId="0"/>
    <xf numFmtId="0" fontId="0" fillId="0" borderId="0" xfId="0" applyFill="1" applyBorder="1"/>
    <xf numFmtId="0" fontId="2" fillId="0" borderId="0" xfId="23" applyFont="1" applyAlignment="1">
      <alignment horizontal="center"/>
    </xf>
    <xf numFmtId="0" fontId="2" fillId="0" borderId="0" xfId="23" applyFont="1"/>
    <xf numFmtId="0" fontId="0" fillId="0" borderId="0" xfId="0" applyFill="1" applyBorder="1"/>
    <xf numFmtId="164" fontId="0" fillId="4" borderId="0" xfId="1" applyNumberFormat="1" applyFont="1" applyFill="1"/>
    <xf numFmtId="0" fontId="1" fillId="0" borderId="0" xfId="24" applyFont="1"/>
    <xf numFmtId="164" fontId="12" fillId="0" borderId="0" xfId="1" applyNumberFormat="1" applyFont="1" applyFill="1" applyBorder="1"/>
    <xf numFmtId="0" fontId="0" fillId="0" borderId="0" xfId="0" applyAlignment="1">
      <alignment wrapText="1"/>
    </xf>
    <xf numFmtId="0" fontId="0" fillId="0" borderId="0" xfId="0" applyAlignment="1">
      <alignment vertical="top" wrapText="1"/>
    </xf>
    <xf numFmtId="0" fontId="50" fillId="0" borderId="0" xfId="0" applyFont="1" applyAlignment="1">
      <alignment horizontal="center" wrapText="1"/>
    </xf>
    <xf numFmtId="0" fontId="14" fillId="0" borderId="0" xfId="0" applyFont="1" applyAlignment="1">
      <alignment wrapText="1"/>
    </xf>
    <xf numFmtId="0" fontId="0" fillId="0" borderId="0" xfId="0"/>
    <xf numFmtId="0" fontId="20" fillId="4" borderId="15" xfId="0" applyFont="1" applyFill="1" applyBorder="1" applyAlignment="1">
      <alignment horizontal="center" wrapText="1"/>
    </xf>
    <xf numFmtId="0" fontId="20" fillId="4" borderId="16" xfId="0" applyFont="1" applyFill="1" applyBorder="1" applyAlignment="1">
      <alignment horizontal="center"/>
    </xf>
    <xf numFmtId="0" fontId="20" fillId="4" borderId="24" xfId="0" applyFont="1" applyFill="1" applyBorder="1" applyAlignment="1">
      <alignment horizontal="center"/>
    </xf>
    <xf numFmtId="0" fontId="20" fillId="4" borderId="11" xfId="0" applyFont="1" applyFill="1" applyBorder="1" applyAlignment="1">
      <alignment horizontal="center"/>
    </xf>
    <xf numFmtId="0" fontId="20" fillId="4" borderId="1" xfId="0" applyFont="1" applyFill="1" applyBorder="1" applyAlignment="1">
      <alignment horizontal="center"/>
    </xf>
    <xf numFmtId="0" fontId="20" fillId="4" borderId="12" xfId="0" applyFont="1" applyFill="1" applyBorder="1" applyAlignment="1">
      <alignment horizontal="center"/>
    </xf>
    <xf numFmtId="0" fontId="0" fillId="10" borderId="0" xfId="0" applyFill="1" applyAlignment="1">
      <alignment horizontal="left" vertical="top" wrapText="1"/>
    </xf>
    <xf numFmtId="0" fontId="15" fillId="0" borderId="0" xfId="0" applyFont="1" applyAlignment="1">
      <alignment wrapText="1"/>
    </xf>
    <xf numFmtId="0" fontId="14" fillId="0" borderId="0" xfId="0" applyFont="1"/>
    <xf numFmtId="164" fontId="12" fillId="0" borderId="0" xfId="1" applyNumberFormat="1" applyFont="1" applyFill="1" applyBorder="1" applyAlignment="1">
      <alignment horizontal="center"/>
    </xf>
    <xf numFmtId="164" fontId="12" fillId="0" borderId="0" xfId="1" applyNumberFormat="1" applyFont="1" applyFill="1" applyAlignment="1">
      <alignment horizontal="center"/>
    </xf>
    <xf numFmtId="0" fontId="17" fillId="4" borderId="16" xfId="0" applyFont="1" applyFill="1" applyBorder="1" applyAlignment="1">
      <alignment horizontal="left"/>
    </xf>
    <xf numFmtId="0" fontId="0" fillId="0" borderId="16" xfId="0" applyBorder="1" applyAlignment="1">
      <alignment horizontal="left"/>
    </xf>
    <xf numFmtId="0" fontId="0" fillId="0" borderId="24" xfId="0" applyBorder="1" applyAlignment="1">
      <alignment horizontal="left"/>
    </xf>
    <xf numFmtId="0" fontId="17" fillId="4" borderId="4" xfId="0" applyFont="1" applyFill="1" applyBorder="1" applyAlignment="1">
      <alignment horizontal="center"/>
    </xf>
    <xf numFmtId="0" fontId="33" fillId="0" borderId="4" xfId="0" applyFont="1" applyBorder="1" applyAlignment="1">
      <alignment horizontal="center"/>
    </xf>
    <xf numFmtId="0" fontId="33" fillId="0" borderId="23" xfId="0" applyFont="1" applyBorder="1" applyAlignment="1">
      <alignment horizontal="center"/>
    </xf>
    <xf numFmtId="0" fontId="17" fillId="4" borderId="15" xfId="0" applyFont="1" applyFill="1" applyBorder="1" applyAlignment="1">
      <alignment horizontal="center" wrapText="1"/>
    </xf>
    <xf numFmtId="0" fontId="17" fillId="4" borderId="16" xfId="0" applyFont="1" applyFill="1" applyBorder="1" applyAlignment="1">
      <alignment horizontal="center" wrapText="1"/>
    </xf>
    <xf numFmtId="0" fontId="17" fillId="4" borderId="24" xfId="0" applyFont="1" applyFill="1" applyBorder="1" applyAlignment="1">
      <alignment horizontal="center" wrapText="1"/>
    </xf>
    <xf numFmtId="0" fontId="0" fillId="0" borderId="22" xfId="0" applyBorder="1" applyAlignment="1">
      <alignment horizontal="center" wrapText="1"/>
    </xf>
    <xf numFmtId="0" fontId="0" fillId="0" borderId="4" xfId="0" applyBorder="1" applyAlignment="1">
      <alignment horizontal="center" wrapText="1"/>
    </xf>
    <xf numFmtId="0" fontId="0" fillId="0" borderId="23" xfId="0" applyBorder="1" applyAlignment="1">
      <alignment horizontal="center" wrapText="1"/>
    </xf>
    <xf numFmtId="164" fontId="33" fillId="4" borderId="3" xfId="0" applyNumberFormat="1" applyFont="1" applyFill="1" applyBorder="1" applyAlignment="1">
      <alignment horizontal="center"/>
    </xf>
    <xf numFmtId="0" fontId="0" fillId="0" borderId="2" xfId="0" applyBorder="1" applyAlignment="1">
      <alignment horizontal="center"/>
    </xf>
    <xf numFmtId="0" fontId="17" fillId="2" borderId="22" xfId="0" applyFont="1" applyFill="1" applyBorder="1" applyAlignment="1">
      <alignment horizontal="center"/>
    </xf>
    <xf numFmtId="0" fontId="17" fillId="2" borderId="23" xfId="0" applyFont="1" applyFill="1" applyBorder="1" applyAlignment="1">
      <alignment horizontal="center"/>
    </xf>
    <xf numFmtId="164" fontId="17" fillId="2" borderId="15" xfId="1" applyNumberFormat="1" applyFont="1" applyFill="1" applyBorder="1" applyAlignment="1"/>
    <xf numFmtId="164" fontId="17" fillId="2" borderId="16" xfId="1" applyNumberFormat="1" applyFont="1" applyFill="1" applyBorder="1" applyAlignment="1"/>
    <xf numFmtId="164" fontId="17" fillId="2" borderId="16" xfId="0" applyNumberFormat="1" applyFont="1" applyFill="1" applyBorder="1" applyAlignment="1"/>
    <xf numFmtId="0" fontId="17" fillId="2" borderId="16" xfId="0" applyFont="1" applyFill="1" applyBorder="1" applyAlignment="1"/>
    <xf numFmtId="0" fontId="17" fillId="4" borderId="34" xfId="0" applyFont="1" applyFill="1" applyBorder="1" applyAlignment="1">
      <alignment wrapText="1"/>
    </xf>
    <xf numFmtId="0" fontId="17" fillId="4" borderId="6" xfId="0" applyFont="1" applyFill="1" applyBorder="1" applyAlignment="1">
      <alignment wrapText="1"/>
    </xf>
    <xf numFmtId="0" fontId="17" fillId="4" borderId="22" xfId="0" applyFont="1" applyFill="1" applyBorder="1" applyAlignment="1">
      <alignment wrapText="1"/>
    </xf>
    <xf numFmtId="0" fontId="17" fillId="4" borderId="4" xfId="0" applyFont="1" applyFill="1" applyBorder="1" applyAlignment="1">
      <alignment wrapText="1"/>
    </xf>
    <xf numFmtId="0" fontId="14" fillId="2" borderId="5" xfId="0" applyFont="1" applyFill="1" applyBorder="1" applyAlignment="1">
      <alignment horizontal="center"/>
    </xf>
    <xf numFmtId="0" fontId="0" fillId="0" borderId="6" xfId="0" applyBorder="1" applyAlignment="1"/>
    <xf numFmtId="0" fontId="0" fillId="0" borderId="21" xfId="0" applyBorder="1" applyAlignment="1"/>
    <xf numFmtId="0" fontId="17" fillId="4" borderId="15" xfId="0" applyFont="1" applyFill="1" applyBorder="1" applyAlignment="1">
      <alignment wrapText="1"/>
    </xf>
    <xf numFmtId="0" fontId="0" fillId="0" borderId="24" xfId="0" applyBorder="1" applyAlignment="1">
      <alignment wrapText="1"/>
    </xf>
    <xf numFmtId="0" fontId="0" fillId="0" borderId="22" xfId="0" applyBorder="1" applyAlignment="1">
      <alignment wrapText="1"/>
    </xf>
    <xf numFmtId="0" fontId="0" fillId="0" borderId="23" xfId="0" applyBorder="1" applyAlignment="1">
      <alignment wrapText="1"/>
    </xf>
    <xf numFmtId="164" fontId="14" fillId="0" borderId="35" xfId="0" applyNumberFormat="1" applyFont="1" applyBorder="1" applyAlignment="1" applyProtection="1">
      <alignment horizontal="center"/>
      <protection locked="0"/>
    </xf>
    <xf numFmtId="0" fontId="14" fillId="0" borderId="16" xfId="0" applyFont="1" applyBorder="1" applyAlignment="1" applyProtection="1">
      <alignment horizontal="center"/>
      <protection locked="0"/>
    </xf>
    <xf numFmtId="164" fontId="14" fillId="2" borderId="36" xfId="1" applyNumberFormat="1" applyFont="1" applyFill="1" applyBorder="1" applyAlignment="1">
      <alignment horizontal="center"/>
    </xf>
    <xf numFmtId="164" fontId="14" fillId="2" borderId="25" xfId="1" applyNumberFormat="1" applyFont="1" applyFill="1" applyBorder="1" applyAlignment="1">
      <alignment horizontal="center"/>
    </xf>
    <xf numFmtId="0" fontId="14" fillId="2" borderId="25" xfId="0" applyFont="1" applyFill="1" applyBorder="1" applyAlignment="1">
      <alignment horizontal="center"/>
    </xf>
    <xf numFmtId="164" fontId="14" fillId="0" borderId="16" xfId="0" applyNumberFormat="1" applyFont="1" applyBorder="1" applyAlignment="1">
      <alignment horizontal="center"/>
    </xf>
    <xf numFmtId="164" fontId="14" fillId="0" borderId="16" xfId="0" applyNumberFormat="1" applyFont="1" applyBorder="1" applyAlignment="1" applyProtection="1">
      <alignment horizontal="center"/>
      <protection locked="0"/>
    </xf>
    <xf numFmtId="41" fontId="14" fillId="0" borderId="16" xfId="0" applyNumberFormat="1" applyFont="1" applyBorder="1" applyAlignment="1">
      <alignment horizontal="center"/>
    </xf>
    <xf numFmtId="0" fontId="14" fillId="0" borderId="16" xfId="0" applyFont="1" applyBorder="1" applyAlignment="1">
      <alignment horizontal="center"/>
    </xf>
    <xf numFmtId="164" fontId="14" fillId="0" borderId="35" xfId="1" applyNumberFormat="1" applyFont="1" applyBorder="1" applyAlignment="1">
      <alignment horizontal="center"/>
    </xf>
    <xf numFmtId="0" fontId="14" fillId="0" borderId="33" xfId="0" applyFont="1" applyBorder="1" applyAlignment="1" applyProtection="1">
      <alignment horizontal="center"/>
      <protection locked="0"/>
    </xf>
    <xf numFmtId="0" fontId="14" fillId="4" borderId="5" xfId="0" applyFont="1" applyFill="1" applyBorder="1" applyAlignment="1">
      <alignment horizontal="center"/>
    </xf>
    <xf numFmtId="0" fontId="14" fillId="4" borderId="21" xfId="0" applyFont="1" applyFill="1" applyBorder="1" applyAlignment="1">
      <alignment horizontal="center"/>
    </xf>
    <xf numFmtId="0" fontId="14" fillId="4" borderId="7" xfId="0" applyFont="1" applyFill="1" applyBorder="1" applyAlignment="1">
      <alignment horizontal="center"/>
    </xf>
    <xf numFmtId="0" fontId="14" fillId="4" borderId="20" xfId="0" applyFont="1" applyFill="1" applyBorder="1" applyAlignment="1">
      <alignment horizontal="center"/>
    </xf>
    <xf numFmtId="0" fontId="14" fillId="3" borderId="7" xfId="0" applyFont="1" applyFill="1" applyBorder="1" applyAlignment="1">
      <alignment horizontal="center"/>
    </xf>
    <xf numFmtId="0" fontId="14" fillId="3" borderId="0" xfId="0" applyFont="1" applyFill="1" applyBorder="1" applyAlignment="1">
      <alignment horizontal="center"/>
    </xf>
    <xf numFmtId="0" fontId="14" fillId="3" borderId="20" xfId="0" applyFont="1" applyFill="1" applyBorder="1" applyAlignment="1">
      <alignment horizontal="center"/>
    </xf>
    <xf numFmtId="0" fontId="14" fillId="3" borderId="5" xfId="0" applyFont="1" applyFill="1" applyBorder="1" applyAlignment="1">
      <alignment horizontal="center"/>
    </xf>
    <xf numFmtId="0" fontId="14" fillId="3" borderId="6" xfId="0" applyFont="1" applyFill="1" applyBorder="1" applyAlignment="1">
      <alignment horizontal="center"/>
    </xf>
    <xf numFmtId="0" fontId="14" fillId="3" borderId="21" xfId="0" applyFont="1" applyFill="1" applyBorder="1" applyAlignment="1">
      <alignment horizontal="center"/>
    </xf>
    <xf numFmtId="0" fontId="14" fillId="4" borderId="0" xfId="0" applyFont="1" applyFill="1" applyBorder="1" applyAlignment="1">
      <alignment horizontal="center"/>
    </xf>
    <xf numFmtId="0" fontId="14" fillId="2" borderId="5" xfId="0" applyFont="1" applyFill="1" applyBorder="1" applyAlignment="1">
      <alignment horizontal="center" wrapText="1"/>
    </xf>
    <xf numFmtId="0" fontId="0" fillId="0" borderId="21" xfId="0" applyBorder="1" applyAlignment="1">
      <alignment horizontal="center" wrapText="1"/>
    </xf>
    <xf numFmtId="0" fontId="0" fillId="0" borderId="7" xfId="0" applyBorder="1" applyAlignment="1">
      <alignment horizontal="center" wrapText="1"/>
    </xf>
    <xf numFmtId="0" fontId="0" fillId="0" borderId="20" xfId="0" applyBorder="1" applyAlignment="1">
      <alignment horizontal="center" wrapText="1"/>
    </xf>
    <xf numFmtId="0" fontId="0" fillId="3" borderId="6" xfId="0" applyFill="1" applyBorder="1" applyAlignment="1"/>
    <xf numFmtId="0" fontId="15" fillId="0" borderId="0" xfId="0" applyFont="1" applyAlignment="1">
      <alignment vertical="center" textRotation="90"/>
    </xf>
    <xf numFmtId="0" fontId="15" fillId="0" borderId="0" xfId="0" applyFont="1" applyAlignment="1">
      <alignment horizontal="center" vertical="center" textRotation="90"/>
    </xf>
    <xf numFmtId="0" fontId="0" fillId="3" borderId="0" xfId="0" applyFill="1" applyBorder="1" applyAlignment="1"/>
    <xf numFmtId="164" fontId="14" fillId="3" borderId="7" xfId="0" applyNumberFormat="1" applyFont="1" applyFill="1" applyBorder="1" applyAlignment="1">
      <alignment horizontal="center"/>
    </xf>
    <xf numFmtId="164" fontId="14" fillId="3" borderId="0" xfId="0" applyNumberFormat="1" applyFont="1" applyFill="1" applyBorder="1" applyAlignment="1">
      <alignment horizontal="center"/>
    </xf>
    <xf numFmtId="0" fontId="14" fillId="3" borderId="20" xfId="0" applyFont="1" applyFill="1" applyBorder="1" applyAlignment="1"/>
    <xf numFmtId="0" fontId="14" fillId="3" borderId="0" xfId="0" applyFont="1" applyFill="1" applyBorder="1" applyAlignment="1" applyProtection="1">
      <alignment horizontal="left"/>
    </xf>
    <xf numFmtId="0" fontId="14" fillId="3" borderId="10" xfId="0" applyFont="1" applyFill="1" applyBorder="1" applyProtection="1"/>
    <xf numFmtId="0" fontId="14" fillId="3" borderId="9" xfId="0" applyFont="1" applyFill="1" applyBorder="1" applyProtection="1"/>
    <xf numFmtId="0" fontId="20" fillId="4" borderId="10" xfId="0" applyFont="1" applyFill="1" applyBorder="1" applyAlignment="1" applyProtection="1">
      <alignment horizontal="center"/>
    </xf>
    <xf numFmtId="0" fontId="20" fillId="4" borderId="9" xfId="0" applyFont="1" applyFill="1" applyBorder="1" applyAlignment="1" applyProtection="1">
      <alignment horizontal="center"/>
    </xf>
    <xf numFmtId="0" fontId="20" fillId="4" borderId="37" xfId="0" applyFont="1" applyFill="1" applyBorder="1" applyAlignment="1" applyProtection="1">
      <alignment horizontal="center"/>
    </xf>
    <xf numFmtId="0" fontId="14" fillId="4" borderId="10" xfId="0" applyFont="1" applyFill="1" applyBorder="1" applyAlignment="1" applyProtection="1">
      <alignment horizontal="left" wrapText="1"/>
    </xf>
    <xf numFmtId="0" fontId="14" fillId="4" borderId="9" xfId="0" applyFont="1" applyFill="1" applyBorder="1" applyAlignment="1" applyProtection="1">
      <alignment horizontal="left" wrapText="1"/>
    </xf>
    <xf numFmtId="0" fontId="14" fillId="4" borderId="37" xfId="0" applyFont="1" applyFill="1" applyBorder="1" applyAlignment="1" applyProtection="1">
      <alignment horizontal="left" wrapText="1"/>
    </xf>
    <xf numFmtId="0" fontId="14" fillId="4" borderId="10" xfId="0" applyFont="1" applyFill="1" applyBorder="1" applyProtection="1"/>
    <xf numFmtId="0" fontId="14" fillId="4" borderId="9" xfId="0" applyFont="1" applyFill="1" applyBorder="1" applyProtection="1"/>
    <xf numFmtId="0" fontId="14" fillId="4" borderId="37" xfId="0" applyFont="1" applyFill="1" applyBorder="1" applyProtection="1"/>
    <xf numFmtId="0" fontId="0" fillId="0" borderId="0" xfId="0" applyAlignment="1" applyProtection="1">
      <alignment wrapText="1"/>
    </xf>
    <xf numFmtId="0" fontId="0" fillId="0" borderId="0" xfId="0" applyProtection="1"/>
    <xf numFmtId="0" fontId="12" fillId="0" borderId="0" xfId="0" applyFont="1" applyAlignment="1" applyProtection="1">
      <alignment vertical="top" wrapText="1"/>
    </xf>
    <xf numFmtId="0" fontId="0" fillId="0" borderId="0" xfId="0" applyAlignment="1" applyProtection="1">
      <alignment vertical="top" wrapText="1"/>
    </xf>
    <xf numFmtId="0" fontId="20" fillId="4" borderId="10" xfId="0" applyFont="1" applyFill="1" applyBorder="1" applyAlignment="1">
      <alignment horizontal="center"/>
    </xf>
    <xf numFmtId="0" fontId="20" fillId="4" borderId="9" xfId="0" applyFont="1" applyFill="1" applyBorder="1" applyAlignment="1">
      <alignment horizontal="center"/>
    </xf>
    <xf numFmtId="0" fontId="20" fillId="4" borderId="37" xfId="0" applyFont="1" applyFill="1" applyBorder="1" applyAlignment="1">
      <alignment horizontal="center"/>
    </xf>
    <xf numFmtId="0" fontId="0" fillId="0" borderId="0" xfId="0" applyAlignment="1"/>
    <xf numFmtId="0" fontId="14" fillId="4" borderId="10" xfId="0" applyFont="1" applyFill="1" applyBorder="1" applyAlignment="1">
      <alignment horizontal="left" wrapText="1"/>
    </xf>
    <xf numFmtId="0" fontId="14" fillId="4" borderId="9" xfId="0" applyFont="1" applyFill="1" applyBorder="1" applyAlignment="1">
      <alignment horizontal="left" wrapText="1"/>
    </xf>
    <xf numFmtId="0" fontId="14" fillId="4" borderId="37" xfId="0" applyFont="1" applyFill="1" applyBorder="1" applyAlignment="1">
      <alignment horizontal="left" wrapText="1"/>
    </xf>
    <xf numFmtId="0" fontId="12" fillId="0" borderId="0" xfId="0" applyFont="1" applyAlignment="1">
      <alignment wrapText="1"/>
    </xf>
    <xf numFmtId="0" fontId="14" fillId="4" borderId="10" xfId="0" applyFont="1" applyFill="1" applyBorder="1"/>
    <xf numFmtId="0" fontId="14" fillId="4" borderId="9" xfId="0" applyFont="1" applyFill="1" applyBorder="1"/>
    <xf numFmtId="0" fontId="14" fillId="4" borderId="37" xfId="0" applyFont="1" applyFill="1" applyBorder="1"/>
    <xf numFmtId="0" fontId="36" fillId="0" borderId="0" xfId="0" applyFont="1" applyAlignment="1">
      <alignment wrapText="1"/>
    </xf>
    <xf numFmtId="0" fontId="14" fillId="4" borderId="10" xfId="0" applyFont="1" applyFill="1" applyBorder="1" applyAlignment="1">
      <alignment wrapText="1"/>
    </xf>
    <xf numFmtId="0" fontId="14" fillId="4" borderId="10" xfId="0" applyFont="1" applyFill="1" applyBorder="1" applyAlignment="1"/>
    <xf numFmtId="0" fontId="14" fillId="4" borderId="9" xfId="0" applyFont="1" applyFill="1" applyBorder="1" applyAlignment="1"/>
    <xf numFmtId="0" fontId="14" fillId="4" borderId="37" xfId="0" applyFont="1" applyFill="1" applyBorder="1" applyAlignment="1"/>
    <xf numFmtId="0" fontId="14" fillId="4" borderId="9" xfId="0" applyFont="1" applyFill="1" applyBorder="1" applyAlignment="1">
      <alignment wrapText="1"/>
    </xf>
    <xf numFmtId="0" fontId="14" fillId="4" borderId="37" xfId="0" applyFont="1" applyFill="1" applyBorder="1" applyAlignment="1">
      <alignment wrapText="1"/>
    </xf>
    <xf numFmtId="0" fontId="14" fillId="4" borderId="15" xfId="0" applyFont="1" applyFill="1" applyBorder="1" applyAlignment="1">
      <alignment wrapText="1"/>
    </xf>
    <xf numFmtId="0" fontId="14" fillId="4" borderId="16" xfId="0" applyFont="1" applyFill="1" applyBorder="1" applyAlignment="1">
      <alignment wrapText="1"/>
    </xf>
    <xf numFmtId="0" fontId="14" fillId="4" borderId="24" xfId="0" applyFont="1" applyFill="1" applyBorder="1" applyAlignment="1">
      <alignment wrapText="1"/>
    </xf>
    <xf numFmtId="0" fontId="14" fillId="4" borderId="17" xfId="0" applyFont="1" applyFill="1" applyBorder="1" applyAlignment="1">
      <alignment wrapText="1"/>
    </xf>
    <xf numFmtId="0" fontId="14" fillId="4" borderId="0" xfId="0" applyFont="1" applyFill="1" applyBorder="1" applyAlignment="1">
      <alignment wrapText="1"/>
    </xf>
    <xf numFmtId="0" fontId="14" fillId="4" borderId="18" xfId="0" applyFont="1" applyFill="1" applyBorder="1" applyAlignment="1">
      <alignment wrapText="1"/>
    </xf>
    <xf numFmtId="0" fontId="14" fillId="4" borderId="11" xfId="0" applyFont="1" applyFill="1" applyBorder="1" applyAlignment="1">
      <alignment wrapText="1"/>
    </xf>
    <xf numFmtId="0" fontId="14" fillId="4" borderId="1" xfId="0" applyFont="1" applyFill="1" applyBorder="1" applyAlignment="1">
      <alignment wrapText="1"/>
    </xf>
    <xf numFmtId="0" fontId="14" fillId="4" borderId="12" xfId="0" applyFont="1" applyFill="1" applyBorder="1" applyAlignment="1">
      <alignment wrapText="1"/>
    </xf>
    <xf numFmtId="0" fontId="12" fillId="0" borderId="0" xfId="0" applyFont="1" applyAlignment="1">
      <alignment vertical="top" wrapText="1"/>
    </xf>
    <xf numFmtId="0" fontId="0" fillId="0" borderId="0" xfId="0" applyFill="1" applyAlignment="1">
      <alignment vertical="top" wrapText="1"/>
    </xf>
    <xf numFmtId="164" fontId="36" fillId="0" borderId="0" xfId="1" applyNumberFormat="1" applyFont="1" applyBorder="1" applyAlignment="1">
      <alignment wrapText="1"/>
    </xf>
    <xf numFmtId="0" fontId="13" fillId="0" borderId="0" xfId="0" applyFont="1" applyAlignment="1">
      <alignment wrapText="1"/>
    </xf>
    <xf numFmtId="164" fontId="0" fillId="4" borderId="16" xfId="0" applyNumberFormat="1" applyFill="1" applyBorder="1"/>
    <xf numFmtId="164" fontId="0" fillId="4" borderId="0" xfId="0" applyNumberFormat="1" applyFill="1" applyBorder="1"/>
    <xf numFmtId="164" fontId="0" fillId="2" borderId="16" xfId="1" applyNumberFormat="1" applyFont="1" applyFill="1" applyBorder="1" applyProtection="1">
      <protection locked="0"/>
    </xf>
    <xf numFmtId="164" fontId="0" fillId="2" borderId="0" xfId="1" applyNumberFormat="1" applyFont="1" applyFill="1" applyBorder="1" applyProtection="1">
      <protection locked="0"/>
    </xf>
    <xf numFmtId="0" fontId="0" fillId="2" borderId="16" xfId="0" applyFill="1" applyBorder="1" applyProtection="1">
      <protection locked="0"/>
    </xf>
    <xf numFmtId="0" fontId="0" fillId="2" borderId="0" xfId="0" applyFill="1" applyBorder="1" applyProtection="1">
      <protection locked="0"/>
    </xf>
    <xf numFmtId="164" fontId="15" fillId="0" borderId="0" xfId="1" applyNumberFormat="1" applyFont="1" applyBorder="1" applyAlignment="1">
      <alignment wrapText="1"/>
    </xf>
    <xf numFmtId="164" fontId="0" fillId="2" borderId="0" xfId="1" applyNumberFormat="1" applyFont="1" applyFill="1" applyProtection="1">
      <protection locked="0"/>
    </xf>
    <xf numFmtId="0" fontId="0" fillId="2" borderId="0" xfId="0" applyFill="1" applyProtection="1">
      <protection locked="0"/>
    </xf>
    <xf numFmtId="0" fontId="0" fillId="0" borderId="0" xfId="0" applyFill="1" applyAlignment="1">
      <alignment wrapText="1"/>
    </xf>
    <xf numFmtId="0" fontId="14" fillId="0" borderId="0" xfId="0" applyFont="1" applyAlignment="1">
      <alignment horizontal="center" wrapText="1"/>
    </xf>
    <xf numFmtId="0" fontId="14" fillId="0" borderId="38" xfId="0" applyFont="1" applyBorder="1" applyAlignment="1">
      <alignment horizontal="center" wrapText="1"/>
    </xf>
    <xf numFmtId="164" fontId="0" fillId="4" borderId="0" xfId="0" applyNumberFormat="1" applyFill="1"/>
    <xf numFmtId="0" fontId="14" fillId="0" borderId="0" xfId="0" applyFont="1" applyFill="1" applyBorder="1" applyAlignment="1" applyProtection="1">
      <alignment horizontal="center" wrapText="1"/>
      <protection locked="0"/>
    </xf>
    <xf numFmtId="0" fontId="0" fillId="0" borderId="1" xfId="0" applyBorder="1" applyAlignment="1" applyProtection="1">
      <alignment horizontal="center" wrapText="1"/>
      <protection locked="0"/>
    </xf>
    <xf numFmtId="0" fontId="14" fillId="0" borderId="0" xfId="0" applyFont="1" applyAlignment="1" applyProtection="1">
      <alignment horizontal="center" wrapText="1"/>
    </xf>
    <xf numFmtId="0" fontId="0" fillId="0" borderId="1" xfId="0" applyBorder="1" applyAlignment="1" applyProtection="1">
      <alignment horizontal="center" wrapText="1"/>
    </xf>
    <xf numFmtId="0" fontId="14" fillId="0" borderId="0" xfId="0" applyFont="1" applyFill="1" applyBorder="1" applyAlignment="1" applyProtection="1">
      <alignment horizontal="center" wrapText="1"/>
    </xf>
    <xf numFmtId="0" fontId="14" fillId="0" borderId="0" xfId="0" applyFont="1" applyBorder="1" applyAlignment="1">
      <alignment horizontal="center" wrapText="1"/>
    </xf>
    <xf numFmtId="0" fontId="0" fillId="0" borderId="1" xfId="0" applyBorder="1" applyAlignment="1">
      <alignment horizontal="center" wrapText="1"/>
    </xf>
    <xf numFmtId="0" fontId="14" fillId="0" borderId="1" xfId="0" applyFont="1" applyBorder="1" applyAlignment="1">
      <alignment horizontal="center" wrapText="1"/>
    </xf>
    <xf numFmtId="0" fontId="24" fillId="0" borderId="0" xfId="0" applyFont="1" applyAlignment="1">
      <alignment wrapText="1"/>
    </xf>
    <xf numFmtId="0" fontId="24" fillId="0" borderId="0" xfId="0" quotePrefix="1" applyFont="1" applyAlignment="1">
      <alignment wrapText="1"/>
    </xf>
    <xf numFmtId="0" fontId="14" fillId="0" borderId="16" xfId="0" applyFont="1" applyBorder="1" applyAlignment="1" applyProtection="1">
      <alignment horizontal="center" wrapText="1"/>
    </xf>
    <xf numFmtId="0" fontId="14" fillId="0" borderId="16" xfId="0" applyFont="1" applyFill="1" applyBorder="1" applyAlignment="1" applyProtection="1">
      <alignment horizontal="center" wrapText="1"/>
    </xf>
    <xf numFmtId="0" fontId="14" fillId="0" borderId="16" xfId="0" applyFont="1" applyBorder="1" applyAlignment="1">
      <alignment horizontal="center" wrapText="1"/>
    </xf>
    <xf numFmtId="0" fontId="14" fillId="0" borderId="16" xfId="0" applyFont="1" applyFill="1" applyBorder="1" applyAlignment="1">
      <alignment horizontal="center" wrapText="1"/>
    </xf>
    <xf numFmtId="0" fontId="16" fillId="2" borderId="0" xfId="0" applyFont="1" applyFill="1" applyBorder="1" applyProtection="1">
      <protection locked="0"/>
    </xf>
    <xf numFmtId="164" fontId="0" fillId="0" borderId="0" xfId="1" applyNumberFormat="1" applyFont="1" applyAlignment="1">
      <alignment horizontal="right"/>
    </xf>
    <xf numFmtId="164" fontId="0" fillId="0" borderId="0" xfId="1" applyNumberFormat="1" applyFont="1" applyAlignment="1">
      <alignment horizontal="right" wrapText="1"/>
    </xf>
    <xf numFmtId="0" fontId="14" fillId="0" borderId="0" xfId="0" applyFont="1" applyAlignment="1" applyProtection="1">
      <alignment horizontal="center" wrapText="1"/>
      <protection locked="0"/>
    </xf>
    <xf numFmtId="0" fontId="0" fillId="0" borderId="0" xfId="0" applyFill="1"/>
    <xf numFmtId="0" fontId="14" fillId="0" borderId="0" xfId="0" applyFont="1" applyFill="1" applyBorder="1" applyAlignment="1">
      <alignment horizontal="center"/>
    </xf>
    <xf numFmtId="0" fontId="29" fillId="0" borderId="0" xfId="0" applyFont="1" applyAlignment="1">
      <alignment wrapText="1"/>
    </xf>
    <xf numFmtId="0" fontId="14" fillId="0" borderId="38" xfId="0" applyFont="1" applyBorder="1" applyAlignment="1" applyProtection="1">
      <alignment horizontal="center" wrapText="1"/>
    </xf>
    <xf numFmtId="164" fontId="0" fillId="4" borderId="0" xfId="1" applyNumberFormat="1" applyFont="1" applyFill="1" applyProtection="1">
      <protection locked="0"/>
    </xf>
    <xf numFmtId="167" fontId="0" fillId="2" borderId="0" xfId="1" applyNumberFormat="1" applyFont="1" applyFill="1" applyProtection="1">
      <protection locked="0"/>
    </xf>
    <xf numFmtId="164" fontId="0" fillId="4" borderId="0" xfId="1" applyNumberFormat="1" applyFont="1" applyFill="1"/>
    <xf numFmtId="166" fontId="0" fillId="4" borderId="0" xfId="0" applyNumberFormat="1" applyFill="1"/>
    <xf numFmtId="166" fontId="0" fillId="4" borderId="0" xfId="1" applyNumberFormat="1" applyFont="1" applyFill="1"/>
    <xf numFmtId="0" fontId="54" fillId="0" borderId="0" xfId="0" applyFont="1" applyAlignment="1">
      <alignment wrapText="1"/>
    </xf>
    <xf numFmtId="0" fontId="0" fillId="0" borderId="0" xfId="0" applyFill="1" applyBorder="1"/>
    <xf numFmtId="164" fontId="0" fillId="2" borderId="1" xfId="1" applyNumberFormat="1" applyFont="1" applyFill="1" applyBorder="1" applyProtection="1">
      <protection locked="0"/>
    </xf>
    <xf numFmtId="0" fontId="0" fillId="0" borderId="0" xfId="0" applyAlignment="1">
      <alignment horizontal="left" wrapText="1"/>
    </xf>
    <xf numFmtId="0" fontId="54" fillId="0" borderId="0" xfId="0" applyFont="1" applyFill="1" applyAlignment="1">
      <alignment wrapText="1"/>
    </xf>
    <xf numFmtId="0" fontId="0" fillId="0" borderId="0" xfId="0" applyFill="1" applyBorder="1" applyAlignment="1">
      <alignment horizontal="center"/>
    </xf>
    <xf numFmtId="0" fontId="14" fillId="0" borderId="0" xfId="0" applyFont="1" applyFill="1" applyBorder="1"/>
    <xf numFmtId="0" fontId="0" fillId="0" borderId="17" xfId="0" applyBorder="1" applyAlignment="1">
      <alignment horizontal="center"/>
    </xf>
    <xf numFmtId="0" fontId="0" fillId="0" borderId="0" xfId="0" applyBorder="1" applyAlignment="1">
      <alignment horizontal="center"/>
    </xf>
    <xf numFmtId="0" fontId="0" fillId="0" borderId="17" xfId="0" applyFill="1" applyBorder="1" applyAlignment="1">
      <alignment horizontal="center"/>
    </xf>
    <xf numFmtId="0" fontId="0" fillId="0" borderId="18" xfId="0" applyFill="1" applyBorder="1" applyAlignment="1">
      <alignment horizontal="center"/>
    </xf>
    <xf numFmtId="0" fontId="32" fillId="5" borderId="10" xfId="0" applyFont="1" applyFill="1" applyBorder="1"/>
    <xf numFmtId="0" fontId="32" fillId="5" borderId="9" xfId="0" applyFont="1" applyFill="1" applyBorder="1"/>
    <xf numFmtId="0" fontId="32" fillId="5" borderId="37" xfId="0" applyFont="1" applyFill="1" applyBorder="1"/>
    <xf numFmtId="0" fontId="14" fillId="8" borderId="10" xfId="0" applyFont="1" applyFill="1" applyBorder="1" applyAlignment="1">
      <alignment wrapText="1"/>
    </xf>
    <xf numFmtId="0" fontId="14" fillId="8" borderId="9" xfId="0" applyFont="1" applyFill="1" applyBorder="1" applyAlignment="1">
      <alignment wrapText="1"/>
    </xf>
    <xf numFmtId="0" fontId="14" fillId="8" borderId="37" xfId="0" applyFont="1" applyFill="1" applyBorder="1" applyAlignment="1">
      <alignment wrapText="1"/>
    </xf>
    <xf numFmtId="0" fontId="45" fillId="0" borderId="0" xfId="0" applyFont="1" applyAlignment="1">
      <alignment wrapText="1"/>
    </xf>
    <xf numFmtId="0" fontId="16" fillId="0" borderId="0" xfId="0" applyFont="1" applyAlignment="1">
      <alignment wrapText="1"/>
    </xf>
    <xf numFmtId="164" fontId="15" fillId="0" borderId="0" xfId="0" applyNumberFormat="1" applyFont="1" applyAlignment="1">
      <alignment wrapText="1"/>
    </xf>
    <xf numFmtId="0" fontId="0" fillId="0" borderId="1" xfId="0" applyBorder="1" applyAlignment="1">
      <alignment wrapText="1"/>
    </xf>
    <xf numFmtId="0" fontId="16" fillId="0" borderId="0" xfId="0" quotePrefix="1" applyFont="1" applyAlignment="1">
      <alignment wrapText="1"/>
    </xf>
    <xf numFmtId="0" fontId="14" fillId="0" borderId="0" xfId="0" applyFont="1" applyBorder="1" applyAlignment="1">
      <alignment horizontal="center"/>
    </xf>
    <xf numFmtId="0" fontId="0" fillId="0" borderId="0" xfId="0" applyBorder="1" applyAlignment="1">
      <alignment horizontal="center" wrapText="1"/>
    </xf>
    <xf numFmtId="0" fontId="22" fillId="0" borderId="0" xfId="0" applyFont="1" applyAlignment="1">
      <alignment horizontal="center"/>
    </xf>
    <xf numFmtId="0" fontId="0" fillId="4" borderId="9" xfId="0" applyFill="1" applyBorder="1"/>
    <xf numFmtId="0" fontId="0" fillId="4" borderId="37" xfId="0" applyFill="1" applyBorder="1"/>
    <xf numFmtId="0" fontId="22" fillId="0" borderId="0" xfId="0" applyFont="1"/>
    <xf numFmtId="0" fontId="0" fillId="4" borderId="17" xfId="0" applyFill="1" applyBorder="1" applyAlignment="1">
      <alignment horizontal="center"/>
    </xf>
    <xf numFmtId="0" fontId="0" fillId="4" borderId="0" xfId="0" applyFill="1" applyBorder="1" applyAlignment="1">
      <alignment horizontal="center"/>
    </xf>
    <xf numFmtId="0" fontId="0" fillId="4" borderId="18" xfId="0" applyFill="1" applyBorder="1" applyAlignment="1">
      <alignment horizontal="center"/>
    </xf>
    <xf numFmtId="164" fontId="12" fillId="2" borderId="0" xfId="1" applyNumberFormat="1" applyFill="1" applyBorder="1" applyProtection="1">
      <protection locked="0"/>
    </xf>
    <xf numFmtId="164" fontId="25" fillId="0" borderId="0" xfId="1" applyNumberFormat="1" applyFont="1" applyBorder="1" applyAlignment="1">
      <alignment horizontal="left"/>
    </xf>
    <xf numFmtId="0" fontId="0" fillId="0" borderId="15" xfId="0" applyBorder="1" applyAlignment="1">
      <alignment horizontal="center"/>
    </xf>
    <xf numFmtId="0" fontId="0" fillId="0" borderId="24" xfId="0" applyBorder="1" applyAlignment="1">
      <alignment horizontal="center"/>
    </xf>
    <xf numFmtId="0" fontId="0" fillId="0" borderId="16" xfId="0" applyBorder="1" applyAlignment="1">
      <alignment horizontal="center"/>
    </xf>
    <xf numFmtId="0" fontId="0" fillId="0" borderId="15" xfId="0" applyFill="1" applyBorder="1" applyAlignment="1">
      <alignment horizontal="center"/>
    </xf>
    <xf numFmtId="0" fontId="0" fillId="0" borderId="16" xfId="0" applyFill="1" applyBorder="1" applyAlignment="1">
      <alignment horizontal="center"/>
    </xf>
    <xf numFmtId="0" fontId="0" fillId="0" borderId="24" xfId="0" applyFill="1" applyBorder="1" applyAlignment="1">
      <alignment horizontal="center"/>
    </xf>
    <xf numFmtId="164" fontId="15" fillId="0" borderId="0" xfId="1" applyNumberFormat="1" applyFont="1" applyBorder="1" applyAlignment="1">
      <alignment horizontal="center" wrapText="1"/>
    </xf>
    <xf numFmtId="0" fontId="20" fillId="5" borderId="0" xfId="0" applyFont="1" applyFill="1" applyAlignment="1">
      <alignment horizontal="left"/>
    </xf>
    <xf numFmtId="0" fontId="14" fillId="4" borderId="1" xfId="0" applyFont="1" applyFill="1" applyBorder="1" applyAlignment="1"/>
    <xf numFmtId="0" fontId="12" fillId="0" borderId="0" xfId="0" applyFont="1" applyAlignment="1">
      <alignment horizontal="left" vertical="top" wrapText="1"/>
    </xf>
    <xf numFmtId="164" fontId="43" fillId="0" borderId="0" xfId="1" applyNumberFormat="1" applyFont="1" applyBorder="1" applyAlignment="1">
      <alignment horizontal="center"/>
    </xf>
    <xf numFmtId="0" fontId="14" fillId="0" borderId="10" xfId="0" applyFont="1" applyFill="1" applyBorder="1" applyAlignment="1">
      <alignment horizontal="center" wrapText="1"/>
    </xf>
    <xf numFmtId="0" fontId="14" fillId="0" borderId="9" xfId="0" applyFont="1" applyFill="1" applyBorder="1" applyAlignment="1">
      <alignment horizontal="center" wrapText="1"/>
    </xf>
    <xf numFmtId="0" fontId="14" fillId="0" borderId="37" xfId="0" applyFont="1" applyFill="1" applyBorder="1" applyAlignment="1">
      <alignment horizontal="center" wrapText="1"/>
    </xf>
    <xf numFmtId="164" fontId="25" fillId="0" borderId="0" xfId="1" applyNumberFormat="1" applyFont="1" applyBorder="1" applyAlignment="1">
      <alignment horizontal="right"/>
    </xf>
    <xf numFmtId="0" fontId="15" fillId="0" borderId="17" xfId="0" applyFont="1" applyBorder="1" applyAlignment="1">
      <alignment horizontal="center"/>
    </xf>
    <xf numFmtId="0" fontId="15" fillId="0" borderId="0" xfId="0" applyFont="1" applyBorder="1" applyAlignment="1">
      <alignment horizontal="center"/>
    </xf>
    <xf numFmtId="0" fontId="15" fillId="0" borderId="18" xfId="0" applyFont="1" applyBorder="1" applyAlignment="1">
      <alignment horizontal="center"/>
    </xf>
    <xf numFmtId="164" fontId="15" fillId="0" borderId="0" xfId="1" applyNumberFormat="1" applyFont="1" applyAlignment="1">
      <alignment wrapText="1"/>
    </xf>
    <xf numFmtId="0" fontId="12" fillId="0" borderId="1" xfId="0" applyFont="1" applyBorder="1" applyAlignment="1">
      <alignment vertical="top" wrapText="1"/>
    </xf>
    <xf numFmtId="0" fontId="0" fillId="0" borderId="1" xfId="0" applyBorder="1" applyAlignment="1">
      <alignment horizontal="center"/>
    </xf>
    <xf numFmtId="0" fontId="49" fillId="0" borderId="0" xfId="0" applyFont="1"/>
    <xf numFmtId="0" fontId="49" fillId="0" borderId="0" xfId="0" applyFont="1" applyAlignment="1">
      <alignment wrapText="1"/>
    </xf>
    <xf numFmtId="0" fontId="14" fillId="0" borderId="18" xfId="0" applyFont="1" applyBorder="1" applyAlignment="1"/>
    <xf numFmtId="0" fontId="14" fillId="4" borderId="15" xfId="0" applyFont="1" applyFill="1" applyBorder="1" applyAlignment="1"/>
    <xf numFmtId="0" fontId="14" fillId="4" borderId="16" xfId="0" applyFont="1" applyFill="1" applyBorder="1" applyAlignment="1"/>
    <xf numFmtId="0" fontId="14" fillId="4" borderId="24" xfId="0" applyFont="1" applyFill="1" applyBorder="1" applyAlignment="1"/>
    <xf numFmtId="0" fontId="14" fillId="4" borderId="11" xfId="0" applyFont="1" applyFill="1" applyBorder="1" applyAlignment="1"/>
    <xf numFmtId="0" fontId="14" fillId="4" borderId="12" xfId="0" applyFont="1" applyFill="1" applyBorder="1" applyAlignment="1"/>
    <xf numFmtId="164" fontId="0" fillId="2" borderId="0" xfId="1" applyNumberFormat="1" applyFont="1" applyFill="1" applyAlignment="1" applyProtection="1">
      <protection locked="0"/>
    </xf>
    <xf numFmtId="0" fontId="0" fillId="0" borderId="0" xfId="0" applyAlignment="1" applyProtection="1">
      <protection locked="0"/>
    </xf>
    <xf numFmtId="0" fontId="20" fillId="5" borderId="0" xfId="0" applyFont="1" applyFill="1" applyAlignment="1">
      <alignment horizontal="left" vertical="center"/>
    </xf>
    <xf numFmtId="0" fontId="32" fillId="4" borderId="10" xfId="0" applyFont="1" applyFill="1" applyBorder="1" applyAlignment="1">
      <alignment horizontal="center"/>
    </xf>
    <xf numFmtId="0" fontId="32" fillId="4" borderId="9" xfId="0" applyFont="1" applyFill="1" applyBorder="1" applyAlignment="1">
      <alignment horizontal="center"/>
    </xf>
    <xf numFmtId="0" fontId="32" fillId="4" borderId="37" xfId="0" applyFont="1" applyFill="1" applyBorder="1" applyAlignment="1">
      <alignment horizontal="center"/>
    </xf>
    <xf numFmtId="0" fontId="60" fillId="0" borderId="0" xfId="0" applyFont="1" applyAlignment="1">
      <alignment horizontal="left" vertical="top" wrapText="1" readingOrder="1"/>
    </xf>
    <xf numFmtId="0" fontId="14" fillId="4" borderId="10" xfId="0" applyFont="1" applyFill="1" applyBorder="1" applyAlignment="1">
      <alignment horizontal="left"/>
    </xf>
    <xf numFmtId="0" fontId="14" fillId="4" borderId="9" xfId="0" applyFont="1" applyFill="1" applyBorder="1" applyAlignment="1">
      <alignment horizontal="left"/>
    </xf>
    <xf numFmtId="0" fontId="14" fillId="4" borderId="37" xfId="0" applyFont="1" applyFill="1" applyBorder="1" applyAlignment="1">
      <alignment horizontal="left"/>
    </xf>
    <xf numFmtId="0" fontId="63" fillId="0" borderId="15" xfId="0" applyFont="1" applyFill="1" applyBorder="1" applyAlignment="1">
      <alignment horizontal="center"/>
    </xf>
    <xf numFmtId="0" fontId="63" fillId="0" borderId="16" xfId="0" applyFont="1" applyFill="1" applyBorder="1" applyAlignment="1">
      <alignment horizontal="center"/>
    </xf>
    <xf numFmtId="0" fontId="63" fillId="0" borderId="24" xfId="0" applyFont="1" applyFill="1" applyBorder="1" applyAlignment="1">
      <alignment horizontal="center"/>
    </xf>
    <xf numFmtId="0" fontId="14" fillId="0" borderId="1" xfId="0" applyFont="1" applyFill="1" applyBorder="1" applyAlignment="1">
      <alignment horizontal="center"/>
    </xf>
    <xf numFmtId="171" fontId="68" fillId="0" borderId="0" xfId="10" applyNumberFormat="1" applyFont="1" applyFill="1" applyBorder="1" applyAlignment="1">
      <alignment horizontal="left" vertical="top" wrapText="1"/>
    </xf>
    <xf numFmtId="0" fontId="32" fillId="0" borderId="0" xfId="14" applyFont="1" applyFill="1" applyBorder="1" applyAlignment="1">
      <alignment horizontal="center"/>
    </xf>
    <xf numFmtId="0" fontId="83" fillId="0" borderId="1" xfId="14" applyFont="1" applyFill="1" applyBorder="1" applyAlignment="1">
      <alignment horizontal="center"/>
    </xf>
    <xf numFmtId="171" fontId="96" fillId="0" borderId="0" xfId="10" applyNumberFormat="1" applyFont="1" applyFill="1" applyBorder="1"/>
    <xf numFmtId="171" fontId="98" fillId="0" borderId="0" xfId="10" quotePrefix="1" applyNumberFormat="1" applyFont="1" applyFill="1" applyBorder="1" applyAlignment="1">
      <alignment horizontal="center"/>
    </xf>
    <xf numFmtId="171" fontId="98" fillId="0" borderId="0" xfId="10" applyNumberFormat="1" applyFont="1" applyFill="1" applyBorder="1" applyAlignment="1">
      <alignment horizontal="center"/>
    </xf>
    <xf numFmtId="0" fontId="98" fillId="0" borderId="0" xfId="13" applyFont="1" applyFill="1" applyBorder="1" applyAlignment="1">
      <alignment horizontal="center"/>
    </xf>
    <xf numFmtId="171" fontId="105" fillId="0" borderId="0" xfId="10" quotePrefix="1" applyNumberFormat="1" applyFont="1" applyFill="1" applyBorder="1" applyAlignment="1">
      <alignment horizontal="center"/>
    </xf>
    <xf numFmtId="0" fontId="14" fillId="0" borderId="0" xfId="0" applyFont="1" applyAlignment="1">
      <alignment horizontal="center"/>
    </xf>
    <xf numFmtId="0" fontId="81" fillId="0" borderId="1" xfId="0" applyFont="1" applyBorder="1" applyAlignment="1">
      <alignment horizontal="center"/>
    </xf>
  </cellXfs>
  <cellStyles count="40">
    <cellStyle name="BigBorder" xfId="35" xr:uid="{B50E62B6-3291-4BF0-B180-66726C72B46B}"/>
    <cellStyle name="BigTitle" xfId="13" xr:uid="{00000000-0005-0000-0000-000000000000}"/>
    <cellStyle name="Blue%2" xfId="34" xr:uid="{5386C885-8432-4D68-AF69-8DCEA54A1172}"/>
    <cellStyle name="BlueInt" xfId="33" xr:uid="{518AEAAF-A665-4C66-8CC3-26291CA08922}"/>
    <cellStyle name="columnheader1" xfId="15" xr:uid="{00000000-0005-0000-0000-000001000000}"/>
    <cellStyle name="Comma" xfId="1" builtinId="3"/>
    <cellStyle name="Comma 10" xfId="39" xr:uid="{B6047DC2-331D-4F8E-85B6-F1C08989F9CE}"/>
    <cellStyle name="Comma 2" xfId="6" xr:uid="{00000000-0005-0000-0000-000003000000}"/>
    <cellStyle name="Comma 3" xfId="9" xr:uid="{00000000-0005-0000-0000-000004000000}"/>
    <cellStyle name="Comma 3 2" xfId="10" xr:uid="{00000000-0005-0000-0000-000005000000}"/>
    <cellStyle name="Comma 4" xfId="18" xr:uid="{00000000-0005-0000-0000-000006000000}"/>
    <cellStyle name="Comma 5" xfId="21" xr:uid="{00000000-0005-0000-0000-000007000000}"/>
    <cellStyle name="Comma 6" xfId="22" xr:uid="{FD26B47D-E222-4EB6-88F4-F08E1F4CB889}"/>
    <cellStyle name="Comma 7" xfId="25" xr:uid="{88989F9C-2AEB-4B8A-9E67-B54B52EDEC08}"/>
    <cellStyle name="Comma 8" xfId="29" xr:uid="{EEA7C6BD-5AF6-4D14-992A-7B0A9EED49BD}"/>
    <cellStyle name="Comma 9" xfId="30" xr:uid="{A2A7E1F3-BFA2-47F8-9702-A571B838E6E8}"/>
    <cellStyle name="Currency" xfId="2" builtinId="4"/>
    <cellStyle name="Currency 2" xfId="27" xr:uid="{99A0E391-EF41-454B-8306-DA706C65A3FC}"/>
    <cellStyle name="Normal" xfId="0" builtinId="0"/>
    <cellStyle name="Normal 10" xfId="37" xr:uid="{55838D6B-2518-4A01-8761-F076E57E0E02}"/>
    <cellStyle name="Normal 11" xfId="38" xr:uid="{5005FA2D-2898-4265-8AB7-261385EFCFE5}"/>
    <cellStyle name="Normal 2" xfId="4" xr:uid="{00000000-0005-0000-0000-00000A000000}"/>
    <cellStyle name="Normal 2 3" xfId="11" xr:uid="{00000000-0005-0000-0000-00000B000000}"/>
    <cellStyle name="Normal 3" xfId="7" xr:uid="{00000000-0005-0000-0000-00000C000000}"/>
    <cellStyle name="Normal 4" xfId="16" xr:uid="{00000000-0005-0000-0000-00000D000000}"/>
    <cellStyle name="Normal 5" xfId="12" xr:uid="{00000000-0005-0000-0000-00000E000000}"/>
    <cellStyle name="Normal 6" xfId="19" xr:uid="{00000000-0005-0000-0000-00000F000000}"/>
    <cellStyle name="Normal 7" xfId="23" xr:uid="{D4E21CA3-4025-4E8E-9DC1-3E41DD069C84}"/>
    <cellStyle name="Normal 8" xfId="24" xr:uid="{0EBCD3BC-4219-4751-B02A-FD6933FC25ED}"/>
    <cellStyle name="Normal 9" xfId="28" xr:uid="{47C88851-E6F9-4E96-85C1-19DD1E9E7017}"/>
    <cellStyle name="pageheader" xfId="36" xr:uid="{C250B95E-AB52-412B-9387-DBF7D78F394A}"/>
    <cellStyle name="Percent" xfId="3" builtinId="5"/>
    <cellStyle name="Percent 2" xfId="5" xr:uid="{00000000-0005-0000-0000-000011000000}"/>
    <cellStyle name="Percent 3" xfId="8" xr:uid="{00000000-0005-0000-0000-000012000000}"/>
    <cellStyle name="Percent 3 2" xfId="31" xr:uid="{9DCD5AC4-724B-4126-8504-1359B0E33600}"/>
    <cellStyle name="Percent 4" xfId="17" xr:uid="{00000000-0005-0000-0000-000013000000}"/>
    <cellStyle name="Percent 5" xfId="20" xr:uid="{00000000-0005-0000-0000-000014000000}"/>
    <cellStyle name="Percent 6" xfId="26" xr:uid="{443B4E78-7281-42DA-A6D6-AB2BD60B60E1}"/>
    <cellStyle name="Percent 7" xfId="32" xr:uid="{1DDF5A82-83DB-4E5C-89D7-EA29A1D879D2}"/>
    <cellStyle name="sectionhead" xfId="14" xr:uid="{00000000-0005-0000-0000-000015000000}"/>
  </cellStyles>
  <dxfs count="4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strike val="0"/>
        <color rgb="FFFF0000"/>
      </font>
    </dxf>
    <dxf>
      <font>
        <b/>
        <i val="0"/>
        <strike val="0"/>
        <color rgb="FFFF0000"/>
      </font>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FFFF99"/>
      <color rgb="FF6666FF"/>
      <color rgb="FF66FFCC"/>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3.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2.xml"/><Relationship Id="rId38" Type="http://schemas.microsoft.com/office/2017/10/relationships/person" Target="persons/person.xml"/></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96</xdr:row>
      <xdr:rowOff>9525</xdr:rowOff>
    </xdr:from>
    <xdr:to>
      <xdr:col>11</xdr:col>
      <xdr:colOff>0</xdr:colOff>
      <xdr:row>106</xdr:row>
      <xdr:rowOff>150497</xdr:rowOff>
    </xdr:to>
    <xdr:sp macro="" textlink="">
      <xdr:nvSpPr>
        <xdr:cNvPr id="18434" name="Text Box 2">
          <a:extLst>
            <a:ext uri="{FF2B5EF4-FFF2-40B4-BE49-F238E27FC236}">
              <a16:creationId xmlns:a16="http://schemas.microsoft.com/office/drawing/2014/main" id="{00000000-0008-0000-0000-000002480000}"/>
            </a:ext>
          </a:extLst>
        </xdr:cNvPr>
        <xdr:cNvSpPr txBox="1">
          <a:spLocks noChangeArrowheads="1"/>
        </xdr:cNvSpPr>
      </xdr:nvSpPr>
      <xdr:spPr bwMode="auto">
        <a:xfrm>
          <a:off x="304800" y="17526000"/>
          <a:ext cx="6629400" cy="17621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a:cs typeface="Arial"/>
            </a:rPr>
            <a:t>Worksheets have been created such that they can be printed for offline review.  On the Conversion Worksheet, once all the detail fund data has been entered and the grand totals are as you expected, those detail fund columns can be hidden so that one sees the account titles on the left and then the column "Total Governmental Funds."  By hiding detail columns you will be able to fit the conversion worksheet to legal size paper.  Please note that to hide columns, you must unprotect the worksheet.  We suggest, that once fund detail is verified, that you unprotect the worksheet, hide the detail fund columns, and then re-protect the worksheet in order not to overwrite formulas and mapping.  All other worksheets fit on standard 8.5x11 paper.  Some worksheets result in such complicated entries that a work section is presented below the final entry to accumulate all activity.  These work sections are not defined in the normal print range.  If you wish to print the work sections, you will need to select the work section for printing or redefine your print ranges.  Please note that the work sections may be larger than regular 8.5x11 paper.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r>
            <a:rPr lang="en-US" sz="1000" b="0" i="0" u="none" strike="noStrike" baseline="0">
              <a:solidFill>
                <a:srgbClr val="000000"/>
              </a:solidFill>
              <a:latin typeface="Arial"/>
              <a:cs typeface="Arial"/>
            </a:rPr>
            <a:t>         </a:t>
          </a:r>
        </a:p>
        <a:p>
          <a:pPr algn="l" rtl="0">
            <a:defRPr sz="1000"/>
          </a:pPr>
          <a:endParaRPr lang="en-US"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0</xdr:colOff>
      <xdr:row>23</xdr:row>
      <xdr:rowOff>9525</xdr:rowOff>
    </xdr:from>
    <xdr:to>
      <xdr:col>14</xdr:col>
      <xdr:colOff>0</xdr:colOff>
      <xdr:row>40</xdr:row>
      <xdr:rowOff>9525</xdr:rowOff>
    </xdr:to>
    <xdr:sp macro="" textlink="">
      <xdr:nvSpPr>
        <xdr:cNvPr id="21533" name="AutoShape 1">
          <a:extLst>
            <a:ext uri="{FF2B5EF4-FFF2-40B4-BE49-F238E27FC236}">
              <a16:creationId xmlns:a16="http://schemas.microsoft.com/office/drawing/2014/main" id="{00000000-0008-0000-0A00-00001D540000}"/>
            </a:ext>
          </a:extLst>
        </xdr:cNvPr>
        <xdr:cNvSpPr>
          <a:spLocks/>
        </xdr:cNvSpPr>
      </xdr:nvSpPr>
      <xdr:spPr bwMode="auto">
        <a:xfrm>
          <a:off x="7315200" y="3962400"/>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0</xdr:colOff>
      <xdr:row>45</xdr:row>
      <xdr:rowOff>9525</xdr:rowOff>
    </xdr:from>
    <xdr:to>
      <xdr:col>14</xdr:col>
      <xdr:colOff>0</xdr:colOff>
      <xdr:row>62</xdr:row>
      <xdr:rowOff>9525</xdr:rowOff>
    </xdr:to>
    <xdr:sp macro="" textlink="">
      <xdr:nvSpPr>
        <xdr:cNvPr id="21534" name="AutoShape 2">
          <a:extLst>
            <a:ext uri="{FF2B5EF4-FFF2-40B4-BE49-F238E27FC236}">
              <a16:creationId xmlns:a16="http://schemas.microsoft.com/office/drawing/2014/main" id="{00000000-0008-0000-0A00-00001E540000}"/>
            </a:ext>
          </a:extLst>
        </xdr:cNvPr>
        <xdr:cNvSpPr>
          <a:spLocks/>
        </xdr:cNvSpPr>
      </xdr:nvSpPr>
      <xdr:spPr bwMode="auto">
        <a:xfrm>
          <a:off x="7315200" y="7400925"/>
          <a:ext cx="0" cy="2752725"/>
        </a:xfrm>
        <a:prstGeom prst="righ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159</xdr:row>
      <xdr:rowOff>133350</xdr:rowOff>
    </xdr:from>
    <xdr:to>
      <xdr:col>13</xdr:col>
      <xdr:colOff>142875</xdr:colOff>
      <xdr:row>198</xdr:row>
      <xdr:rowOff>95250</xdr:rowOff>
    </xdr:to>
    <xdr:sp macro="" textlink="">
      <xdr:nvSpPr>
        <xdr:cNvPr id="22627" name="AutoShape 6">
          <a:extLst>
            <a:ext uri="{FF2B5EF4-FFF2-40B4-BE49-F238E27FC236}">
              <a16:creationId xmlns:a16="http://schemas.microsoft.com/office/drawing/2014/main" id="{00000000-0008-0000-0B00-000063580000}"/>
            </a:ext>
          </a:extLst>
        </xdr:cNvPr>
        <xdr:cNvSpPr>
          <a:spLocks/>
        </xdr:cNvSpPr>
      </xdr:nvSpPr>
      <xdr:spPr bwMode="auto">
        <a:xfrm>
          <a:off x="8715375" y="28527375"/>
          <a:ext cx="285750" cy="6010275"/>
        </a:xfrm>
        <a:prstGeom prst="rightBrace">
          <a:avLst>
            <a:gd name="adj1" fmla="val 17527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212</xdr:row>
      <xdr:rowOff>0</xdr:rowOff>
    </xdr:from>
    <xdr:to>
      <xdr:col>13</xdr:col>
      <xdr:colOff>28575</xdr:colOff>
      <xdr:row>216</xdr:row>
      <xdr:rowOff>0</xdr:rowOff>
    </xdr:to>
    <xdr:sp macro="" textlink="">
      <xdr:nvSpPr>
        <xdr:cNvPr id="22628" name="AutoShape 28">
          <a:extLst>
            <a:ext uri="{FF2B5EF4-FFF2-40B4-BE49-F238E27FC236}">
              <a16:creationId xmlns:a16="http://schemas.microsoft.com/office/drawing/2014/main" id="{00000000-0008-0000-0B00-000064580000}"/>
            </a:ext>
          </a:extLst>
        </xdr:cNvPr>
        <xdr:cNvSpPr>
          <a:spLocks/>
        </xdr:cNvSpPr>
      </xdr:nvSpPr>
      <xdr:spPr bwMode="auto">
        <a:xfrm>
          <a:off x="8801100" y="36490275"/>
          <a:ext cx="85725" cy="647700"/>
        </a:xfrm>
        <a:prstGeom prst="rightBrace">
          <a:avLst>
            <a:gd name="adj1" fmla="val 6296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217</xdr:row>
      <xdr:rowOff>0</xdr:rowOff>
    </xdr:from>
    <xdr:to>
      <xdr:col>13</xdr:col>
      <xdr:colOff>9525</xdr:colOff>
      <xdr:row>221</xdr:row>
      <xdr:rowOff>133350</xdr:rowOff>
    </xdr:to>
    <xdr:sp macro="" textlink="">
      <xdr:nvSpPr>
        <xdr:cNvPr id="22629" name="AutoShape 29">
          <a:extLst>
            <a:ext uri="{FF2B5EF4-FFF2-40B4-BE49-F238E27FC236}">
              <a16:creationId xmlns:a16="http://schemas.microsoft.com/office/drawing/2014/main" id="{00000000-0008-0000-0B00-000065580000}"/>
            </a:ext>
          </a:extLst>
        </xdr:cNvPr>
        <xdr:cNvSpPr>
          <a:spLocks/>
        </xdr:cNvSpPr>
      </xdr:nvSpPr>
      <xdr:spPr bwMode="auto">
        <a:xfrm>
          <a:off x="8791575" y="37195125"/>
          <a:ext cx="76200" cy="781050"/>
        </a:xfrm>
        <a:prstGeom prst="rightBrace">
          <a:avLst>
            <a:gd name="adj1" fmla="val 854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223</xdr:row>
      <xdr:rowOff>28575</xdr:rowOff>
    </xdr:from>
    <xdr:to>
      <xdr:col>13</xdr:col>
      <xdr:colOff>28575</xdr:colOff>
      <xdr:row>226</xdr:row>
      <xdr:rowOff>152400</xdr:rowOff>
    </xdr:to>
    <xdr:sp macro="" textlink="">
      <xdr:nvSpPr>
        <xdr:cNvPr id="22630" name="AutoShape 30">
          <a:extLst>
            <a:ext uri="{FF2B5EF4-FFF2-40B4-BE49-F238E27FC236}">
              <a16:creationId xmlns:a16="http://schemas.microsoft.com/office/drawing/2014/main" id="{00000000-0008-0000-0B00-000066580000}"/>
            </a:ext>
          </a:extLst>
        </xdr:cNvPr>
        <xdr:cNvSpPr>
          <a:spLocks/>
        </xdr:cNvSpPr>
      </xdr:nvSpPr>
      <xdr:spPr bwMode="auto">
        <a:xfrm>
          <a:off x="8801100" y="38080950"/>
          <a:ext cx="85725" cy="609600"/>
        </a:xfrm>
        <a:prstGeom prst="rightBrace">
          <a:avLst>
            <a:gd name="adj1" fmla="val 5925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9525</xdr:colOff>
      <xdr:row>232</xdr:row>
      <xdr:rowOff>9525</xdr:rowOff>
    </xdr:from>
    <xdr:to>
      <xdr:col>12</xdr:col>
      <xdr:colOff>95250</xdr:colOff>
      <xdr:row>247</xdr:row>
      <xdr:rowOff>152400</xdr:rowOff>
    </xdr:to>
    <xdr:sp macro="" textlink="">
      <xdr:nvSpPr>
        <xdr:cNvPr id="22631" name="AutoShape 31">
          <a:extLst>
            <a:ext uri="{FF2B5EF4-FFF2-40B4-BE49-F238E27FC236}">
              <a16:creationId xmlns:a16="http://schemas.microsoft.com/office/drawing/2014/main" id="{00000000-0008-0000-0B00-000067580000}"/>
            </a:ext>
          </a:extLst>
        </xdr:cNvPr>
        <xdr:cNvSpPr>
          <a:spLocks/>
        </xdr:cNvSpPr>
      </xdr:nvSpPr>
      <xdr:spPr bwMode="auto">
        <a:xfrm>
          <a:off x="8724900" y="39309675"/>
          <a:ext cx="85725" cy="2571750"/>
        </a:xfrm>
        <a:prstGeom prst="rightBrace">
          <a:avLst>
            <a:gd name="adj1" fmla="val 25000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85725</xdr:colOff>
      <xdr:row>249</xdr:row>
      <xdr:rowOff>9525</xdr:rowOff>
    </xdr:from>
    <xdr:to>
      <xdr:col>13</xdr:col>
      <xdr:colOff>28575</xdr:colOff>
      <xdr:row>303</xdr:row>
      <xdr:rowOff>0</xdr:rowOff>
    </xdr:to>
    <xdr:sp macro="" textlink="">
      <xdr:nvSpPr>
        <xdr:cNvPr id="22632" name="AutoShape 32">
          <a:extLst>
            <a:ext uri="{FF2B5EF4-FFF2-40B4-BE49-F238E27FC236}">
              <a16:creationId xmlns:a16="http://schemas.microsoft.com/office/drawing/2014/main" id="{00000000-0008-0000-0B00-000068580000}"/>
            </a:ext>
          </a:extLst>
        </xdr:cNvPr>
        <xdr:cNvSpPr>
          <a:spLocks/>
        </xdr:cNvSpPr>
      </xdr:nvSpPr>
      <xdr:spPr bwMode="auto">
        <a:xfrm>
          <a:off x="8801100" y="41957625"/>
          <a:ext cx="85725" cy="8734425"/>
        </a:xfrm>
        <a:prstGeom prst="rightBrace">
          <a:avLst>
            <a:gd name="adj1" fmla="val 84907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28575</xdr:colOff>
      <xdr:row>307</xdr:row>
      <xdr:rowOff>0</xdr:rowOff>
    </xdr:from>
    <xdr:to>
      <xdr:col>12</xdr:col>
      <xdr:colOff>104775</xdr:colOff>
      <xdr:row>331</xdr:row>
      <xdr:rowOff>0</xdr:rowOff>
    </xdr:to>
    <xdr:sp macro="" textlink="">
      <xdr:nvSpPr>
        <xdr:cNvPr id="22633" name="AutoShape 34">
          <a:extLst>
            <a:ext uri="{FF2B5EF4-FFF2-40B4-BE49-F238E27FC236}">
              <a16:creationId xmlns:a16="http://schemas.microsoft.com/office/drawing/2014/main" id="{00000000-0008-0000-0B00-000069580000}"/>
            </a:ext>
          </a:extLst>
        </xdr:cNvPr>
        <xdr:cNvSpPr>
          <a:spLocks/>
        </xdr:cNvSpPr>
      </xdr:nvSpPr>
      <xdr:spPr bwMode="auto">
        <a:xfrm>
          <a:off x="8743950" y="51120675"/>
          <a:ext cx="76200" cy="3724275"/>
        </a:xfrm>
        <a:prstGeom prst="rightBrace">
          <a:avLst>
            <a:gd name="adj1" fmla="val 40729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val2016\gasb75\GASB6768-2017DAB.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Retirement\Ken\C00751\2014%20Valuations\LGE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nctreasurer.com/slg/GASB%20Documents/TSERS%202018%20JE%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PlanInfo"/>
      <sheetName val="QuickChecks"/>
      <sheetName val="TOL"/>
      <sheetName val="ExhibitsGASB74"/>
      <sheetName val="Import"/>
      <sheetName val="BM_GASB"/>
      <sheetName val="BM_GASBExhibits"/>
      <sheetName val="BM_Adjust"/>
      <sheetName val="TPL_Adjust"/>
      <sheetName val="ExhibitsDeferredAmounts"/>
      <sheetName val="ReviewGASB7475"/>
      <sheetName val="ExhibitsGASB75"/>
      <sheetName val="Adjust"/>
      <sheetName val="Buffer"/>
      <sheetName val="Template"/>
      <sheetName val="FullPlan"/>
      <sheetName val="ER_Input"/>
      <sheetName val="ER_Allocation"/>
      <sheetName val="ER_ChangeProportion"/>
      <sheetName val="ER_ShareContributions"/>
      <sheetName val="ER_AllocationofChanges"/>
      <sheetName val="ER_Schedule1"/>
      <sheetName val="ER_Schedule2"/>
      <sheetName val="ER_NPLExpense"/>
      <sheetName val="ER_DATA"/>
      <sheetName val="DeveloperInfo"/>
      <sheetName val="ER_DATADAB"/>
    </sheetNames>
    <sheetDataSet>
      <sheetData sheetId="0" refreshError="1"/>
      <sheetData sheetId="1" refreshError="1"/>
      <sheetData sheetId="2">
        <row r="22">
          <cell r="C22">
            <v>0.5</v>
          </cell>
        </row>
      </sheetData>
      <sheetData sheetId="3" refreshError="1"/>
      <sheetData sheetId="4" refreshError="1"/>
      <sheetData sheetId="5" refreshError="1"/>
      <sheetData sheetId="6" refreshError="1"/>
      <sheetData sheetId="7" refreshError="1"/>
      <sheetData sheetId="8" refreshError="1"/>
      <sheetData sheetId="9" refreshError="1"/>
      <sheetData sheetId="10">
        <row r="63">
          <cell r="E63">
            <v>0</v>
          </cell>
        </row>
      </sheetData>
      <sheetData sheetId="11">
        <row r="87">
          <cell r="G87">
            <v>0</v>
          </cell>
        </row>
      </sheetData>
      <sheetData sheetId="12">
        <row r="102">
          <cell r="G102">
            <v>0</v>
          </cell>
          <cell r="H102">
            <v>0</v>
          </cell>
        </row>
        <row r="198">
          <cell r="G198">
            <v>1</v>
          </cell>
          <cell r="H198">
            <v>1</v>
          </cell>
          <cell r="I198">
            <v>1</v>
          </cell>
          <cell r="J198">
            <v>1</v>
          </cell>
          <cell r="K198">
            <v>1</v>
          </cell>
          <cell r="L198">
            <v>1</v>
          </cell>
        </row>
        <row r="200">
          <cell r="G200">
            <v>1.0011874999999999</v>
          </cell>
          <cell r="H200">
            <v>1.0011874999999999</v>
          </cell>
          <cell r="I200">
            <v>1.0014916666666667</v>
          </cell>
          <cell r="J200">
            <v>1.0014916666666667</v>
          </cell>
          <cell r="K200">
            <v>1.0019083333333334</v>
          </cell>
          <cell r="L200">
            <v>1.0010749999999999</v>
          </cell>
        </row>
        <row r="202">
          <cell r="G202">
            <v>1</v>
          </cell>
          <cell r="H202">
            <v>1</v>
          </cell>
          <cell r="K202">
            <v>1</v>
          </cell>
          <cell r="L202">
            <v>1</v>
          </cell>
        </row>
        <row r="203">
          <cell r="G203">
            <v>0</v>
          </cell>
          <cell r="H203">
            <v>0</v>
          </cell>
          <cell r="K203">
            <v>0</v>
          </cell>
          <cell r="L203">
            <v>0</v>
          </cell>
        </row>
      </sheetData>
      <sheetData sheetId="13" refreshError="1"/>
      <sheetData sheetId="14" refreshError="1"/>
      <sheetData sheetId="15" refreshError="1"/>
      <sheetData sheetId="16">
        <row r="16">
          <cell r="B16">
            <v>10200</v>
          </cell>
          <cell r="C16" t="str">
            <v>North Carolina Education Lottery</v>
          </cell>
          <cell r="D16">
            <v>14975730.874654653</v>
          </cell>
          <cell r="E16">
            <v>14490295.222239299</v>
          </cell>
          <cell r="F16">
            <v>158330013.72638756</v>
          </cell>
          <cell r="G16">
            <v>151278761.46977487</v>
          </cell>
          <cell r="H16">
            <v>838417.64999999991</v>
          </cell>
          <cell r="I16">
            <v>841156.22</v>
          </cell>
          <cell r="J16">
            <v>2390510.6998846033</v>
          </cell>
          <cell r="K16">
            <v>2268067.4093609732</v>
          </cell>
          <cell r="L16">
            <v>838417.64999999991</v>
          </cell>
          <cell r="M16">
            <v>841156.22</v>
          </cell>
          <cell r="N16">
            <v>0</v>
          </cell>
          <cell r="O16">
            <v>0</v>
          </cell>
          <cell r="P16">
            <v>0</v>
          </cell>
          <cell r="Q16">
            <v>0</v>
          </cell>
          <cell r="R16" t="str">
            <v>FALSE</v>
          </cell>
          <cell r="T16">
            <v>0</v>
          </cell>
        </row>
        <row r="17">
          <cell r="B17">
            <v>10400</v>
          </cell>
          <cell r="C17" t="str">
            <v>Department Of Justice</v>
          </cell>
          <cell r="D17">
            <v>48456417.241442516</v>
          </cell>
          <cell r="E17">
            <v>49675505.990434676</v>
          </cell>
          <cell r="F17">
            <v>461834540.907691</v>
          </cell>
          <cell r="G17">
            <v>444204788.96117777</v>
          </cell>
          <cell r="H17">
            <v>2712836.9099999992</v>
          </cell>
          <cell r="I17">
            <v>2883644.55</v>
          </cell>
          <cell r="J17">
            <v>7734886.855491274</v>
          </cell>
          <cell r="K17">
            <v>7775369.2697373014</v>
          </cell>
          <cell r="L17">
            <v>2712836.9099999992</v>
          </cell>
          <cell r="M17">
            <v>2883644.55</v>
          </cell>
          <cell r="N17">
            <v>0</v>
          </cell>
          <cell r="O17">
            <v>0</v>
          </cell>
          <cell r="P17">
            <v>0</v>
          </cell>
          <cell r="Q17">
            <v>0</v>
          </cell>
          <cell r="R17" t="str">
            <v>FALSE</v>
          </cell>
          <cell r="T17">
            <v>0</v>
          </cell>
        </row>
        <row r="18">
          <cell r="B18">
            <v>10500</v>
          </cell>
          <cell r="C18" t="str">
            <v>State Auditor</v>
          </cell>
          <cell r="D18">
            <v>10650191.389903858</v>
          </cell>
          <cell r="E18">
            <v>10658895.868428385</v>
          </cell>
          <cell r="F18">
            <v>104202614.37525001</v>
          </cell>
          <cell r="G18">
            <v>108596288.01285191</v>
          </cell>
          <cell r="H18">
            <v>596251.93000000005</v>
          </cell>
          <cell r="I18">
            <v>618744.92000000004</v>
          </cell>
          <cell r="J18">
            <v>1700043.6697531901</v>
          </cell>
          <cell r="K18">
            <v>1668364.5135022155</v>
          </cell>
          <cell r="L18">
            <v>596251.93000000005</v>
          </cell>
          <cell r="M18">
            <v>618744.92000000004</v>
          </cell>
          <cell r="N18">
            <v>0</v>
          </cell>
          <cell r="O18">
            <v>0</v>
          </cell>
          <cell r="P18">
            <v>0</v>
          </cell>
          <cell r="Q18">
            <v>0</v>
          </cell>
          <cell r="R18">
            <v>0</v>
          </cell>
          <cell r="T18">
            <v>0</v>
          </cell>
        </row>
        <row r="19">
          <cell r="B19">
            <v>10700</v>
          </cell>
          <cell r="C19" t="str">
            <v>Department Of Cultural Resources</v>
          </cell>
          <cell r="D19">
            <v>59688092.194989361</v>
          </cell>
          <cell r="E19">
            <v>73703706.398630381</v>
          </cell>
          <cell r="F19">
            <v>633740389.29310656</v>
          </cell>
          <cell r="G19">
            <v>632811246.22669399</v>
          </cell>
          <cell r="H19">
            <v>3341643.25</v>
          </cell>
          <cell r="I19">
            <v>4278472.5999999996</v>
          </cell>
          <cell r="J19">
            <v>9527750.2141351178</v>
          </cell>
          <cell r="K19">
            <v>11536340.141316326</v>
          </cell>
          <cell r="L19">
            <v>3341643.25</v>
          </cell>
          <cell r="M19">
            <v>4278472.5999999996</v>
          </cell>
          <cell r="N19">
            <v>0</v>
          </cell>
          <cell r="O19">
            <v>0</v>
          </cell>
          <cell r="P19">
            <v>0</v>
          </cell>
          <cell r="Q19">
            <v>0</v>
          </cell>
          <cell r="R19">
            <v>0</v>
          </cell>
          <cell r="T19">
            <v>0</v>
          </cell>
        </row>
        <row r="20">
          <cell r="B20">
            <v>10800</v>
          </cell>
          <cell r="C20" t="str">
            <v>Administrative Office Of The Courts</v>
          </cell>
          <cell r="D20">
            <v>286711519.34386814</v>
          </cell>
          <cell r="E20">
            <v>308803068.14306355</v>
          </cell>
          <cell r="F20">
            <v>2770283572.9092622</v>
          </cell>
          <cell r="G20">
            <v>2759371409.8694439</v>
          </cell>
          <cell r="H20">
            <v>16051570.390000001</v>
          </cell>
          <cell r="I20">
            <v>17925902.649999999</v>
          </cell>
          <cell r="J20">
            <v>45766511.197904631</v>
          </cell>
          <cell r="K20">
            <v>48334845.082453884</v>
          </cell>
          <cell r="L20">
            <v>16051570.390000001</v>
          </cell>
          <cell r="M20">
            <v>17925902.649999999</v>
          </cell>
          <cell r="N20">
            <v>0</v>
          </cell>
          <cell r="O20">
            <v>0</v>
          </cell>
          <cell r="P20">
            <v>0</v>
          </cell>
          <cell r="Q20">
            <v>0</v>
          </cell>
          <cell r="R20">
            <v>0</v>
          </cell>
          <cell r="T20">
            <v>0</v>
          </cell>
        </row>
        <row r="21">
          <cell r="B21">
            <v>10850</v>
          </cell>
          <cell r="C21" t="str">
            <v>Office Of Administrative Hearing</v>
          </cell>
          <cell r="D21">
            <v>2932282.8311099024</v>
          </cell>
          <cell r="E21">
            <v>3126395.5021694922</v>
          </cell>
          <cell r="F21">
            <v>19725979.857292328</v>
          </cell>
          <cell r="G21">
            <v>19455666.992133986</v>
          </cell>
          <cell r="H21">
            <v>164164.12</v>
          </cell>
          <cell r="I21">
            <v>181486.09000000003</v>
          </cell>
          <cell r="J21">
            <v>468067.53817401151</v>
          </cell>
          <cell r="K21">
            <v>489353.43541934754</v>
          </cell>
          <cell r="L21">
            <v>164164.12</v>
          </cell>
          <cell r="M21">
            <v>181486.09000000003</v>
          </cell>
          <cell r="N21">
            <v>0</v>
          </cell>
          <cell r="O21">
            <v>0</v>
          </cell>
          <cell r="P21">
            <v>0</v>
          </cell>
          <cell r="Q21">
            <v>0</v>
          </cell>
          <cell r="R21">
            <v>0</v>
          </cell>
          <cell r="T21">
            <v>0</v>
          </cell>
        </row>
        <row r="22">
          <cell r="B22">
            <v>10900</v>
          </cell>
          <cell r="C22" t="str">
            <v>Department Of Administration</v>
          </cell>
          <cell r="D22">
            <v>32838686.69139161</v>
          </cell>
          <cell r="E22">
            <v>32230361.246005923</v>
          </cell>
          <cell r="F22">
            <v>266733548.8190397</v>
          </cell>
          <cell r="G22">
            <v>241548865.51702979</v>
          </cell>
          <cell r="H22">
            <v>1838476.8499999996</v>
          </cell>
          <cell r="I22">
            <v>1870960.42</v>
          </cell>
          <cell r="J22">
            <v>5241896.5433458379</v>
          </cell>
          <cell r="K22">
            <v>5044799.3510721689</v>
          </cell>
          <cell r="L22">
            <v>1838476.8499999996</v>
          </cell>
          <cell r="M22">
            <v>1870960.42</v>
          </cell>
          <cell r="N22">
            <v>0</v>
          </cell>
          <cell r="O22">
            <v>0</v>
          </cell>
          <cell r="P22">
            <v>0</v>
          </cell>
          <cell r="Q22">
            <v>0</v>
          </cell>
          <cell r="R22">
            <v>0</v>
          </cell>
          <cell r="T22">
            <v>0</v>
          </cell>
        </row>
        <row r="23">
          <cell r="B23">
            <v>10910</v>
          </cell>
          <cell r="C23" t="str">
            <v>Office Of State Budget &amp; Management</v>
          </cell>
          <cell r="D23">
            <v>4089885.4944516718</v>
          </cell>
          <cell r="E23">
            <v>4144742.9740233603</v>
          </cell>
          <cell r="F23">
            <v>40166172.460000008</v>
          </cell>
          <cell r="G23">
            <v>39725870.880236961</v>
          </cell>
          <cell r="H23">
            <v>228972.61</v>
          </cell>
          <cell r="I23">
            <v>240600.77999999997</v>
          </cell>
          <cell r="J23">
            <v>652850.60993826203</v>
          </cell>
          <cell r="K23">
            <v>648748.44269097759</v>
          </cell>
          <cell r="L23">
            <v>228972.61</v>
          </cell>
          <cell r="M23">
            <v>240600.77999999997</v>
          </cell>
          <cell r="N23">
            <v>0</v>
          </cell>
          <cell r="O23">
            <v>0</v>
          </cell>
          <cell r="P23">
            <v>0</v>
          </cell>
          <cell r="Q23">
            <v>0</v>
          </cell>
          <cell r="R23">
            <v>0</v>
          </cell>
          <cell r="T23">
            <v>0</v>
          </cell>
        </row>
        <row r="24">
          <cell r="B24">
            <v>10930</v>
          </cell>
          <cell r="C24" t="str">
            <v>Information Technology Services</v>
          </cell>
          <cell r="D24">
            <v>41708073.068568595</v>
          </cell>
          <cell r="E24">
            <v>46206051.086654365</v>
          </cell>
          <cell r="F24">
            <v>355223499.50040084</v>
          </cell>
          <cell r="G24">
            <v>374889331.17624676</v>
          </cell>
          <cell r="H24">
            <v>2335030.2499999995</v>
          </cell>
          <cell r="I24">
            <v>2682243.9900000002</v>
          </cell>
          <cell r="J24">
            <v>6657678.0643623378</v>
          </cell>
          <cell r="K24">
            <v>7232319.0782246618</v>
          </cell>
          <cell r="L24">
            <v>2335030.2499999995</v>
          </cell>
          <cell r="M24">
            <v>2682243.9900000002</v>
          </cell>
          <cell r="N24">
            <v>0</v>
          </cell>
          <cell r="O24">
            <v>0</v>
          </cell>
          <cell r="P24">
            <v>0</v>
          </cell>
          <cell r="Q24">
            <v>0</v>
          </cell>
          <cell r="R24">
            <v>0</v>
          </cell>
          <cell r="T24">
            <v>0</v>
          </cell>
        </row>
        <row r="25">
          <cell r="B25">
            <v>10940</v>
          </cell>
          <cell r="C25" t="str">
            <v>Office Of State Controller</v>
          </cell>
          <cell r="D25">
            <v>11456263.140553921</v>
          </cell>
          <cell r="E25">
            <v>11653756.02277201</v>
          </cell>
          <cell r="F25">
            <v>97490247.369223759</v>
          </cell>
          <cell r="G25">
            <v>94706182.262014896</v>
          </cell>
          <cell r="H25">
            <v>641379.92999999993</v>
          </cell>
          <cell r="I25">
            <v>676496.18</v>
          </cell>
          <cell r="J25">
            <v>1828713.392849301</v>
          </cell>
          <cell r="K25">
            <v>1824083.2106254825</v>
          </cell>
          <cell r="L25">
            <v>641379.92999999993</v>
          </cell>
          <cell r="M25">
            <v>676496.18</v>
          </cell>
          <cell r="N25">
            <v>0</v>
          </cell>
          <cell r="O25">
            <v>0</v>
          </cell>
          <cell r="P25">
            <v>0</v>
          </cell>
          <cell r="Q25">
            <v>0</v>
          </cell>
          <cell r="R25">
            <v>0</v>
          </cell>
          <cell r="T25">
            <v>0</v>
          </cell>
        </row>
        <row r="26">
          <cell r="B26">
            <v>10950</v>
          </cell>
          <cell r="C26" t="str">
            <v>N.C. School Of Science &amp; Mathematics</v>
          </cell>
          <cell r="D26">
            <v>12394349.681556093</v>
          </cell>
          <cell r="E26">
            <v>12682591.762005161</v>
          </cell>
          <cell r="F26">
            <v>127757506.78350005</v>
          </cell>
          <cell r="G26">
            <v>113049748.22566591</v>
          </cell>
          <cell r="H26">
            <v>693898.79</v>
          </cell>
          <cell r="I26">
            <v>736219.71</v>
          </cell>
          <cell r="J26">
            <v>1978456.0620020102</v>
          </cell>
          <cell r="K26">
            <v>1985119.8750931034</v>
          </cell>
          <cell r="L26">
            <v>693898.79</v>
          </cell>
          <cell r="M26">
            <v>736219.71</v>
          </cell>
          <cell r="N26">
            <v>0</v>
          </cell>
          <cell r="O26">
            <v>0</v>
          </cell>
          <cell r="P26">
            <v>0</v>
          </cell>
          <cell r="Q26">
            <v>0</v>
          </cell>
          <cell r="R26">
            <v>0</v>
          </cell>
          <cell r="T26">
            <v>0</v>
          </cell>
        </row>
        <row r="27">
          <cell r="B27">
            <v>11300</v>
          </cell>
          <cell r="C27" t="str">
            <v>Environment And Natural Resources</v>
          </cell>
          <cell r="D27">
            <v>93179025.575646952</v>
          </cell>
          <cell r="E27">
            <v>81194635.437710226</v>
          </cell>
          <cell r="F27">
            <v>742415346.24827659</v>
          </cell>
          <cell r="G27">
            <v>656458329.85469723</v>
          </cell>
          <cell r="H27">
            <v>5216636.1899999995</v>
          </cell>
          <cell r="I27">
            <v>4713318.2299999995</v>
          </cell>
          <cell r="J27">
            <v>14873762.055939842</v>
          </cell>
          <cell r="K27">
            <v>12708844.342148412</v>
          </cell>
          <cell r="L27">
            <v>5216636.1899999995</v>
          </cell>
          <cell r="M27">
            <v>4713318.2299999995</v>
          </cell>
          <cell r="N27">
            <v>0</v>
          </cell>
          <cell r="O27">
            <v>0</v>
          </cell>
          <cell r="P27">
            <v>0</v>
          </cell>
          <cell r="Q27">
            <v>0</v>
          </cell>
          <cell r="R27">
            <v>0</v>
          </cell>
          <cell r="T27">
            <v>0</v>
          </cell>
        </row>
        <row r="28">
          <cell r="B28">
            <v>11310</v>
          </cell>
          <cell r="C28" t="str">
            <v>N.C. Housing Finance Agency</v>
          </cell>
          <cell r="D28">
            <v>7870979.3122089263</v>
          </cell>
          <cell r="E28">
            <v>8658743.4512076192</v>
          </cell>
          <cell r="F28">
            <v>71497564.273457065</v>
          </cell>
          <cell r="G28">
            <v>69037817.777353898</v>
          </cell>
          <cell r="H28">
            <v>440657.49000000005</v>
          </cell>
          <cell r="I28">
            <v>502636.82000000007</v>
          </cell>
          <cell r="J28">
            <v>1256410.1493203212</v>
          </cell>
          <cell r="K28">
            <v>1355294.2522220642</v>
          </cell>
          <cell r="L28">
            <v>440657.49000000005</v>
          </cell>
          <cell r="M28">
            <v>502636.82000000007</v>
          </cell>
          <cell r="N28">
            <v>0</v>
          </cell>
          <cell r="O28">
            <v>0</v>
          </cell>
          <cell r="P28">
            <v>0</v>
          </cell>
          <cell r="Q28">
            <v>0</v>
          </cell>
          <cell r="R28">
            <v>0</v>
          </cell>
          <cell r="T28">
            <v>0</v>
          </cell>
        </row>
        <row r="29">
          <cell r="B29">
            <v>11600</v>
          </cell>
          <cell r="C29" t="str">
            <v>Wildlife Resources Commission</v>
          </cell>
          <cell r="D29">
            <v>29330348.527560178</v>
          </cell>
          <cell r="E29">
            <v>31149712.080897264</v>
          </cell>
          <cell r="F29">
            <v>305189205.14313018</v>
          </cell>
          <cell r="G29">
            <v>298796434.34960705</v>
          </cell>
          <cell r="H29">
            <v>1642062.2200000002</v>
          </cell>
          <cell r="I29">
            <v>1808229.1400000001</v>
          </cell>
          <cell r="J29">
            <v>4681875.8011431014</v>
          </cell>
          <cell r="K29">
            <v>4875652.6832683003</v>
          </cell>
          <cell r="L29">
            <v>1642062.2200000002</v>
          </cell>
          <cell r="M29">
            <v>1808229.1400000001</v>
          </cell>
          <cell r="N29">
            <v>0</v>
          </cell>
          <cell r="O29">
            <v>0</v>
          </cell>
          <cell r="P29">
            <v>0</v>
          </cell>
          <cell r="Q29">
            <v>0</v>
          </cell>
          <cell r="R29">
            <v>0</v>
          </cell>
          <cell r="T29">
            <v>0</v>
          </cell>
        </row>
        <row r="30">
          <cell r="B30">
            <v>11900</v>
          </cell>
          <cell r="C30" t="str">
            <v>State Board Of Elections</v>
          </cell>
          <cell r="D30">
            <v>3260834.5901388275</v>
          </cell>
          <cell r="E30">
            <v>3119302.9500287012</v>
          </cell>
          <cell r="F30">
            <v>35457958.022800013</v>
          </cell>
          <cell r="G30">
            <v>31083791.338324968</v>
          </cell>
          <cell r="H30">
            <v>182558.12</v>
          </cell>
          <cell r="I30">
            <v>181074.37</v>
          </cell>
          <cell r="J30">
            <v>520512.82461767999</v>
          </cell>
          <cell r="K30">
            <v>488243.28644632781</v>
          </cell>
          <cell r="L30">
            <v>182558.12</v>
          </cell>
          <cell r="M30">
            <v>181074.37</v>
          </cell>
          <cell r="N30">
            <v>0</v>
          </cell>
          <cell r="O30">
            <v>0</v>
          </cell>
          <cell r="P30">
            <v>0</v>
          </cell>
          <cell r="Q30">
            <v>0</v>
          </cell>
          <cell r="R30">
            <v>0</v>
          </cell>
          <cell r="T30">
            <v>0</v>
          </cell>
        </row>
        <row r="31">
          <cell r="B31">
            <v>12100</v>
          </cell>
          <cell r="C31" t="str">
            <v>Governor's Office</v>
          </cell>
          <cell r="D31">
            <v>4139446.725301947</v>
          </cell>
          <cell r="E31">
            <v>4041501.9990039971</v>
          </cell>
          <cell r="F31">
            <v>41849957.136910535</v>
          </cell>
          <cell r="G31">
            <v>38584651.542408958</v>
          </cell>
          <cell r="H31">
            <v>231747.3</v>
          </cell>
          <cell r="I31">
            <v>234607.68</v>
          </cell>
          <cell r="J31">
            <v>660761.85337864386</v>
          </cell>
          <cell r="K31">
            <v>632588.83468018367</v>
          </cell>
          <cell r="L31">
            <v>231747.3</v>
          </cell>
          <cell r="M31">
            <v>234607.68</v>
          </cell>
          <cell r="N31">
            <v>0</v>
          </cell>
          <cell r="O31">
            <v>0</v>
          </cell>
          <cell r="P31">
            <v>0</v>
          </cell>
          <cell r="Q31">
            <v>0</v>
          </cell>
          <cell r="R31">
            <v>0</v>
          </cell>
          <cell r="T31">
            <v>0</v>
          </cell>
        </row>
        <row r="32">
          <cell r="B32">
            <v>12150</v>
          </cell>
          <cell r="C32" t="str">
            <v>Lt. Governor's Office</v>
          </cell>
          <cell r="D32">
            <v>482209.63304405403</v>
          </cell>
          <cell r="E32">
            <v>487342.67370080575</v>
          </cell>
          <cell r="F32">
            <v>6257049.967699999</v>
          </cell>
          <cell r="G32">
            <v>5747250.1479969798</v>
          </cell>
          <cell r="H32">
            <v>26996.550000000003</v>
          </cell>
          <cell r="I32">
            <v>28290.060000000005</v>
          </cell>
          <cell r="J32">
            <v>76973.023689291018</v>
          </cell>
          <cell r="K32">
            <v>76280.435868222557</v>
          </cell>
          <cell r="L32">
            <v>26996.550000000003</v>
          </cell>
          <cell r="M32">
            <v>28290.060000000005</v>
          </cell>
          <cell r="N32">
            <v>0</v>
          </cell>
          <cell r="O32">
            <v>0</v>
          </cell>
          <cell r="P32">
            <v>0</v>
          </cell>
          <cell r="Q32">
            <v>0</v>
          </cell>
          <cell r="R32">
            <v>0</v>
          </cell>
          <cell r="T32">
            <v>0</v>
          </cell>
        </row>
        <row r="33">
          <cell r="B33">
            <v>12160</v>
          </cell>
          <cell r="C33" t="str">
            <v>General Assembly</v>
          </cell>
          <cell r="D33">
            <v>29198582.196214709</v>
          </cell>
          <cell r="E33">
            <v>30898721.489326231</v>
          </cell>
          <cell r="F33">
            <v>274894843.96160227</v>
          </cell>
          <cell r="G33">
            <v>253684135.76642466</v>
          </cell>
          <cell r="H33">
            <v>1634685.2699999998</v>
          </cell>
          <cell r="I33">
            <v>1793659.2300000002</v>
          </cell>
          <cell r="J33">
            <v>4660842.5155156879</v>
          </cell>
          <cell r="K33">
            <v>4836366.8321474204</v>
          </cell>
          <cell r="L33">
            <v>1634685.2699999998</v>
          </cell>
          <cell r="M33">
            <v>1793659.2300000002</v>
          </cell>
          <cell r="N33">
            <v>0</v>
          </cell>
          <cell r="O33">
            <v>0</v>
          </cell>
          <cell r="P33">
            <v>0</v>
          </cell>
          <cell r="Q33">
            <v>0</v>
          </cell>
          <cell r="R33">
            <v>0</v>
          </cell>
          <cell r="T33">
            <v>0</v>
          </cell>
        </row>
        <row r="34">
          <cell r="B34">
            <v>12220</v>
          </cell>
          <cell r="C34" t="str">
            <v>Health &amp; Human Services</v>
          </cell>
          <cell r="D34">
            <v>739808734.56060016</v>
          </cell>
          <cell r="E34">
            <v>768162877.03299952</v>
          </cell>
          <cell r="F34">
            <v>6788464923.7811136</v>
          </cell>
          <cell r="G34">
            <v>6496161497.4463596</v>
          </cell>
          <cell r="H34">
            <v>41418259.039999999</v>
          </cell>
          <cell r="I34">
            <v>44591567.810000002</v>
          </cell>
          <cell r="J34">
            <v>118092446.41463858</v>
          </cell>
          <cell r="K34">
            <v>120235313.34306827</v>
          </cell>
          <cell r="L34">
            <v>41418259.039999999</v>
          </cell>
          <cell r="M34">
            <v>44591567.810000002</v>
          </cell>
          <cell r="N34">
            <v>0</v>
          </cell>
          <cell r="O34">
            <v>0</v>
          </cell>
          <cell r="P34">
            <v>0</v>
          </cell>
          <cell r="Q34">
            <v>0</v>
          </cell>
          <cell r="R34">
            <v>0</v>
          </cell>
          <cell r="T34">
            <v>0</v>
          </cell>
        </row>
        <row r="35">
          <cell r="B35">
            <v>12510</v>
          </cell>
          <cell r="C35" t="str">
            <v>Department Of Commerce</v>
          </cell>
          <cell r="D35">
            <v>90710903.822350562</v>
          </cell>
          <cell r="E35">
            <v>92734462.561328247</v>
          </cell>
          <cell r="F35">
            <v>760563563.3649689</v>
          </cell>
          <cell r="G35">
            <v>711960958.10496521</v>
          </cell>
          <cell r="H35">
            <v>5078458.17</v>
          </cell>
          <cell r="I35">
            <v>5383200.8799999999</v>
          </cell>
          <cell r="J35">
            <v>14479786.529185524</v>
          </cell>
          <cell r="K35">
            <v>14515095.03665242</v>
          </cell>
          <cell r="L35">
            <v>5078458.17</v>
          </cell>
          <cell r="M35">
            <v>5383200.8799999999</v>
          </cell>
          <cell r="N35">
            <v>0</v>
          </cell>
          <cell r="O35">
            <v>0</v>
          </cell>
          <cell r="P35">
            <v>0</v>
          </cell>
          <cell r="Q35">
            <v>0</v>
          </cell>
          <cell r="R35">
            <v>0</v>
          </cell>
          <cell r="T35">
            <v>0</v>
          </cell>
        </row>
        <row r="36">
          <cell r="B36">
            <v>12600</v>
          </cell>
          <cell r="C36" t="str">
            <v>Insurance Department</v>
          </cell>
          <cell r="D36">
            <v>24576496.259212378</v>
          </cell>
          <cell r="E36">
            <v>25180424.711299349</v>
          </cell>
          <cell r="F36">
            <v>204541993.27083603</v>
          </cell>
          <cell r="G36">
            <v>195618821.8723667</v>
          </cell>
          <cell r="H36">
            <v>1375917.37</v>
          </cell>
          <cell r="I36">
            <v>1461714.2400000002</v>
          </cell>
          <cell r="J36">
            <v>3923039.0666776677</v>
          </cell>
          <cell r="K36">
            <v>3941320.7091815174</v>
          </cell>
          <cell r="L36">
            <v>1375917.37</v>
          </cell>
          <cell r="M36">
            <v>1461714.2400000002</v>
          </cell>
          <cell r="N36">
            <v>0</v>
          </cell>
          <cell r="O36">
            <v>0</v>
          </cell>
          <cell r="P36">
            <v>0</v>
          </cell>
          <cell r="Q36">
            <v>0</v>
          </cell>
          <cell r="R36">
            <v>0</v>
          </cell>
          <cell r="T36">
            <v>0</v>
          </cell>
        </row>
        <row r="37">
          <cell r="B37">
            <v>12700</v>
          </cell>
          <cell r="C37" t="str">
            <v>Labor Department</v>
          </cell>
          <cell r="D37">
            <v>18566805.173220485</v>
          </cell>
          <cell r="E37">
            <v>19360866.299166773</v>
          </cell>
          <cell r="F37">
            <v>161789949.37498331</v>
          </cell>
          <cell r="G37">
            <v>149482887.22850388</v>
          </cell>
          <cell r="H37">
            <v>1039464.27</v>
          </cell>
          <cell r="I37">
            <v>1123891.05</v>
          </cell>
          <cell r="J37">
            <v>2963738.2509573107</v>
          </cell>
          <cell r="K37">
            <v>3030424.7909829211</v>
          </cell>
          <cell r="L37">
            <v>1039464.27</v>
          </cell>
          <cell r="M37">
            <v>1123891.05</v>
          </cell>
          <cell r="N37">
            <v>0</v>
          </cell>
          <cell r="O37">
            <v>0</v>
          </cell>
          <cell r="P37">
            <v>0</v>
          </cell>
          <cell r="Q37">
            <v>0</v>
          </cell>
          <cell r="R37">
            <v>0</v>
          </cell>
          <cell r="T37">
            <v>0</v>
          </cell>
        </row>
        <row r="38">
          <cell r="B38">
            <v>13500</v>
          </cell>
          <cell r="C38" t="str">
            <v>Revenue Department</v>
          </cell>
          <cell r="D38">
            <v>66890494.755946077</v>
          </cell>
          <cell r="E38">
            <v>69806460.109092668</v>
          </cell>
          <cell r="F38">
            <v>602068278.6938957</v>
          </cell>
          <cell r="G38">
            <v>611760613.93434072</v>
          </cell>
          <cell r="H38">
            <v>3744870.41</v>
          </cell>
          <cell r="I38">
            <v>4052238.9099999997</v>
          </cell>
          <cell r="J38">
            <v>10677438.368319469</v>
          </cell>
          <cell r="K38">
            <v>10926330.672220949</v>
          </cell>
          <cell r="L38">
            <v>3744870.41</v>
          </cell>
          <cell r="M38">
            <v>4052238.9099999997</v>
          </cell>
          <cell r="N38">
            <v>0</v>
          </cell>
          <cell r="O38">
            <v>0</v>
          </cell>
          <cell r="P38">
            <v>0</v>
          </cell>
          <cell r="Q38">
            <v>0</v>
          </cell>
          <cell r="R38">
            <v>0</v>
          </cell>
          <cell r="T38">
            <v>0</v>
          </cell>
        </row>
        <row r="39">
          <cell r="B39">
            <v>13700</v>
          </cell>
          <cell r="C39" t="str">
            <v>Secretary Of State</v>
          </cell>
          <cell r="D39">
            <v>8215291.8745223125</v>
          </cell>
          <cell r="E39">
            <v>8234028.9155859202</v>
          </cell>
          <cell r="F39">
            <v>72996997.871200055</v>
          </cell>
          <cell r="G39">
            <v>64846347.784430966</v>
          </cell>
          <cell r="H39">
            <v>459933.8600000001</v>
          </cell>
          <cell r="I39">
            <v>477982.3</v>
          </cell>
          <cell r="J39">
            <v>1311371.264153644</v>
          </cell>
          <cell r="K39">
            <v>1288816.5730753315</v>
          </cell>
          <cell r="L39">
            <v>459933.8600000001</v>
          </cell>
          <cell r="M39">
            <v>477982.3</v>
          </cell>
          <cell r="N39">
            <v>0</v>
          </cell>
          <cell r="O39">
            <v>0</v>
          </cell>
          <cell r="P39">
            <v>0</v>
          </cell>
          <cell r="Q39">
            <v>0</v>
          </cell>
          <cell r="R39">
            <v>0</v>
          </cell>
          <cell r="T39">
            <v>0</v>
          </cell>
        </row>
        <row r="40">
          <cell r="B40">
            <v>14300</v>
          </cell>
          <cell r="C40" t="str">
            <v>State Treasurer</v>
          </cell>
          <cell r="D40">
            <v>22019719.941444062</v>
          </cell>
          <cell r="E40">
            <v>24252138.284615919</v>
          </cell>
          <cell r="F40">
            <v>207837874.1576499</v>
          </cell>
          <cell r="G40">
            <v>224564201.97455668</v>
          </cell>
          <cell r="H40">
            <v>1232776.0161748636</v>
          </cell>
          <cell r="I40">
            <v>1407827.56</v>
          </cell>
          <cell r="J40">
            <v>3514911.9978892696</v>
          </cell>
          <cell r="K40">
            <v>3796022.3450956354</v>
          </cell>
          <cell r="L40">
            <v>1232776.0161748636</v>
          </cell>
          <cell r="M40">
            <v>1407827.56</v>
          </cell>
          <cell r="N40">
            <v>0</v>
          </cell>
          <cell r="O40">
            <v>0</v>
          </cell>
          <cell r="P40">
            <v>0</v>
          </cell>
          <cell r="Q40">
            <v>0</v>
          </cell>
          <cell r="R40">
            <v>0</v>
          </cell>
          <cell r="T40">
            <v>0</v>
          </cell>
        </row>
        <row r="41">
          <cell r="B41">
            <v>14300.1</v>
          </cell>
          <cell r="C41" t="str">
            <v>State Health Plan (subset of Department of Treasurer)</v>
          </cell>
          <cell r="D41">
            <v>2748644.3648243649</v>
          </cell>
          <cell r="E41">
            <v>3273071.7267948729</v>
          </cell>
          <cell r="F41">
            <v>21766640.335700005</v>
          </cell>
          <cell r="G41">
            <v>26444047.544841971</v>
          </cell>
          <cell r="H41">
            <v>153883.10382513664</v>
          </cell>
          <cell r="I41">
            <v>190000.59</v>
          </cell>
          <cell r="J41">
            <v>438754.12955040071</v>
          </cell>
          <cell r="K41">
            <v>512311.66778788896</v>
          </cell>
          <cell r="L41">
            <v>153883.10382513664</v>
          </cell>
          <cell r="M41">
            <v>190000.59</v>
          </cell>
          <cell r="N41">
            <v>0</v>
          </cell>
          <cell r="O41">
            <v>0</v>
          </cell>
          <cell r="P41">
            <v>0</v>
          </cell>
          <cell r="Q41">
            <v>0</v>
          </cell>
          <cell r="R41">
            <v>0</v>
          </cell>
          <cell r="T41">
            <v>0</v>
          </cell>
        </row>
        <row r="42">
          <cell r="B42">
            <v>18400</v>
          </cell>
          <cell r="C42" t="str">
            <v>Department Of Agriculture</v>
          </cell>
          <cell r="D42">
            <v>86411074.754145712</v>
          </cell>
          <cell r="E42">
            <v>90169346.643171906</v>
          </cell>
          <cell r="F42">
            <v>796113367.33703518</v>
          </cell>
          <cell r="G42">
            <v>762848436.49386168</v>
          </cell>
          <cell r="H42">
            <v>4837731.8500000006</v>
          </cell>
          <cell r="I42">
            <v>5234296.8600000003</v>
          </cell>
          <cell r="J42">
            <v>13793423.540877914</v>
          </cell>
          <cell r="K42">
            <v>14113594.879065957</v>
          </cell>
          <cell r="L42">
            <v>4837731.8500000006</v>
          </cell>
          <cell r="M42">
            <v>5234296.8600000003</v>
          </cell>
          <cell r="N42">
            <v>0</v>
          </cell>
          <cell r="O42">
            <v>0</v>
          </cell>
          <cell r="P42">
            <v>0</v>
          </cell>
          <cell r="Q42">
            <v>0</v>
          </cell>
          <cell r="R42">
            <v>0</v>
          </cell>
          <cell r="T42">
            <v>0</v>
          </cell>
        </row>
        <row r="43">
          <cell r="B43">
            <v>18600</v>
          </cell>
          <cell r="C43" t="str">
            <v>Barber Examiners, State Board Of</v>
          </cell>
          <cell r="D43">
            <v>341227.81246102566</v>
          </cell>
          <cell r="E43">
            <v>253406.45553738324</v>
          </cell>
          <cell r="F43">
            <v>3353264.1546999998</v>
          </cell>
          <cell r="G43">
            <v>2285168.7105169981</v>
          </cell>
          <cell r="H43">
            <v>19103.669999999998</v>
          </cell>
          <cell r="I43">
            <v>14710.149999999994</v>
          </cell>
          <cell r="J43">
            <v>54468.709648543896</v>
          </cell>
          <cell r="K43">
            <v>39663.989885031471</v>
          </cell>
          <cell r="L43">
            <v>19103.669999999998</v>
          </cell>
          <cell r="M43">
            <v>14710.149999999994</v>
          </cell>
          <cell r="N43">
            <v>0</v>
          </cell>
          <cell r="O43">
            <v>0</v>
          </cell>
          <cell r="P43">
            <v>0</v>
          </cell>
          <cell r="Q43">
            <v>0</v>
          </cell>
          <cell r="R43">
            <v>0</v>
          </cell>
          <cell r="T43">
            <v>0</v>
          </cell>
        </row>
        <row r="44">
          <cell r="B44">
            <v>18690</v>
          </cell>
          <cell r="C44" t="str">
            <v>N.C. Real Estate Commission</v>
          </cell>
          <cell r="D44">
            <v>191655.31184619563</v>
          </cell>
          <cell r="E44">
            <v>60640.528378328927</v>
          </cell>
          <cell r="F44">
            <v>707488.27860000008</v>
          </cell>
          <cell r="G44">
            <v>0</v>
          </cell>
          <cell r="H44">
            <v>10729.84</v>
          </cell>
          <cell r="I44">
            <v>3520.16</v>
          </cell>
          <cell r="J44">
            <v>30593.102766920303</v>
          </cell>
          <cell r="K44">
            <v>9491.6496863521061</v>
          </cell>
          <cell r="L44">
            <v>10729.84</v>
          </cell>
          <cell r="M44">
            <v>3520.16</v>
          </cell>
          <cell r="N44">
            <v>0</v>
          </cell>
          <cell r="O44">
            <v>0</v>
          </cell>
          <cell r="P44">
            <v>0</v>
          </cell>
          <cell r="Q44">
            <v>0</v>
          </cell>
          <cell r="R44">
            <v>0</v>
          </cell>
          <cell r="T44">
            <v>0</v>
          </cell>
        </row>
        <row r="45">
          <cell r="B45">
            <v>18740</v>
          </cell>
          <cell r="C45" t="str">
            <v>N.C. Auctioneers Licensing Board</v>
          </cell>
          <cell r="D45">
            <v>103961.96445097496</v>
          </cell>
          <cell r="E45">
            <v>130201.52764722815</v>
          </cell>
          <cell r="F45">
            <v>1012516.5645999999</v>
          </cell>
          <cell r="G45">
            <v>1057611.949054999</v>
          </cell>
          <cell r="H45">
            <v>5820.32</v>
          </cell>
          <cell r="I45">
            <v>7558.1499999999978</v>
          </cell>
          <cell r="J45">
            <v>16594.995628673081</v>
          </cell>
          <cell r="K45">
            <v>20379.560041845303</v>
          </cell>
          <cell r="L45">
            <v>5820.32</v>
          </cell>
          <cell r="M45">
            <v>7558.1499999999978</v>
          </cell>
          <cell r="N45">
            <v>0</v>
          </cell>
          <cell r="O45">
            <v>0</v>
          </cell>
          <cell r="P45">
            <v>0</v>
          </cell>
          <cell r="Q45">
            <v>0</v>
          </cell>
          <cell r="R45">
            <v>0</v>
          </cell>
          <cell r="T45">
            <v>0</v>
          </cell>
        </row>
        <row r="46">
          <cell r="B46">
            <v>18780</v>
          </cell>
          <cell r="C46" t="str">
            <v>N.C. State Board Of Examiners Of Practicing Psychol</v>
          </cell>
          <cell r="D46">
            <v>251204.91627747446</v>
          </cell>
          <cell r="E46">
            <v>249153.37043576135</v>
          </cell>
          <cell r="F46">
            <v>2032913.4622</v>
          </cell>
          <cell r="G46">
            <v>1857368.1779549979</v>
          </cell>
          <cell r="H46">
            <v>14063.73</v>
          </cell>
          <cell r="I46">
            <v>14463.26</v>
          </cell>
          <cell r="J46">
            <v>40098.746782451555</v>
          </cell>
          <cell r="K46">
            <v>38998.283385592971</v>
          </cell>
          <cell r="L46">
            <v>14063.73</v>
          </cell>
          <cell r="M46">
            <v>14463.26</v>
          </cell>
          <cell r="N46">
            <v>0</v>
          </cell>
          <cell r="O46">
            <v>0</v>
          </cell>
          <cell r="P46">
            <v>0</v>
          </cell>
          <cell r="Q46">
            <v>0</v>
          </cell>
          <cell r="R46">
            <v>0</v>
          </cell>
          <cell r="T46">
            <v>0</v>
          </cell>
        </row>
        <row r="47">
          <cell r="B47">
            <v>19005</v>
          </cell>
          <cell r="C47" t="str">
            <v>Community Colleges Administration</v>
          </cell>
          <cell r="D47">
            <v>12914370.095593011</v>
          </cell>
          <cell r="E47">
            <v>13678804.035307135</v>
          </cell>
          <cell r="F47">
            <v>109465670.70650002</v>
          </cell>
          <cell r="G47">
            <v>104259327.7018559</v>
          </cell>
          <cell r="H47">
            <v>723012.18</v>
          </cell>
          <cell r="I47">
            <v>794049.46000000008</v>
          </cell>
          <cell r="J47">
            <v>2061464.6559944116</v>
          </cell>
          <cell r="K47">
            <v>2141050.2102055191</v>
          </cell>
          <cell r="L47">
            <v>723012.18</v>
          </cell>
          <cell r="M47">
            <v>794049.46000000008</v>
          </cell>
          <cell r="N47">
            <v>0</v>
          </cell>
          <cell r="O47">
            <v>0</v>
          </cell>
          <cell r="P47">
            <v>0</v>
          </cell>
          <cell r="Q47">
            <v>0</v>
          </cell>
          <cell r="R47">
            <v>0</v>
          </cell>
          <cell r="T47">
            <v>0</v>
          </cell>
        </row>
        <row r="48">
          <cell r="B48">
            <v>19100</v>
          </cell>
          <cell r="C48" t="str">
            <v>Department Of Public Safety</v>
          </cell>
          <cell r="D48">
            <v>995568662.48870981</v>
          </cell>
          <cell r="E48">
            <v>1043397285.5602933</v>
          </cell>
          <cell r="F48">
            <v>9720683817.2060966</v>
          </cell>
          <cell r="G48">
            <v>9531318506.4417439</v>
          </cell>
          <cell r="H48">
            <v>55737001.779999994</v>
          </cell>
          <cell r="I48">
            <v>60568822.319999993</v>
          </cell>
          <cell r="J48">
            <v>158918289.86970535</v>
          </cell>
          <cell r="K48">
            <v>163315884.32808292</v>
          </cell>
          <cell r="L48">
            <v>55737001.779999994</v>
          </cell>
          <cell r="M48">
            <v>60568822.319999993</v>
          </cell>
          <cell r="N48">
            <v>0</v>
          </cell>
          <cell r="O48">
            <v>0</v>
          </cell>
          <cell r="P48">
            <v>0</v>
          </cell>
          <cell r="Q48">
            <v>0</v>
          </cell>
          <cell r="R48">
            <v>0</v>
          </cell>
          <cell r="T48">
            <v>0</v>
          </cell>
        </row>
        <row r="49">
          <cell r="B49">
            <v>20100</v>
          </cell>
          <cell r="C49" t="str">
            <v>Appalachian State University</v>
          </cell>
          <cell r="D49">
            <v>162922954.13429669</v>
          </cell>
          <cell r="E49">
            <v>172759815.36040011</v>
          </cell>
          <cell r="F49">
            <v>1839576773.3837574</v>
          </cell>
          <cell r="G49">
            <v>1511114283.480468</v>
          </cell>
          <cell r="H49">
            <v>9121256.3499999996</v>
          </cell>
          <cell r="I49">
            <v>10028642.690000001</v>
          </cell>
          <cell r="J49">
            <v>26006681.63541808</v>
          </cell>
          <cell r="K49">
            <v>27040919.515895829</v>
          </cell>
          <cell r="L49">
            <v>9121256.3499999996</v>
          </cell>
          <cell r="M49">
            <v>10028642.690000001</v>
          </cell>
          <cell r="N49">
            <v>0</v>
          </cell>
          <cell r="O49">
            <v>0</v>
          </cell>
          <cell r="P49">
            <v>0</v>
          </cell>
          <cell r="Q49">
            <v>0</v>
          </cell>
          <cell r="R49">
            <v>0</v>
          </cell>
          <cell r="T49">
            <v>0</v>
          </cell>
        </row>
        <row r="50">
          <cell r="B50">
            <v>20200</v>
          </cell>
          <cell r="C50" t="str">
            <v>N.C. School Of The Arts</v>
          </cell>
          <cell r="D50">
            <v>23436458.450892694</v>
          </cell>
          <cell r="E50">
            <v>26914200.391340245</v>
          </cell>
          <cell r="F50">
            <v>238134398.71108416</v>
          </cell>
          <cell r="G50">
            <v>212535881.89687678</v>
          </cell>
          <cell r="H50">
            <v>1312092.25</v>
          </cell>
          <cell r="I50">
            <v>1562359.27</v>
          </cell>
          <cell r="J50">
            <v>3741059.7962252637</v>
          </cell>
          <cell r="K50">
            <v>4212696.8305602036</v>
          </cell>
          <cell r="L50">
            <v>1312092.25</v>
          </cell>
          <cell r="M50">
            <v>1562359.27</v>
          </cell>
          <cell r="N50">
            <v>0</v>
          </cell>
          <cell r="O50">
            <v>0</v>
          </cell>
          <cell r="P50">
            <v>0</v>
          </cell>
          <cell r="Q50">
            <v>0</v>
          </cell>
          <cell r="R50">
            <v>0</v>
          </cell>
          <cell r="T50">
            <v>0</v>
          </cell>
        </row>
        <row r="51">
          <cell r="B51">
            <v>20300</v>
          </cell>
          <cell r="C51" t="str">
            <v>East Carolina University</v>
          </cell>
          <cell r="D51">
            <v>379630021.62946528</v>
          </cell>
          <cell r="E51">
            <v>399734942.86711442</v>
          </cell>
          <cell r="F51">
            <v>4450859407.7966146</v>
          </cell>
          <cell r="G51">
            <v>3565610628.898767</v>
          </cell>
          <cell r="H51">
            <v>21253621.16</v>
          </cell>
          <cell r="I51">
            <v>23204463.98</v>
          </cell>
          <cell r="J51">
            <v>60598687.055638462</v>
          </cell>
          <cell r="K51">
            <v>62567793.298524998</v>
          </cell>
          <cell r="L51">
            <v>21253621.16</v>
          </cell>
          <cell r="M51">
            <v>23204463.98</v>
          </cell>
          <cell r="N51">
            <v>0</v>
          </cell>
          <cell r="O51">
            <v>0</v>
          </cell>
          <cell r="P51">
            <v>0</v>
          </cell>
          <cell r="Q51">
            <v>0</v>
          </cell>
          <cell r="R51">
            <v>0</v>
          </cell>
          <cell r="T51">
            <v>0</v>
          </cell>
        </row>
        <row r="52">
          <cell r="B52">
            <v>20400</v>
          </cell>
          <cell r="C52" t="str">
            <v>Elizabeth City State University</v>
          </cell>
          <cell r="D52">
            <v>21085942.115896296</v>
          </cell>
          <cell r="E52">
            <v>21089670.71549255</v>
          </cell>
          <cell r="F52">
            <v>216730966.73224127</v>
          </cell>
          <cell r="G52">
            <v>172168068.94325083</v>
          </cell>
          <cell r="H52">
            <v>1180498.3799999999</v>
          </cell>
          <cell r="I52">
            <v>1224247.5000000002</v>
          </cell>
          <cell r="J52">
            <v>3365857.1102199964</v>
          </cell>
          <cell r="K52">
            <v>3301022.7942458163</v>
          </cell>
          <cell r="L52">
            <v>1180498.3799999999</v>
          </cell>
          <cell r="M52">
            <v>1224247.5000000002</v>
          </cell>
          <cell r="N52">
            <v>0</v>
          </cell>
          <cell r="O52">
            <v>0</v>
          </cell>
          <cell r="P52">
            <v>0</v>
          </cell>
          <cell r="Q52">
            <v>0</v>
          </cell>
          <cell r="R52">
            <v>0</v>
          </cell>
          <cell r="T52">
            <v>0</v>
          </cell>
        </row>
        <row r="53">
          <cell r="B53">
            <v>20600</v>
          </cell>
          <cell r="C53" t="str">
            <v>Fayetteville State University</v>
          </cell>
          <cell r="D53">
            <v>45853109.13911549</v>
          </cell>
          <cell r="E53">
            <v>49465755.802292027</v>
          </cell>
          <cell r="F53">
            <v>483077135.13638604</v>
          </cell>
          <cell r="G53">
            <v>405730167.77591527</v>
          </cell>
          <cell r="H53">
            <v>2567090.4700000002</v>
          </cell>
          <cell r="I53">
            <v>2871468.6300000004</v>
          </cell>
          <cell r="J53">
            <v>7319332.1205807114</v>
          </cell>
          <cell r="K53">
            <v>7742538.4986220561</v>
          </cell>
          <cell r="L53">
            <v>2567090.4700000002</v>
          </cell>
          <cell r="M53">
            <v>2871468.6300000004</v>
          </cell>
          <cell r="N53">
            <v>0</v>
          </cell>
          <cell r="O53">
            <v>0</v>
          </cell>
          <cell r="P53">
            <v>0</v>
          </cell>
          <cell r="Q53">
            <v>0</v>
          </cell>
          <cell r="R53">
            <v>0</v>
          </cell>
          <cell r="T53">
            <v>0</v>
          </cell>
        </row>
        <row r="54">
          <cell r="B54">
            <v>20700</v>
          </cell>
          <cell r="C54" t="str">
            <v>N.C. A&amp;T University</v>
          </cell>
          <cell r="D54">
            <v>101527259.09442896</v>
          </cell>
          <cell r="E54">
            <v>106551268.17452025</v>
          </cell>
          <cell r="F54">
            <v>1061976163.6406304</v>
          </cell>
          <cell r="G54">
            <v>853811837.38459063</v>
          </cell>
          <cell r="H54">
            <v>5684012.8000000007</v>
          </cell>
          <cell r="I54">
            <v>6185261.2800000012</v>
          </cell>
          <cell r="J54">
            <v>16206354.215802884</v>
          </cell>
          <cell r="K54">
            <v>16677745.695740489</v>
          </cell>
          <cell r="L54">
            <v>5684012.8000000007</v>
          </cell>
          <cell r="M54">
            <v>6185261.2800000012</v>
          </cell>
          <cell r="N54">
            <v>0</v>
          </cell>
          <cell r="O54">
            <v>0</v>
          </cell>
          <cell r="P54">
            <v>0</v>
          </cell>
          <cell r="Q54">
            <v>0</v>
          </cell>
          <cell r="R54">
            <v>0</v>
          </cell>
          <cell r="T54">
            <v>0</v>
          </cell>
        </row>
        <row r="55">
          <cell r="B55">
            <v>20800</v>
          </cell>
          <cell r="C55" t="str">
            <v>N.C. Central University</v>
          </cell>
          <cell r="D55">
            <v>78096266.384444326</v>
          </cell>
          <cell r="E55">
            <v>81141093.663063034</v>
          </cell>
          <cell r="F55">
            <v>837930452.33546937</v>
          </cell>
          <cell r="G55">
            <v>685096769.32046795</v>
          </cell>
          <cell r="H55">
            <v>4372226.5500000007</v>
          </cell>
          <cell r="I55">
            <v>4710210.1499999994</v>
          </cell>
          <cell r="J55">
            <v>12466166.891995354</v>
          </cell>
          <cell r="K55">
            <v>12700463.81212786</v>
          </cell>
          <cell r="L55">
            <v>4372226.5500000007</v>
          </cell>
          <cell r="M55">
            <v>4710210.1499999994</v>
          </cell>
          <cell r="N55">
            <v>0</v>
          </cell>
          <cell r="O55">
            <v>0</v>
          </cell>
          <cell r="P55">
            <v>0</v>
          </cell>
          <cell r="Q55">
            <v>0</v>
          </cell>
          <cell r="R55">
            <v>0</v>
          </cell>
          <cell r="T55">
            <v>0</v>
          </cell>
        </row>
        <row r="56">
          <cell r="B56">
            <v>20900</v>
          </cell>
          <cell r="C56" t="str">
            <v>University Of North Carolina At Greensboro</v>
          </cell>
          <cell r="D56">
            <v>155186388.108156</v>
          </cell>
          <cell r="E56">
            <v>164830822.00118116</v>
          </cell>
          <cell r="F56">
            <v>1726488746.8844199</v>
          </cell>
          <cell r="G56">
            <v>1399944073.2439826</v>
          </cell>
          <cell r="H56">
            <v>8688124</v>
          </cell>
          <cell r="I56">
            <v>9568367.5899999999</v>
          </cell>
          <cell r="J56">
            <v>24771727.293580022</v>
          </cell>
          <cell r="K56">
            <v>25799848.084895335</v>
          </cell>
          <cell r="L56">
            <v>8688124</v>
          </cell>
          <cell r="M56">
            <v>9568367.5899999999</v>
          </cell>
          <cell r="N56">
            <v>0</v>
          </cell>
          <cell r="O56">
            <v>0</v>
          </cell>
          <cell r="P56">
            <v>0</v>
          </cell>
          <cell r="Q56">
            <v>0</v>
          </cell>
          <cell r="R56">
            <v>0</v>
          </cell>
          <cell r="T56">
            <v>0</v>
          </cell>
        </row>
        <row r="57">
          <cell r="B57">
            <v>21200</v>
          </cell>
          <cell r="C57" t="str">
            <v>UNC - Pembroke</v>
          </cell>
          <cell r="D57">
            <v>47929444.619313329</v>
          </cell>
          <cell r="E57">
            <v>49985399.803759642</v>
          </cell>
          <cell r="F57">
            <v>565555534.55427539</v>
          </cell>
          <cell r="G57">
            <v>446235486.89006805</v>
          </cell>
          <cell r="H57">
            <v>2683334.2999999998</v>
          </cell>
          <cell r="I57">
            <v>2901633.77</v>
          </cell>
          <cell r="J57">
            <v>7650768.5107981227</v>
          </cell>
          <cell r="K57">
            <v>7823874.8417484378</v>
          </cell>
          <cell r="L57">
            <v>2683334.2999999998</v>
          </cell>
          <cell r="M57">
            <v>2901633.77</v>
          </cell>
          <cell r="N57">
            <v>0</v>
          </cell>
          <cell r="O57">
            <v>0</v>
          </cell>
          <cell r="P57">
            <v>0</v>
          </cell>
          <cell r="Q57">
            <v>0</v>
          </cell>
          <cell r="R57">
            <v>0</v>
          </cell>
          <cell r="T57">
            <v>0</v>
          </cell>
        </row>
        <row r="58">
          <cell r="B58">
            <v>21300</v>
          </cell>
          <cell r="C58" t="str">
            <v>N.C. State University</v>
          </cell>
          <cell r="D58">
            <v>592489946.11485827</v>
          </cell>
          <cell r="E58">
            <v>624800497.35137022</v>
          </cell>
          <cell r="F58">
            <v>6771987881.9966269</v>
          </cell>
          <cell r="G58">
            <v>5542245011.3132687</v>
          </cell>
          <cell r="H58">
            <v>33170603.32</v>
          </cell>
          <cell r="I58">
            <v>36269435.270000003</v>
          </cell>
          <cell r="J58">
            <v>94576589.791600585</v>
          </cell>
          <cell r="K58">
            <v>97795774.596797749</v>
          </cell>
          <cell r="L58">
            <v>33170603.32</v>
          </cell>
          <cell r="M58">
            <v>36269435.270000003</v>
          </cell>
          <cell r="N58">
            <v>0</v>
          </cell>
          <cell r="O58">
            <v>0</v>
          </cell>
          <cell r="P58">
            <v>0</v>
          </cell>
          <cell r="Q58">
            <v>0</v>
          </cell>
          <cell r="R58">
            <v>0</v>
          </cell>
          <cell r="T58">
            <v>0</v>
          </cell>
        </row>
        <row r="59">
          <cell r="B59">
            <v>21520</v>
          </cell>
          <cell r="C59" t="str">
            <v>UNC-CH CB 1260</v>
          </cell>
          <cell r="D59">
            <v>1052492022.3539363</v>
          </cell>
          <cell r="E59">
            <v>1108990492.3488555</v>
          </cell>
          <cell r="F59">
            <v>12343375481.386206</v>
          </cell>
          <cell r="G59">
            <v>9951875403.7290554</v>
          </cell>
          <cell r="H59">
            <v>58923861.240000002</v>
          </cell>
          <cell r="I59">
            <v>64376483.449999996</v>
          </cell>
          <cell r="J59">
            <v>168004717.90251037</v>
          </cell>
          <cell r="K59">
            <v>173582743.09879211</v>
          </cell>
          <cell r="L59">
            <v>58923861.240000002</v>
          </cell>
          <cell r="M59">
            <v>64376483.449999996</v>
          </cell>
          <cell r="N59">
            <v>0</v>
          </cell>
          <cell r="O59">
            <v>0</v>
          </cell>
          <cell r="P59">
            <v>0</v>
          </cell>
          <cell r="Q59">
            <v>0</v>
          </cell>
          <cell r="R59">
            <v>0</v>
          </cell>
          <cell r="T59">
            <v>0</v>
          </cell>
        </row>
        <row r="60">
          <cell r="B60">
            <v>21525</v>
          </cell>
          <cell r="C60" t="str">
            <v>UNC-General Administration</v>
          </cell>
          <cell r="D60">
            <v>29224303.488997485</v>
          </cell>
          <cell r="E60">
            <v>28768191.832732208</v>
          </cell>
          <cell r="F60">
            <v>298915016.01031876</v>
          </cell>
          <cell r="G60">
            <v>261341213.79390097</v>
          </cell>
          <cell r="H60">
            <v>1636125.2789071039</v>
          </cell>
          <cell r="I60">
            <v>1669982.7799999998</v>
          </cell>
          <cell r="J60">
            <v>4664948.293465808</v>
          </cell>
          <cell r="K60">
            <v>4502889.5078633968</v>
          </cell>
          <cell r="L60">
            <v>1636125.2789071039</v>
          </cell>
          <cell r="M60">
            <v>1669982.7799999998</v>
          </cell>
          <cell r="N60">
            <v>0</v>
          </cell>
          <cell r="O60">
            <v>0</v>
          </cell>
          <cell r="P60">
            <v>0</v>
          </cell>
          <cell r="Q60">
            <v>0</v>
          </cell>
          <cell r="R60">
            <v>0</v>
          </cell>
          <cell r="T60">
            <v>0</v>
          </cell>
        </row>
        <row r="61">
          <cell r="B61">
            <v>21525.1</v>
          </cell>
          <cell r="C61" t="str">
            <v>State Education Assistance Authority (subset of UNC General Administration)</v>
          </cell>
          <cell r="D61">
            <v>2045090.9311942011</v>
          </cell>
          <cell r="E61">
            <v>3161053.9510609182</v>
          </cell>
          <cell r="F61">
            <v>16489783.240600001</v>
          </cell>
          <cell r="G61">
            <v>18275592.124965992</v>
          </cell>
          <cell r="H61">
            <v>114494.60109289618</v>
          </cell>
          <cell r="I61">
            <v>183498</v>
          </cell>
          <cell r="J61">
            <v>326448.95893065678</v>
          </cell>
          <cell r="K61">
            <v>494778.28682396223</v>
          </cell>
          <cell r="L61">
            <v>114494.60109289618</v>
          </cell>
          <cell r="M61">
            <v>183498</v>
          </cell>
          <cell r="N61">
            <v>0</v>
          </cell>
          <cell r="O61">
            <v>0</v>
          </cell>
          <cell r="P61">
            <v>0</v>
          </cell>
          <cell r="Q61">
            <v>0</v>
          </cell>
          <cell r="R61">
            <v>0</v>
          </cell>
          <cell r="T61">
            <v>0</v>
          </cell>
        </row>
        <row r="62">
          <cell r="B62">
            <v>21550</v>
          </cell>
          <cell r="C62" t="str">
            <v>UNC Health Care System</v>
          </cell>
          <cell r="D62">
            <v>573643601.51732147</v>
          </cell>
          <cell r="E62">
            <v>610226007.78841245</v>
          </cell>
          <cell r="F62">
            <v>6670988864.1124773</v>
          </cell>
          <cell r="G62">
            <v>6046851324.7070007</v>
          </cell>
          <cell r="H62">
            <v>32115489.009999994</v>
          </cell>
          <cell r="I62">
            <v>35423391.599999994</v>
          </cell>
          <cell r="J62">
            <v>91568229.879739985</v>
          </cell>
          <cell r="K62">
            <v>95514528.819618359</v>
          </cell>
          <cell r="L62">
            <v>32115489.009999994</v>
          </cell>
          <cell r="M62">
            <v>35423391.599999994</v>
          </cell>
          <cell r="N62">
            <v>0</v>
          </cell>
          <cell r="O62">
            <v>0</v>
          </cell>
          <cell r="P62">
            <v>0</v>
          </cell>
          <cell r="Q62">
            <v>0</v>
          </cell>
          <cell r="R62">
            <v>0</v>
          </cell>
          <cell r="T62">
            <v>0</v>
          </cell>
        </row>
        <row r="63">
          <cell r="B63">
            <v>21570</v>
          </cell>
          <cell r="C63" t="str">
            <v>University Of North Carolina Press</v>
          </cell>
          <cell r="D63">
            <v>2949265.3882443989</v>
          </cell>
          <cell r="E63">
            <v>3113815.9207177991</v>
          </cell>
          <cell r="F63">
            <v>26798459.970199998</v>
          </cell>
          <cell r="G63">
            <v>25655364.407752987</v>
          </cell>
          <cell r="H63">
            <v>165114.88999999998</v>
          </cell>
          <cell r="I63">
            <v>180755.85</v>
          </cell>
          <cell r="J63">
            <v>470778.38980998227</v>
          </cell>
          <cell r="K63">
            <v>487384.43904788658</v>
          </cell>
          <cell r="L63">
            <v>165114.88999999998</v>
          </cell>
          <cell r="M63">
            <v>180755.85</v>
          </cell>
          <cell r="N63">
            <v>0</v>
          </cell>
          <cell r="O63">
            <v>0</v>
          </cell>
          <cell r="P63">
            <v>0</v>
          </cell>
          <cell r="Q63">
            <v>0</v>
          </cell>
          <cell r="R63">
            <v>0</v>
          </cell>
          <cell r="T63">
            <v>0</v>
          </cell>
        </row>
        <row r="64">
          <cell r="B64">
            <v>21800</v>
          </cell>
          <cell r="C64" t="str">
            <v>Western Carolina University</v>
          </cell>
          <cell r="D64">
            <v>86350886.408227935</v>
          </cell>
          <cell r="E64">
            <v>91279313.826565832</v>
          </cell>
          <cell r="F64">
            <v>998094809.3206625</v>
          </cell>
          <cell r="G64">
            <v>814072661.46500587</v>
          </cell>
          <cell r="H64">
            <v>4834362.2</v>
          </cell>
          <cell r="I64">
            <v>5298730.04</v>
          </cell>
          <cell r="J64">
            <v>13783815.937340625</v>
          </cell>
          <cell r="K64">
            <v>14287330.496974707</v>
          </cell>
          <cell r="L64">
            <v>4834362.2</v>
          </cell>
          <cell r="M64">
            <v>5298730.04</v>
          </cell>
          <cell r="N64">
            <v>0</v>
          </cell>
          <cell r="O64">
            <v>0</v>
          </cell>
          <cell r="P64">
            <v>0</v>
          </cell>
          <cell r="Q64">
            <v>0</v>
          </cell>
          <cell r="R64">
            <v>0</v>
          </cell>
          <cell r="T64">
            <v>0</v>
          </cell>
        </row>
        <row r="65">
          <cell r="B65">
            <v>21900</v>
          </cell>
          <cell r="C65" t="str">
            <v>Winston-Salem State University</v>
          </cell>
          <cell r="D65">
            <v>54472225.849014819</v>
          </cell>
          <cell r="E65">
            <v>56221949.187557042</v>
          </cell>
          <cell r="F65">
            <v>574886370.75963628</v>
          </cell>
          <cell r="G65">
            <v>474166440.73100126</v>
          </cell>
          <cell r="H65">
            <v>3049632.5</v>
          </cell>
          <cell r="I65">
            <v>3263663.13</v>
          </cell>
          <cell r="J65">
            <v>8695164.1845395714</v>
          </cell>
          <cell r="K65">
            <v>8800039.5221306514</v>
          </cell>
          <cell r="L65">
            <v>3049632.5</v>
          </cell>
          <cell r="M65">
            <v>3263663.13</v>
          </cell>
          <cell r="N65">
            <v>0</v>
          </cell>
          <cell r="O65">
            <v>0</v>
          </cell>
          <cell r="P65">
            <v>0</v>
          </cell>
          <cell r="Q65">
            <v>0</v>
          </cell>
          <cell r="R65">
            <v>0</v>
          </cell>
          <cell r="T65">
            <v>0</v>
          </cell>
        </row>
        <row r="66">
          <cell r="B66">
            <v>22000</v>
          </cell>
          <cell r="C66" t="str">
            <v>Department Of Public Instruction</v>
          </cell>
          <cell r="D66">
            <v>63368613.879372545</v>
          </cell>
          <cell r="E66">
            <v>64626279.458397038</v>
          </cell>
          <cell r="F66">
            <v>564894877.32439375</v>
          </cell>
          <cell r="G66">
            <v>508784706.43803841</v>
          </cell>
          <cell r="H66">
            <v>3547697.5900000003</v>
          </cell>
          <cell r="I66">
            <v>3751531.36</v>
          </cell>
          <cell r="J66">
            <v>10115255.861860521</v>
          </cell>
          <cell r="K66">
            <v>10115512.208673496</v>
          </cell>
          <cell r="L66">
            <v>3547697.5900000003</v>
          </cell>
          <cell r="M66">
            <v>3751531.36</v>
          </cell>
          <cell r="N66">
            <v>0</v>
          </cell>
          <cell r="O66">
            <v>0</v>
          </cell>
          <cell r="P66">
            <v>0</v>
          </cell>
          <cell r="Q66">
            <v>0</v>
          </cell>
          <cell r="R66">
            <v>0</v>
          </cell>
          <cell r="T66">
            <v>0</v>
          </cell>
        </row>
        <row r="67">
          <cell r="B67">
            <v>23000</v>
          </cell>
          <cell r="C67" t="str">
            <v>University Of North Carolina At Asheville</v>
          </cell>
          <cell r="D67">
            <v>39569715.897201963</v>
          </cell>
          <cell r="E67">
            <v>41883532.807430826</v>
          </cell>
          <cell r="F67">
            <v>434366191.347305</v>
          </cell>
          <cell r="G67">
            <v>372002162.42288864</v>
          </cell>
          <cell r="H67">
            <v>2215314.13</v>
          </cell>
          <cell r="I67">
            <v>2431323.4199999995</v>
          </cell>
          <cell r="J67">
            <v>6316341.4216894787</v>
          </cell>
          <cell r="K67">
            <v>6555744.6754873432</v>
          </cell>
          <cell r="L67">
            <v>2215314.13</v>
          </cell>
          <cell r="M67">
            <v>2431323.4199999995</v>
          </cell>
          <cell r="N67">
            <v>0</v>
          </cell>
          <cell r="O67">
            <v>0</v>
          </cell>
          <cell r="P67">
            <v>0</v>
          </cell>
          <cell r="Q67">
            <v>0</v>
          </cell>
          <cell r="R67">
            <v>0</v>
          </cell>
          <cell r="T67">
            <v>0</v>
          </cell>
        </row>
        <row r="68">
          <cell r="B68">
            <v>23100</v>
          </cell>
          <cell r="C68" t="str">
            <v>University Of North Carolina At Charlotte</v>
          </cell>
          <cell r="D68">
            <v>223525359.93386087</v>
          </cell>
          <cell r="E68">
            <v>244500977.85276788</v>
          </cell>
          <cell r="F68">
            <v>2518260422.8764181</v>
          </cell>
          <cell r="G68">
            <v>2152717793.0116754</v>
          </cell>
          <cell r="H68">
            <v>12514087.529999999</v>
          </cell>
          <cell r="I68">
            <v>14193190.350000001</v>
          </cell>
          <cell r="J68">
            <v>35680379.748395666</v>
          </cell>
          <cell r="K68">
            <v>38270076.000498064</v>
          </cell>
          <cell r="L68">
            <v>12514087.529999999</v>
          </cell>
          <cell r="M68">
            <v>14193190.350000001</v>
          </cell>
          <cell r="N68">
            <v>0</v>
          </cell>
          <cell r="O68">
            <v>0</v>
          </cell>
          <cell r="P68">
            <v>0</v>
          </cell>
          <cell r="Q68">
            <v>0</v>
          </cell>
          <cell r="R68">
            <v>0</v>
          </cell>
          <cell r="T68">
            <v>0</v>
          </cell>
        </row>
        <row r="69">
          <cell r="B69">
            <v>23200</v>
          </cell>
          <cell r="C69" t="str">
            <v>University Of North Carolina At Wilmington</v>
          </cell>
          <cell r="D69">
            <v>117629872.66785629</v>
          </cell>
          <cell r="E69">
            <v>111616626.03572235</v>
          </cell>
          <cell r="F69">
            <v>1327351938.9052331</v>
          </cell>
          <cell r="G69">
            <v>1099391539.993813</v>
          </cell>
          <cell r="H69">
            <v>6585519.0799999991</v>
          </cell>
          <cell r="I69">
            <v>6479303.4100000001</v>
          </cell>
          <cell r="J69">
            <v>18776744.293293692</v>
          </cell>
          <cell r="K69">
            <v>17470591.728588086</v>
          </cell>
          <cell r="L69">
            <v>6585519.0799999991</v>
          </cell>
          <cell r="M69">
            <v>6479303.4100000001</v>
          </cell>
          <cell r="N69">
            <v>0</v>
          </cell>
          <cell r="O69">
            <v>0</v>
          </cell>
          <cell r="P69">
            <v>0</v>
          </cell>
          <cell r="Q69">
            <v>0</v>
          </cell>
          <cell r="R69">
            <v>0</v>
          </cell>
          <cell r="T69">
            <v>0</v>
          </cell>
        </row>
        <row r="70">
          <cell r="B70">
            <v>30000</v>
          </cell>
          <cell r="C70" t="str">
            <v>Yancey County Schools</v>
          </cell>
          <cell r="D70">
            <v>13347986.969917623</v>
          </cell>
          <cell r="E70">
            <v>13892352.180727748</v>
          </cell>
          <cell r="F70">
            <v>148858147.21044779</v>
          </cell>
          <cell r="G70">
            <v>141275940.04332688</v>
          </cell>
          <cell r="H70">
            <v>747288.26</v>
          </cell>
          <cell r="I70">
            <v>806445.85</v>
          </cell>
          <cell r="J70">
            <v>2130681.0292318482</v>
          </cell>
          <cell r="K70">
            <v>2174475.4497558228</v>
          </cell>
          <cell r="L70">
            <v>747288.26</v>
          </cell>
          <cell r="M70">
            <v>806445.85</v>
          </cell>
          <cell r="N70">
            <v>0</v>
          </cell>
          <cell r="O70">
            <v>0</v>
          </cell>
          <cell r="P70">
            <v>0</v>
          </cell>
          <cell r="Q70">
            <v>0</v>
          </cell>
          <cell r="R70">
            <v>0</v>
          </cell>
          <cell r="T70">
            <v>0</v>
          </cell>
        </row>
        <row r="71">
          <cell r="B71">
            <v>30100</v>
          </cell>
          <cell r="C71" t="str">
            <v>Alamance County Schools</v>
          </cell>
          <cell r="D71">
            <v>114164010.09840189</v>
          </cell>
          <cell r="E71">
            <v>114817935.37094755</v>
          </cell>
          <cell r="F71">
            <v>1315975123.4475124</v>
          </cell>
          <cell r="G71">
            <v>1230734158.0963254</v>
          </cell>
          <cell r="H71">
            <v>6391482.4500000002</v>
          </cell>
          <cell r="I71">
            <v>6665138.2199999997</v>
          </cell>
          <cell r="J71">
            <v>18223503.745239217</v>
          </cell>
          <cell r="K71">
            <v>17971670.917048212</v>
          </cell>
          <cell r="L71">
            <v>6391482.4500000002</v>
          </cell>
          <cell r="M71">
            <v>6665138.2199999997</v>
          </cell>
          <cell r="N71">
            <v>0</v>
          </cell>
          <cell r="O71">
            <v>0</v>
          </cell>
          <cell r="P71">
            <v>0</v>
          </cell>
          <cell r="Q71">
            <v>0</v>
          </cell>
          <cell r="R71">
            <v>0</v>
          </cell>
          <cell r="T71">
            <v>0</v>
          </cell>
        </row>
        <row r="72">
          <cell r="B72">
            <v>30102</v>
          </cell>
          <cell r="C72" t="str">
            <v>Clover Garden Charter School</v>
          </cell>
          <cell r="D72">
            <v>1987599.8910314403</v>
          </cell>
          <cell r="E72">
            <v>2042622.2859320741</v>
          </cell>
          <cell r="F72">
            <v>24565618.844999999</v>
          </cell>
          <cell r="G72">
            <v>22891996.327278987</v>
          </cell>
          <cell r="H72">
            <v>111275.96</v>
          </cell>
          <cell r="I72">
            <v>118573.45999999999</v>
          </cell>
          <cell r="J72">
            <v>317271.91456421651</v>
          </cell>
          <cell r="K72">
            <v>319717.78112889302</v>
          </cell>
          <cell r="L72">
            <v>111275.96</v>
          </cell>
          <cell r="M72">
            <v>118573.45999999999</v>
          </cell>
          <cell r="N72">
            <v>0</v>
          </cell>
          <cell r="O72">
            <v>0</v>
          </cell>
          <cell r="P72">
            <v>0</v>
          </cell>
          <cell r="Q72">
            <v>0</v>
          </cell>
          <cell r="R72">
            <v>0</v>
          </cell>
          <cell r="T72">
            <v>0</v>
          </cell>
        </row>
        <row r="73">
          <cell r="B73">
            <v>30103</v>
          </cell>
          <cell r="C73" t="str">
            <v>River Mill Academy Charter</v>
          </cell>
          <cell r="D73">
            <v>2315597.7525912183</v>
          </cell>
          <cell r="E73">
            <v>2712685.6885884516</v>
          </cell>
          <cell r="F73">
            <v>28106871.640900012</v>
          </cell>
          <cell r="G73">
            <v>30824703.911766972</v>
          </cell>
          <cell r="H73">
            <v>129638.95</v>
          </cell>
          <cell r="I73">
            <v>157470.39000000001</v>
          </cell>
          <cell r="J73">
            <v>369628.78476712067</v>
          </cell>
          <cell r="K73">
            <v>424598.2506060077</v>
          </cell>
          <cell r="L73">
            <v>129638.95</v>
          </cell>
          <cell r="M73">
            <v>157470.39000000001</v>
          </cell>
          <cell r="N73">
            <v>0</v>
          </cell>
          <cell r="O73">
            <v>0</v>
          </cell>
          <cell r="P73">
            <v>0</v>
          </cell>
          <cell r="Q73">
            <v>0</v>
          </cell>
          <cell r="R73">
            <v>0</v>
          </cell>
          <cell r="T73">
            <v>0</v>
          </cell>
        </row>
        <row r="74">
          <cell r="B74">
            <v>30104</v>
          </cell>
          <cell r="C74" t="str">
            <v>The Hawbridge School</v>
          </cell>
          <cell r="D74">
            <v>1292508.9378056228</v>
          </cell>
          <cell r="E74">
            <v>1390950.5607314245</v>
          </cell>
          <cell r="F74">
            <v>17922597.775549997</v>
          </cell>
          <cell r="G74">
            <v>18299991.133121978</v>
          </cell>
          <cell r="H74">
            <v>72361.23</v>
          </cell>
          <cell r="I74">
            <v>80744.159999999989</v>
          </cell>
          <cell r="J74">
            <v>206317.57283713046</v>
          </cell>
          <cell r="K74">
            <v>217716.03590142613</v>
          </cell>
          <cell r="L74">
            <v>72361.23</v>
          </cell>
          <cell r="M74">
            <v>80744.159999999989</v>
          </cell>
          <cell r="N74">
            <v>0</v>
          </cell>
          <cell r="O74">
            <v>0</v>
          </cell>
          <cell r="P74">
            <v>0</v>
          </cell>
          <cell r="Q74">
            <v>0</v>
          </cell>
          <cell r="R74">
            <v>0</v>
          </cell>
          <cell r="T74">
            <v>0</v>
          </cell>
        </row>
        <row r="75">
          <cell r="B75">
            <v>30105</v>
          </cell>
          <cell r="C75" t="str">
            <v>Alamance Community College</v>
          </cell>
          <cell r="D75">
            <v>12518010.819268055</v>
          </cell>
          <cell r="E75">
            <v>13754809.520527335</v>
          </cell>
          <cell r="F75">
            <v>122039540.98607707</v>
          </cell>
          <cell r="G75">
            <v>114402693.57095787</v>
          </cell>
          <cell r="H75">
            <v>700821.97</v>
          </cell>
          <cell r="I75">
            <v>798461.55</v>
          </cell>
          <cell r="J75">
            <v>1998195.5508680032</v>
          </cell>
          <cell r="K75">
            <v>2152946.8321387996</v>
          </cell>
          <cell r="L75">
            <v>700821.97</v>
          </cell>
          <cell r="M75">
            <v>798461.55</v>
          </cell>
          <cell r="N75">
            <v>0</v>
          </cell>
          <cell r="O75">
            <v>0</v>
          </cell>
          <cell r="P75">
            <v>0</v>
          </cell>
          <cell r="Q75">
            <v>0</v>
          </cell>
          <cell r="R75">
            <v>0</v>
          </cell>
          <cell r="T75">
            <v>0</v>
          </cell>
        </row>
        <row r="76">
          <cell r="B76">
            <v>30200</v>
          </cell>
          <cell r="C76" t="str">
            <v>Alexander County Schools</v>
          </cell>
          <cell r="D76">
            <v>26207773.961927347</v>
          </cell>
          <cell r="E76">
            <v>27533115.316417608</v>
          </cell>
          <cell r="F76">
            <v>289255275.02418065</v>
          </cell>
          <cell r="G76">
            <v>281518404.34542543</v>
          </cell>
          <cell r="H76">
            <v>1467244.5999999999</v>
          </cell>
          <cell r="I76">
            <v>1598287.0499999998</v>
          </cell>
          <cell r="J76">
            <v>4183432.8221118734</v>
          </cell>
          <cell r="K76">
            <v>4309571.3765377514</v>
          </cell>
          <cell r="L76">
            <v>1467244.5999999999</v>
          </cell>
          <cell r="M76">
            <v>1598287.0499999998</v>
          </cell>
          <cell r="N76">
            <v>0</v>
          </cell>
          <cell r="O76">
            <v>0</v>
          </cell>
          <cell r="P76">
            <v>0</v>
          </cell>
          <cell r="Q76">
            <v>0</v>
          </cell>
          <cell r="R76">
            <v>0</v>
          </cell>
          <cell r="T76">
            <v>0</v>
          </cell>
        </row>
        <row r="77">
          <cell r="B77">
            <v>30300</v>
          </cell>
          <cell r="C77" t="str">
            <v>Alleghany County Schools</v>
          </cell>
          <cell r="D77">
            <v>9183068.4630322475</v>
          </cell>
          <cell r="E77">
            <v>9120501.4640018381</v>
          </cell>
          <cell r="F77">
            <v>99135837.153100967</v>
          </cell>
          <cell r="G77">
            <v>89075106.965557888</v>
          </cell>
          <cell r="H77">
            <v>514114.92000000004</v>
          </cell>
          <cell r="I77">
            <v>529441.70000000007</v>
          </cell>
          <cell r="J77">
            <v>1465853.2262892094</v>
          </cell>
          <cell r="K77">
            <v>1427570.0950373637</v>
          </cell>
          <cell r="L77">
            <v>514114.92000000004</v>
          </cell>
          <cell r="M77">
            <v>529441.70000000007</v>
          </cell>
          <cell r="N77">
            <v>0</v>
          </cell>
          <cell r="O77">
            <v>0</v>
          </cell>
          <cell r="P77">
            <v>0</v>
          </cell>
          <cell r="Q77">
            <v>0</v>
          </cell>
          <cell r="R77">
            <v>0</v>
          </cell>
          <cell r="T77">
            <v>0</v>
          </cell>
        </row>
        <row r="78">
          <cell r="B78">
            <v>30400</v>
          </cell>
          <cell r="C78" t="str">
            <v>Anson County Schools</v>
          </cell>
          <cell r="D78">
            <v>18530978.849139009</v>
          </cell>
          <cell r="E78">
            <v>18568346.810652588</v>
          </cell>
          <cell r="F78">
            <v>182571738.43050006</v>
          </cell>
          <cell r="G78">
            <v>168912080.60257411</v>
          </cell>
          <cell r="H78">
            <v>1037458.53</v>
          </cell>
          <cell r="I78">
            <v>1077885.5899999999</v>
          </cell>
          <cell r="J78">
            <v>2958019.4508686117</v>
          </cell>
          <cell r="K78">
            <v>2906377.1028154837</v>
          </cell>
          <cell r="L78">
            <v>1037458.53</v>
          </cell>
          <cell r="M78">
            <v>1077885.5899999999</v>
          </cell>
          <cell r="N78">
            <v>0</v>
          </cell>
          <cell r="O78">
            <v>0</v>
          </cell>
          <cell r="P78">
            <v>0</v>
          </cell>
          <cell r="Q78">
            <v>0</v>
          </cell>
          <cell r="R78">
            <v>0</v>
          </cell>
          <cell r="T78">
            <v>0</v>
          </cell>
        </row>
        <row r="79">
          <cell r="B79">
            <v>30405</v>
          </cell>
          <cell r="C79" t="str">
            <v>South Piedmont Community College</v>
          </cell>
          <cell r="D79">
            <v>11282942.531550525</v>
          </cell>
          <cell r="E79">
            <v>11623452.812956251</v>
          </cell>
          <cell r="F79">
            <v>126665953.00343375</v>
          </cell>
          <cell r="G79">
            <v>108397592.53525788</v>
          </cell>
          <cell r="H79">
            <v>631676.55999999994</v>
          </cell>
          <cell r="I79">
            <v>674737.09</v>
          </cell>
          <cell r="J79">
            <v>1801046.9788491435</v>
          </cell>
          <cell r="K79">
            <v>1819340.055187444</v>
          </cell>
          <cell r="L79">
            <v>631676.55999999994</v>
          </cell>
          <cell r="M79">
            <v>674737.09</v>
          </cell>
          <cell r="N79">
            <v>0</v>
          </cell>
          <cell r="O79">
            <v>0</v>
          </cell>
          <cell r="P79">
            <v>0</v>
          </cell>
          <cell r="Q79">
            <v>0</v>
          </cell>
          <cell r="R79">
            <v>0</v>
          </cell>
          <cell r="T79">
            <v>0</v>
          </cell>
        </row>
        <row r="80">
          <cell r="B80">
            <v>30500</v>
          </cell>
          <cell r="C80" t="str">
            <v>Ashe County Schools</v>
          </cell>
          <cell r="D80">
            <v>17865265.717437059</v>
          </cell>
          <cell r="E80">
            <v>18246732.852935836</v>
          </cell>
          <cell r="F80">
            <v>192489327.76847321</v>
          </cell>
          <cell r="G80">
            <v>181681531.87807506</v>
          </cell>
          <cell r="H80">
            <v>1000188.52</v>
          </cell>
          <cell r="I80">
            <v>1059216.0199999998</v>
          </cell>
          <cell r="J80">
            <v>2851754.562850324</v>
          </cell>
          <cell r="K80">
            <v>2856037.0562736141</v>
          </cell>
          <cell r="L80">
            <v>1000188.52</v>
          </cell>
          <cell r="M80">
            <v>1059216.0199999998</v>
          </cell>
          <cell r="N80">
            <v>0</v>
          </cell>
          <cell r="O80">
            <v>0</v>
          </cell>
          <cell r="P80">
            <v>0</v>
          </cell>
          <cell r="Q80">
            <v>0</v>
          </cell>
          <cell r="R80">
            <v>0</v>
          </cell>
          <cell r="T80">
            <v>0</v>
          </cell>
        </row>
        <row r="81">
          <cell r="B81">
            <v>30600</v>
          </cell>
          <cell r="C81" t="str">
            <v>Avery County Schools</v>
          </cell>
          <cell r="D81">
            <v>13952804.78176341</v>
          </cell>
          <cell r="E81">
            <v>14280794.82037382</v>
          </cell>
          <cell r="F81">
            <v>149968079.5864</v>
          </cell>
          <cell r="G81">
            <v>141523147.19381386</v>
          </cell>
          <cell r="H81">
            <v>781149.03999999992</v>
          </cell>
          <cell r="I81">
            <v>828994.79999999993</v>
          </cell>
          <cell r="J81">
            <v>2227225.4625419513</v>
          </cell>
          <cell r="K81">
            <v>2235275.7355937022</v>
          </cell>
          <cell r="L81">
            <v>781149.03999999992</v>
          </cell>
          <cell r="M81">
            <v>828994.79999999993</v>
          </cell>
          <cell r="N81">
            <v>0</v>
          </cell>
          <cell r="O81">
            <v>0</v>
          </cell>
          <cell r="P81">
            <v>0</v>
          </cell>
          <cell r="Q81">
            <v>0</v>
          </cell>
          <cell r="R81">
            <v>0</v>
          </cell>
          <cell r="T81">
            <v>0</v>
          </cell>
        </row>
        <row r="82">
          <cell r="B82">
            <v>30601</v>
          </cell>
          <cell r="C82" t="str">
            <v>Grandfather Academy</v>
          </cell>
          <cell r="D82">
            <v>299026.04098636709</v>
          </cell>
          <cell r="E82">
            <v>306368.55375513079</v>
          </cell>
          <cell r="F82">
            <v>3758350.7156000002</v>
          </cell>
          <cell r="G82">
            <v>2857973.3228489994</v>
          </cell>
          <cell r="H82">
            <v>16741.000000000004</v>
          </cell>
          <cell r="I82">
            <v>17784.580000000002</v>
          </cell>
          <cell r="J82">
            <v>47732.224657684812</v>
          </cell>
          <cell r="K82">
            <v>47953.787094593419</v>
          </cell>
          <cell r="L82">
            <v>16741.000000000004</v>
          </cell>
          <cell r="M82">
            <v>17784.580000000002</v>
          </cell>
          <cell r="N82">
            <v>0</v>
          </cell>
          <cell r="O82">
            <v>0</v>
          </cell>
          <cell r="P82">
            <v>0</v>
          </cell>
          <cell r="Q82">
            <v>0</v>
          </cell>
          <cell r="R82">
            <v>0</v>
          </cell>
          <cell r="T82">
            <v>0</v>
          </cell>
        </row>
        <row r="83">
          <cell r="B83">
            <v>30700</v>
          </cell>
          <cell r="C83" t="str">
            <v>Beaufort County Schools</v>
          </cell>
          <cell r="D83">
            <v>36868115.018354699</v>
          </cell>
          <cell r="E83">
            <v>37042360.713995725</v>
          </cell>
          <cell r="F83">
            <v>384055889.41871679</v>
          </cell>
          <cell r="G83">
            <v>363350314.19291508</v>
          </cell>
          <cell r="H83">
            <v>2064064.7600000002</v>
          </cell>
          <cell r="I83">
            <v>2150295.19</v>
          </cell>
          <cell r="J83">
            <v>5885096.6389301885</v>
          </cell>
          <cell r="K83">
            <v>5797988.9169037603</v>
          </cell>
          <cell r="L83">
            <v>2064064.7600000002</v>
          </cell>
          <cell r="M83">
            <v>2150295.19</v>
          </cell>
          <cell r="N83">
            <v>0</v>
          </cell>
          <cell r="O83">
            <v>0</v>
          </cell>
          <cell r="P83">
            <v>0</v>
          </cell>
          <cell r="Q83">
            <v>0</v>
          </cell>
          <cell r="R83">
            <v>0</v>
          </cell>
          <cell r="T83">
            <v>0</v>
          </cell>
        </row>
        <row r="84">
          <cell r="B84">
            <v>30705</v>
          </cell>
          <cell r="C84" t="str">
            <v>Beaufort County Community College</v>
          </cell>
          <cell r="D84">
            <v>7665637.8565765414</v>
          </cell>
          <cell r="E84">
            <v>7258344.0785427839</v>
          </cell>
          <cell r="F84">
            <v>76342124.522497058</v>
          </cell>
          <cell r="G84">
            <v>64233804.540324956</v>
          </cell>
          <cell r="H84">
            <v>429161.42999999993</v>
          </cell>
          <cell r="I84">
            <v>421344.16000000003</v>
          </cell>
          <cell r="J84">
            <v>1223632.3870242678</v>
          </cell>
          <cell r="K84">
            <v>1136099.258019605</v>
          </cell>
          <cell r="L84">
            <v>429161.42999999993</v>
          </cell>
          <cell r="M84">
            <v>421344.16000000003</v>
          </cell>
          <cell r="N84">
            <v>0</v>
          </cell>
          <cell r="O84">
            <v>0</v>
          </cell>
          <cell r="P84">
            <v>0</v>
          </cell>
          <cell r="Q84">
            <v>0</v>
          </cell>
          <cell r="R84">
            <v>0</v>
          </cell>
          <cell r="T84">
            <v>0</v>
          </cell>
        </row>
        <row r="85">
          <cell r="B85">
            <v>30800</v>
          </cell>
          <cell r="C85" t="str">
            <v>Bertie County Schools</v>
          </cell>
          <cell r="D85">
            <v>15008105.208252825</v>
          </cell>
          <cell r="E85">
            <v>14325847.823723992</v>
          </cell>
          <cell r="F85">
            <v>149249889.03292903</v>
          </cell>
          <cell r="G85">
            <v>133935453.43299983</v>
          </cell>
          <cell r="H85">
            <v>840230.13</v>
          </cell>
          <cell r="I85">
            <v>831610.1100000001</v>
          </cell>
          <cell r="J85">
            <v>2395678.4737659465</v>
          </cell>
          <cell r="K85">
            <v>2242327.5759478952</v>
          </cell>
          <cell r="L85">
            <v>840230.13</v>
          </cell>
          <cell r="M85">
            <v>831610.1100000001</v>
          </cell>
          <cell r="N85">
            <v>0</v>
          </cell>
          <cell r="O85">
            <v>0</v>
          </cell>
          <cell r="P85">
            <v>0</v>
          </cell>
          <cell r="Q85">
            <v>0</v>
          </cell>
          <cell r="R85">
            <v>0</v>
          </cell>
          <cell r="T85">
            <v>0</v>
          </cell>
        </row>
        <row r="86">
          <cell r="B86">
            <v>30900</v>
          </cell>
          <cell r="C86" t="str">
            <v>Bladen County Schools</v>
          </cell>
          <cell r="D86">
            <v>24566832.07908719</v>
          </cell>
          <cell r="E86">
            <v>25269117.272203628</v>
          </cell>
          <cell r="F86">
            <v>249150663.22814754</v>
          </cell>
          <cell r="G86">
            <v>226443680.40655485</v>
          </cell>
          <cell r="H86">
            <v>1375376.3199999998</v>
          </cell>
          <cell r="I86">
            <v>1466862.81</v>
          </cell>
          <cell r="J86">
            <v>3921496.4156920006</v>
          </cell>
          <cell r="K86">
            <v>3955203.1528277323</v>
          </cell>
          <cell r="L86">
            <v>1375376.3199999998</v>
          </cell>
          <cell r="M86">
            <v>1466862.81</v>
          </cell>
          <cell r="N86">
            <v>0</v>
          </cell>
          <cell r="O86">
            <v>0</v>
          </cell>
          <cell r="P86">
            <v>0</v>
          </cell>
          <cell r="Q86">
            <v>0</v>
          </cell>
          <cell r="R86">
            <v>0</v>
          </cell>
          <cell r="T86">
            <v>0</v>
          </cell>
        </row>
        <row r="87">
          <cell r="B87">
            <v>30905</v>
          </cell>
          <cell r="C87" t="str">
            <v>Bladen Community College</v>
          </cell>
          <cell r="D87">
            <v>5637500.0299056917</v>
          </cell>
          <cell r="E87">
            <v>5924391.8177355751</v>
          </cell>
          <cell r="F87">
            <v>51575576.516830571</v>
          </cell>
          <cell r="G87">
            <v>40532801.753998972</v>
          </cell>
          <cell r="H87">
            <v>315615.95</v>
          </cell>
          <cell r="I87">
            <v>343908.73</v>
          </cell>
          <cell r="J87">
            <v>899889.57833753154</v>
          </cell>
          <cell r="K87">
            <v>927304.7785436603</v>
          </cell>
          <cell r="L87">
            <v>315615.95</v>
          </cell>
          <cell r="M87">
            <v>343908.73</v>
          </cell>
          <cell r="N87">
            <v>0</v>
          </cell>
          <cell r="O87">
            <v>0</v>
          </cell>
          <cell r="P87">
            <v>0</v>
          </cell>
          <cell r="Q87">
            <v>0</v>
          </cell>
          <cell r="R87">
            <v>0</v>
          </cell>
          <cell r="T87">
            <v>0</v>
          </cell>
        </row>
        <row r="88">
          <cell r="B88">
            <v>31000</v>
          </cell>
          <cell r="C88" t="str">
            <v>Brunswick County Schools</v>
          </cell>
          <cell r="D88">
            <v>65928487.024759918</v>
          </cell>
          <cell r="E88">
            <v>69065890.30917488</v>
          </cell>
          <cell r="F88">
            <v>709717633.272493</v>
          </cell>
          <cell r="G88">
            <v>682218461.49290633</v>
          </cell>
          <cell r="H88">
            <v>3691012.3200000003</v>
          </cell>
          <cell r="I88">
            <v>4009249.1100000003</v>
          </cell>
          <cell r="J88">
            <v>10523877.263754997</v>
          </cell>
          <cell r="K88">
            <v>10810414.315667177</v>
          </cell>
          <cell r="L88">
            <v>3691012.3200000003</v>
          </cell>
          <cell r="M88">
            <v>4009249.1100000003</v>
          </cell>
          <cell r="N88">
            <v>0</v>
          </cell>
          <cell r="O88">
            <v>0</v>
          </cell>
          <cell r="P88">
            <v>0</v>
          </cell>
          <cell r="Q88">
            <v>0</v>
          </cell>
          <cell r="R88">
            <v>0</v>
          </cell>
          <cell r="T88">
            <v>0</v>
          </cell>
        </row>
        <row r="89">
          <cell r="B89">
            <v>31005</v>
          </cell>
          <cell r="C89" t="str">
            <v>Brunswick Community College</v>
          </cell>
          <cell r="D89">
            <v>7670409.8413510444</v>
          </cell>
          <cell r="E89">
            <v>7560754.984068959</v>
          </cell>
          <cell r="F89">
            <v>70495969.770887136</v>
          </cell>
          <cell r="G89">
            <v>60438273.180031955</v>
          </cell>
          <cell r="H89">
            <v>429428.59</v>
          </cell>
          <cell r="I89">
            <v>438899</v>
          </cell>
          <cell r="J89">
            <v>1224394.1181717233</v>
          </cell>
          <cell r="K89">
            <v>1183433.5813401246</v>
          </cell>
          <cell r="L89">
            <v>429428.59</v>
          </cell>
          <cell r="M89">
            <v>438899</v>
          </cell>
          <cell r="N89">
            <v>0</v>
          </cell>
          <cell r="O89">
            <v>0</v>
          </cell>
          <cell r="P89">
            <v>0</v>
          </cell>
          <cell r="Q89">
            <v>0</v>
          </cell>
          <cell r="R89">
            <v>0</v>
          </cell>
          <cell r="T89">
            <v>0</v>
          </cell>
        </row>
        <row r="90">
          <cell r="B90">
            <v>31100</v>
          </cell>
          <cell r="C90" t="str">
            <v>Buncombe County Schools</v>
          </cell>
          <cell r="D90">
            <v>132925272.57946935</v>
          </cell>
          <cell r="E90">
            <v>138231828.46341473</v>
          </cell>
          <cell r="F90">
            <v>1481539091.7470157</v>
          </cell>
          <cell r="G90">
            <v>1413504560.4680743</v>
          </cell>
          <cell r="H90">
            <v>7441833.4299999997</v>
          </cell>
          <cell r="I90">
            <v>8024305.96</v>
          </cell>
          <cell r="J90">
            <v>21218282.369382299</v>
          </cell>
          <cell r="K90">
            <v>21636488.440419566</v>
          </cell>
          <cell r="L90">
            <v>7441833.4299999997</v>
          </cell>
          <cell r="M90">
            <v>8024305.96</v>
          </cell>
          <cell r="N90">
            <v>0</v>
          </cell>
          <cell r="O90">
            <v>0</v>
          </cell>
          <cell r="P90">
            <v>0</v>
          </cell>
          <cell r="Q90">
            <v>0</v>
          </cell>
          <cell r="R90">
            <v>0</v>
          </cell>
          <cell r="T90">
            <v>0</v>
          </cell>
        </row>
        <row r="91">
          <cell r="B91">
            <v>31101</v>
          </cell>
          <cell r="C91" t="str">
            <v>F. Delany New School For Children</v>
          </cell>
          <cell r="D91">
            <v>784167.34741355781</v>
          </cell>
          <cell r="E91">
            <v>850942.25928392704</v>
          </cell>
          <cell r="F91">
            <v>10039090.600400001</v>
          </cell>
          <cell r="G91">
            <v>9676666.9907229934</v>
          </cell>
          <cell r="H91">
            <v>43901.68</v>
          </cell>
          <cell r="I91">
            <v>49396.88</v>
          </cell>
          <cell r="J91">
            <v>125173.21860162403</v>
          </cell>
          <cell r="K91">
            <v>133192.20733113625</v>
          </cell>
          <cell r="L91">
            <v>43901.68</v>
          </cell>
          <cell r="M91">
            <v>49396.88</v>
          </cell>
          <cell r="N91">
            <v>0</v>
          </cell>
          <cell r="O91">
            <v>0</v>
          </cell>
          <cell r="P91">
            <v>0</v>
          </cell>
          <cell r="Q91">
            <v>0</v>
          </cell>
          <cell r="R91">
            <v>0</v>
          </cell>
          <cell r="T91">
            <v>0</v>
          </cell>
        </row>
        <row r="92">
          <cell r="B92">
            <v>31102</v>
          </cell>
          <cell r="C92" t="str">
            <v>Evergreen Community Charter School</v>
          </cell>
          <cell r="D92">
            <v>1802774.0760355606</v>
          </cell>
          <cell r="E92">
            <v>1998920.367941865</v>
          </cell>
          <cell r="F92">
            <v>24905613.844707288</v>
          </cell>
          <cell r="G92">
            <v>24134167.093543977</v>
          </cell>
          <cell r="H92">
            <v>100928.47</v>
          </cell>
          <cell r="I92">
            <v>116036.58000000002</v>
          </cell>
          <cell r="J92">
            <v>287768.9746369035</v>
          </cell>
          <cell r="K92">
            <v>312877.4169817199</v>
          </cell>
          <cell r="L92">
            <v>100928.47</v>
          </cell>
          <cell r="M92">
            <v>116036.58000000002</v>
          </cell>
          <cell r="N92">
            <v>0</v>
          </cell>
          <cell r="O92">
            <v>0</v>
          </cell>
          <cell r="P92">
            <v>0</v>
          </cell>
          <cell r="Q92">
            <v>0</v>
          </cell>
          <cell r="R92">
            <v>0</v>
          </cell>
          <cell r="T92">
            <v>0</v>
          </cell>
        </row>
        <row r="93">
          <cell r="B93">
            <v>31105</v>
          </cell>
          <cell r="C93" t="str">
            <v>Asheville-Buncombe Technical College</v>
          </cell>
          <cell r="D93">
            <v>22635997.658384614</v>
          </cell>
          <cell r="E93">
            <v>23650454.478270568</v>
          </cell>
          <cell r="F93">
            <v>236729179.39203152</v>
          </cell>
          <cell r="G93">
            <v>203151780.73355991</v>
          </cell>
          <cell r="H93">
            <v>1267278.3799999999</v>
          </cell>
          <cell r="I93">
            <v>1372900.04</v>
          </cell>
          <cell r="J93">
            <v>3613285.7259415118</v>
          </cell>
          <cell r="K93">
            <v>3701844.8689999306</v>
          </cell>
          <cell r="L93">
            <v>1267278.3799999999</v>
          </cell>
          <cell r="M93">
            <v>1372900.04</v>
          </cell>
          <cell r="N93">
            <v>0</v>
          </cell>
          <cell r="O93">
            <v>0</v>
          </cell>
          <cell r="P93">
            <v>0</v>
          </cell>
          <cell r="Q93">
            <v>0</v>
          </cell>
          <cell r="R93">
            <v>0</v>
          </cell>
          <cell r="T93">
            <v>0</v>
          </cell>
        </row>
        <row r="94">
          <cell r="B94">
            <v>31110</v>
          </cell>
          <cell r="C94" t="str">
            <v>Asheville City Schools</v>
          </cell>
          <cell r="D94">
            <v>29150890.391650181</v>
          </cell>
          <cell r="E94">
            <v>30401113.288698826</v>
          </cell>
          <cell r="F94">
            <v>343947043.29053557</v>
          </cell>
          <cell r="G94">
            <v>325165842.93337834</v>
          </cell>
          <cell r="H94">
            <v>1632015.24</v>
          </cell>
          <cell r="I94">
            <v>1764773.26</v>
          </cell>
          <cell r="J94">
            <v>4653229.6804519072</v>
          </cell>
          <cell r="K94">
            <v>4758479.6031321259</v>
          </cell>
          <cell r="L94">
            <v>1632015.24</v>
          </cell>
          <cell r="M94">
            <v>1764773.26</v>
          </cell>
          <cell r="N94">
            <v>0</v>
          </cell>
          <cell r="O94">
            <v>0</v>
          </cell>
          <cell r="P94">
            <v>0</v>
          </cell>
          <cell r="Q94">
            <v>0</v>
          </cell>
          <cell r="R94">
            <v>0</v>
          </cell>
          <cell r="T94">
            <v>0</v>
          </cell>
        </row>
        <row r="95">
          <cell r="B95">
            <v>31200</v>
          </cell>
          <cell r="C95" t="str">
            <v>Burke County Schools</v>
          </cell>
          <cell r="D95">
            <v>63880557.321575418</v>
          </cell>
          <cell r="E95">
            <v>62992702.18425303</v>
          </cell>
          <cell r="F95">
            <v>700390399.49469924</v>
          </cell>
          <cell r="G95">
            <v>637239464.76658523</v>
          </cell>
          <cell r="H95">
            <v>3576358.79</v>
          </cell>
          <cell r="I95">
            <v>3656702.8100000005</v>
          </cell>
          <cell r="J95">
            <v>10196975.164014444</v>
          </cell>
          <cell r="K95">
            <v>9859819.4626435637</v>
          </cell>
          <cell r="L95">
            <v>3576358.79</v>
          </cell>
          <cell r="M95">
            <v>3656702.8100000005</v>
          </cell>
          <cell r="N95">
            <v>0</v>
          </cell>
          <cell r="O95">
            <v>0</v>
          </cell>
          <cell r="P95">
            <v>0</v>
          </cell>
          <cell r="Q95">
            <v>0</v>
          </cell>
          <cell r="R95">
            <v>0</v>
          </cell>
          <cell r="T95">
            <v>0</v>
          </cell>
        </row>
        <row r="96">
          <cell r="B96">
            <v>31205</v>
          </cell>
          <cell r="C96" t="str">
            <v>Western Piedmont Community College</v>
          </cell>
          <cell r="D96">
            <v>8922506.4126629531</v>
          </cell>
          <cell r="E96">
            <v>8502177.7572025992</v>
          </cell>
          <cell r="F96">
            <v>86113188.520000011</v>
          </cell>
          <cell r="G96">
            <v>70722362.917713925</v>
          </cell>
          <cell r="H96">
            <v>499527.33</v>
          </cell>
          <cell r="I96">
            <v>493548.24000000005</v>
          </cell>
          <cell r="J96">
            <v>1424260.8409422049</v>
          </cell>
          <cell r="K96">
            <v>1330788.0884379218</v>
          </cell>
          <cell r="L96">
            <v>499527.33</v>
          </cell>
          <cell r="M96">
            <v>493548.24000000005</v>
          </cell>
          <cell r="N96">
            <v>0</v>
          </cell>
          <cell r="O96">
            <v>0</v>
          </cell>
          <cell r="P96">
            <v>0</v>
          </cell>
          <cell r="Q96">
            <v>0</v>
          </cell>
          <cell r="R96">
            <v>0</v>
          </cell>
          <cell r="T96">
            <v>0</v>
          </cell>
        </row>
        <row r="97">
          <cell r="B97">
            <v>31300</v>
          </cell>
          <cell r="C97" t="str">
            <v>Cabarrus County Schools</v>
          </cell>
          <cell r="D97">
            <v>149275653.18959063</v>
          </cell>
          <cell r="E97">
            <v>158028862.77421078</v>
          </cell>
          <cell r="F97">
            <v>1768462598.34375</v>
          </cell>
          <cell r="G97">
            <v>1736483398.2417493</v>
          </cell>
          <cell r="H97">
            <v>8357210.9700000007</v>
          </cell>
          <cell r="I97">
            <v>9173516.4000000004</v>
          </cell>
          <cell r="J97">
            <v>23828222.419909682</v>
          </cell>
          <cell r="K97">
            <v>24735183.645290527</v>
          </cell>
          <cell r="L97">
            <v>8357210.9700000007</v>
          </cell>
          <cell r="M97">
            <v>9173516.4000000004</v>
          </cell>
          <cell r="N97">
            <v>0</v>
          </cell>
          <cell r="O97">
            <v>0</v>
          </cell>
          <cell r="P97">
            <v>0</v>
          </cell>
          <cell r="Q97">
            <v>0</v>
          </cell>
          <cell r="R97">
            <v>0</v>
          </cell>
          <cell r="T97">
            <v>0</v>
          </cell>
        </row>
        <row r="98">
          <cell r="B98">
            <v>31301</v>
          </cell>
          <cell r="C98" t="str">
            <v>Carolina International School</v>
          </cell>
          <cell r="D98">
            <v>2865159.4245222989</v>
          </cell>
          <cell r="E98">
            <v>3450318.1741529983</v>
          </cell>
          <cell r="F98">
            <v>34071367.213900007</v>
          </cell>
          <cell r="G98">
            <v>39930991.304829985</v>
          </cell>
          <cell r="H98">
            <v>160406.21000000002</v>
          </cell>
          <cell r="I98">
            <v>200289.68</v>
          </cell>
          <cell r="J98">
            <v>457352.9211043407</v>
          </cell>
          <cell r="K98">
            <v>540054.84931127098</v>
          </cell>
          <cell r="L98">
            <v>160406.21000000002</v>
          </cell>
          <cell r="M98">
            <v>200289.68</v>
          </cell>
          <cell r="N98">
            <v>0</v>
          </cell>
          <cell r="O98">
            <v>0</v>
          </cell>
          <cell r="P98">
            <v>0</v>
          </cell>
          <cell r="Q98">
            <v>0</v>
          </cell>
          <cell r="R98">
            <v>0</v>
          </cell>
          <cell r="T98">
            <v>0</v>
          </cell>
        </row>
        <row r="99">
          <cell r="B99">
            <v>31320</v>
          </cell>
          <cell r="C99" t="str">
            <v>Kannapolis City Schools</v>
          </cell>
          <cell r="D99">
            <v>28210544.856358334</v>
          </cell>
          <cell r="E99">
            <v>28543630.179684643</v>
          </cell>
          <cell r="F99">
            <v>331389648.85337532</v>
          </cell>
          <cell r="G99">
            <v>312044266.85849297</v>
          </cell>
          <cell r="H99">
            <v>1579369.91</v>
          </cell>
          <cell r="I99">
            <v>1656947.06</v>
          </cell>
          <cell r="J99">
            <v>4503126.4178787069</v>
          </cell>
          <cell r="K99">
            <v>4467740.3988316003</v>
          </cell>
          <cell r="L99">
            <v>1579369.91</v>
          </cell>
          <cell r="M99">
            <v>1656947.06</v>
          </cell>
          <cell r="N99">
            <v>0</v>
          </cell>
          <cell r="O99">
            <v>0</v>
          </cell>
          <cell r="P99">
            <v>0</v>
          </cell>
          <cell r="Q99">
            <v>0</v>
          </cell>
          <cell r="R99">
            <v>0</v>
          </cell>
          <cell r="T99">
            <v>0</v>
          </cell>
        </row>
        <row r="100">
          <cell r="B100">
            <v>31400</v>
          </cell>
          <cell r="C100" t="str">
            <v>Caldwell County Schools</v>
          </cell>
          <cell r="D100">
            <v>64323233.393526666</v>
          </cell>
          <cell r="E100">
            <v>65621743.578732274</v>
          </cell>
          <cell r="F100">
            <v>690951239.94812691</v>
          </cell>
          <cell r="G100">
            <v>655349364.82575834</v>
          </cell>
          <cell r="H100">
            <v>3601142.0500000003</v>
          </cell>
          <cell r="I100">
            <v>3809317.6800000011</v>
          </cell>
          <cell r="J100">
            <v>10267637.617516015</v>
          </cell>
          <cell r="K100">
            <v>10271325.440487804</v>
          </cell>
          <cell r="L100">
            <v>3601142.0500000003</v>
          </cell>
          <cell r="M100">
            <v>3809317.6800000011</v>
          </cell>
          <cell r="N100">
            <v>0</v>
          </cell>
          <cell r="O100">
            <v>0</v>
          </cell>
          <cell r="P100">
            <v>0</v>
          </cell>
          <cell r="Q100">
            <v>0</v>
          </cell>
          <cell r="R100">
            <v>0</v>
          </cell>
          <cell r="T100">
            <v>0</v>
          </cell>
        </row>
        <row r="101">
          <cell r="B101">
            <v>31405</v>
          </cell>
          <cell r="C101" t="str">
            <v>Caldwell Community College</v>
          </cell>
          <cell r="D101">
            <v>14755648.530136015</v>
          </cell>
          <cell r="E101">
            <v>14985209.865466686</v>
          </cell>
          <cell r="F101">
            <v>139189350.79784983</v>
          </cell>
          <cell r="G101">
            <v>121047691.05108789</v>
          </cell>
          <cell r="H101">
            <v>826096.32000000018</v>
          </cell>
          <cell r="I101">
            <v>869885.83</v>
          </cell>
          <cell r="J101">
            <v>2355379.9136925326</v>
          </cell>
          <cell r="K101">
            <v>2345533.0341466414</v>
          </cell>
          <cell r="L101">
            <v>826096.32000000018</v>
          </cell>
          <cell r="M101">
            <v>869885.83</v>
          </cell>
          <cell r="N101">
            <v>0</v>
          </cell>
          <cell r="O101">
            <v>0</v>
          </cell>
          <cell r="P101">
            <v>0</v>
          </cell>
          <cell r="Q101">
            <v>0</v>
          </cell>
          <cell r="R101">
            <v>0</v>
          </cell>
          <cell r="T101">
            <v>0</v>
          </cell>
        </row>
        <row r="102">
          <cell r="B102">
            <v>31500</v>
          </cell>
          <cell r="C102" t="str">
            <v>Camden County Schools</v>
          </cell>
          <cell r="D102">
            <v>10432246.578765828</v>
          </cell>
          <cell r="E102">
            <v>10475086.588103494</v>
          </cell>
          <cell r="F102">
            <v>106680078.60839999</v>
          </cell>
          <cell r="G102">
            <v>99186492.840072811</v>
          </cell>
          <cell r="H102">
            <v>584050.2699999999</v>
          </cell>
          <cell r="I102">
            <v>608074.8600000001</v>
          </cell>
          <cell r="J102">
            <v>1665254.0887056605</v>
          </cell>
          <cell r="K102">
            <v>1639594.0963472119</v>
          </cell>
          <cell r="L102">
            <v>584050.2699999999</v>
          </cell>
          <cell r="M102">
            <v>608074.8600000001</v>
          </cell>
          <cell r="N102">
            <v>0</v>
          </cell>
          <cell r="O102">
            <v>0</v>
          </cell>
          <cell r="P102">
            <v>0</v>
          </cell>
          <cell r="Q102">
            <v>0</v>
          </cell>
          <cell r="R102">
            <v>0</v>
          </cell>
          <cell r="T102">
            <v>0</v>
          </cell>
        </row>
        <row r="103">
          <cell r="B103">
            <v>31600</v>
          </cell>
          <cell r="C103" t="str">
            <v>Carteret County Schools</v>
          </cell>
          <cell r="D103">
            <v>45361777.077324487</v>
          </cell>
          <cell r="E103">
            <v>46400543.467654735</v>
          </cell>
          <cell r="F103">
            <v>493095520.61112005</v>
          </cell>
          <cell r="G103">
            <v>462866473.20562577</v>
          </cell>
          <cell r="H103">
            <v>2539583.1999999997</v>
          </cell>
          <cell r="I103">
            <v>2693534.1999999997</v>
          </cell>
          <cell r="J103">
            <v>7240902.9233189225</v>
          </cell>
          <cell r="K103">
            <v>7262761.6485070763</v>
          </cell>
          <cell r="L103">
            <v>2539583.1999999997</v>
          </cell>
          <cell r="M103">
            <v>2693534.1999999997</v>
          </cell>
          <cell r="N103">
            <v>0</v>
          </cell>
          <cell r="O103">
            <v>0</v>
          </cell>
          <cell r="P103">
            <v>0</v>
          </cell>
          <cell r="Q103">
            <v>0</v>
          </cell>
          <cell r="R103">
            <v>0</v>
          </cell>
          <cell r="T103">
            <v>0</v>
          </cell>
        </row>
        <row r="104">
          <cell r="B104">
            <v>31605</v>
          </cell>
          <cell r="C104" t="str">
            <v>Carteret Community College</v>
          </cell>
          <cell r="D104">
            <v>7470199.2160318634</v>
          </cell>
          <cell r="E104">
            <v>7603739.9293104578</v>
          </cell>
          <cell r="F104">
            <v>67874025.654912695</v>
          </cell>
          <cell r="G104">
            <v>63944608.561488941</v>
          </cell>
          <cell r="H104">
            <v>418219.78</v>
          </cell>
          <cell r="I104">
            <v>441394.26000000007</v>
          </cell>
          <cell r="J104">
            <v>1192435.3679736883</v>
          </cell>
          <cell r="K104">
            <v>1190161.7226167619</v>
          </cell>
          <cell r="L104">
            <v>418219.78</v>
          </cell>
          <cell r="M104">
            <v>441394.26000000007</v>
          </cell>
          <cell r="N104">
            <v>0</v>
          </cell>
          <cell r="O104">
            <v>0</v>
          </cell>
          <cell r="P104">
            <v>0</v>
          </cell>
          <cell r="Q104">
            <v>0</v>
          </cell>
          <cell r="R104">
            <v>0</v>
          </cell>
          <cell r="T104">
            <v>0</v>
          </cell>
        </row>
        <row r="105">
          <cell r="B105">
            <v>31700</v>
          </cell>
          <cell r="C105" t="str">
            <v>Caswell County Schools</v>
          </cell>
          <cell r="D105">
            <v>14496544.725151476</v>
          </cell>
          <cell r="E105">
            <v>14812082.996751692</v>
          </cell>
          <cell r="F105">
            <v>143096515.73373985</v>
          </cell>
          <cell r="G105">
            <v>138309100.19257885</v>
          </cell>
          <cell r="H105">
            <v>811590.37000000011</v>
          </cell>
          <cell r="I105">
            <v>859835.88000000012</v>
          </cell>
          <cell r="J105">
            <v>2314020.3017056054</v>
          </cell>
          <cell r="K105">
            <v>2318434.6622642973</v>
          </cell>
          <cell r="L105">
            <v>811590.37000000011</v>
          </cell>
          <cell r="M105">
            <v>859835.88000000012</v>
          </cell>
          <cell r="N105">
            <v>0</v>
          </cell>
          <cell r="O105">
            <v>0</v>
          </cell>
          <cell r="P105">
            <v>0</v>
          </cell>
          <cell r="Q105">
            <v>0</v>
          </cell>
          <cell r="R105">
            <v>0</v>
          </cell>
          <cell r="T105">
            <v>0</v>
          </cell>
        </row>
        <row r="106">
          <cell r="B106">
            <v>31800</v>
          </cell>
          <cell r="C106" t="str">
            <v>Catawba County Schools</v>
          </cell>
          <cell r="D106">
            <v>83360428.624387026</v>
          </cell>
          <cell r="E106">
            <v>83906422.412500024</v>
          </cell>
          <cell r="F106">
            <v>907197434.60667217</v>
          </cell>
          <cell r="G106">
            <v>839765635.47317159</v>
          </cell>
          <cell r="H106">
            <v>4666941.1500000004</v>
          </cell>
          <cell r="I106">
            <v>4870736.4499999993</v>
          </cell>
          <cell r="J106">
            <v>13306462.184815358</v>
          </cell>
          <cell r="K106">
            <v>13133301.923192771</v>
          </cell>
          <cell r="L106">
            <v>4666941.1500000004</v>
          </cell>
          <cell r="M106">
            <v>4870736.4499999993</v>
          </cell>
          <cell r="N106">
            <v>0</v>
          </cell>
          <cell r="O106">
            <v>0</v>
          </cell>
          <cell r="P106">
            <v>0</v>
          </cell>
          <cell r="Q106">
            <v>0</v>
          </cell>
          <cell r="R106">
            <v>0</v>
          </cell>
          <cell r="T106">
            <v>0</v>
          </cell>
        </row>
        <row r="107">
          <cell r="B107">
            <v>31805</v>
          </cell>
          <cell r="C107" t="str">
            <v>Catawba Valley Community College</v>
          </cell>
          <cell r="D107">
            <v>17584367.538510107</v>
          </cell>
          <cell r="E107">
            <v>17891858.215881497</v>
          </cell>
          <cell r="F107">
            <v>168763191.96074688</v>
          </cell>
          <cell r="G107">
            <v>152249587.82535291</v>
          </cell>
          <cell r="H107">
            <v>984462.41000000015</v>
          </cell>
          <cell r="I107">
            <v>1038615.68</v>
          </cell>
          <cell r="J107">
            <v>2806916.0098659466</v>
          </cell>
          <cell r="K107">
            <v>2800490.9416936678</v>
          </cell>
          <cell r="L107">
            <v>984462.41000000015</v>
          </cell>
          <cell r="M107">
            <v>1038615.68</v>
          </cell>
          <cell r="N107">
            <v>0</v>
          </cell>
          <cell r="O107">
            <v>0</v>
          </cell>
          <cell r="P107">
            <v>0</v>
          </cell>
          <cell r="Q107">
            <v>0</v>
          </cell>
          <cell r="R107">
            <v>0</v>
          </cell>
          <cell r="T107">
            <v>0</v>
          </cell>
        </row>
        <row r="108">
          <cell r="B108">
            <v>31810</v>
          </cell>
          <cell r="C108" t="str">
            <v>Hickory City Schools</v>
          </cell>
          <cell r="D108">
            <v>20796222.481210314</v>
          </cell>
          <cell r="E108">
            <v>21302624.541839864</v>
          </cell>
          <cell r="F108">
            <v>225416660.24890015</v>
          </cell>
          <cell r="G108">
            <v>218434974.71038678</v>
          </cell>
          <cell r="H108">
            <v>1164278.3999999999</v>
          </cell>
          <cell r="I108">
            <v>1236609.3899999999</v>
          </cell>
          <cell r="J108">
            <v>3319610.4266704386</v>
          </cell>
          <cell r="K108">
            <v>3334355.0090716244</v>
          </cell>
          <cell r="L108">
            <v>1164278.3999999999</v>
          </cell>
          <cell r="M108">
            <v>1236609.3899999999</v>
          </cell>
          <cell r="N108">
            <v>0</v>
          </cell>
          <cell r="O108">
            <v>0</v>
          </cell>
          <cell r="P108">
            <v>0</v>
          </cell>
          <cell r="Q108">
            <v>0</v>
          </cell>
          <cell r="R108">
            <v>0</v>
          </cell>
          <cell r="T108">
            <v>0</v>
          </cell>
        </row>
        <row r="109">
          <cell r="B109">
            <v>31820</v>
          </cell>
          <cell r="C109" t="str">
            <v>Newton-Conover City Schools</v>
          </cell>
          <cell r="D109">
            <v>17267334.560516439</v>
          </cell>
          <cell r="E109">
            <v>17505815.419426747</v>
          </cell>
          <cell r="F109">
            <v>201114695.69890016</v>
          </cell>
          <cell r="G109">
            <v>183085903.75335094</v>
          </cell>
          <cell r="H109">
            <v>966713.2899999998</v>
          </cell>
          <cell r="I109">
            <v>1016206.0399999999</v>
          </cell>
          <cell r="J109">
            <v>2756309.416274392</v>
          </cell>
          <cell r="K109">
            <v>2740066.2869969304</v>
          </cell>
          <cell r="L109">
            <v>966713.2899999998</v>
          </cell>
          <cell r="M109">
            <v>1016206.0399999999</v>
          </cell>
          <cell r="N109">
            <v>0</v>
          </cell>
          <cell r="O109">
            <v>0</v>
          </cell>
          <cell r="P109">
            <v>0</v>
          </cell>
          <cell r="Q109">
            <v>0</v>
          </cell>
          <cell r="R109">
            <v>0</v>
          </cell>
          <cell r="T109">
            <v>0</v>
          </cell>
        </row>
        <row r="110">
          <cell r="B110">
            <v>31900</v>
          </cell>
          <cell r="C110" t="str">
            <v>Chatham County Schools</v>
          </cell>
          <cell r="D110">
            <v>47449606.153280877</v>
          </cell>
          <cell r="E110">
            <v>49928195.128690556</v>
          </cell>
          <cell r="F110">
            <v>529647263.10611236</v>
          </cell>
          <cell r="G110">
            <v>515421727.80009276</v>
          </cell>
          <cell r="H110">
            <v>2656470.5000000005</v>
          </cell>
          <cell r="I110">
            <v>2898313.0599999996</v>
          </cell>
          <cell r="J110">
            <v>7574173.9861724097</v>
          </cell>
          <cell r="K110">
            <v>7814920.9828244206</v>
          </cell>
          <cell r="L110">
            <v>2656470.5000000005</v>
          </cell>
          <cell r="M110">
            <v>2898313.0599999996</v>
          </cell>
          <cell r="N110">
            <v>0</v>
          </cell>
          <cell r="O110">
            <v>0</v>
          </cell>
          <cell r="P110">
            <v>0</v>
          </cell>
          <cell r="Q110">
            <v>0</v>
          </cell>
          <cell r="R110">
            <v>0</v>
          </cell>
          <cell r="T110">
            <v>0</v>
          </cell>
        </row>
        <row r="111">
          <cell r="B111">
            <v>32000</v>
          </cell>
          <cell r="C111" t="str">
            <v>Cherokee County Schools</v>
          </cell>
          <cell r="D111">
            <v>19440533.865363136</v>
          </cell>
          <cell r="E111">
            <v>20525741.674277291</v>
          </cell>
          <cell r="F111">
            <v>212912478.82260874</v>
          </cell>
          <cell r="G111">
            <v>206627554.32907081</v>
          </cell>
          <cell r="H111">
            <v>1088380.05</v>
          </cell>
          <cell r="I111">
            <v>1191511.6299999999</v>
          </cell>
          <cell r="J111">
            <v>3103207.7569764187</v>
          </cell>
          <cell r="K111">
            <v>3212754.8148875008</v>
          </cell>
          <cell r="L111">
            <v>1088380.05</v>
          </cell>
          <cell r="M111">
            <v>1191511.6299999999</v>
          </cell>
          <cell r="N111">
            <v>0</v>
          </cell>
          <cell r="O111">
            <v>0</v>
          </cell>
          <cell r="P111">
            <v>0</v>
          </cell>
          <cell r="Q111">
            <v>0</v>
          </cell>
          <cell r="R111">
            <v>0</v>
          </cell>
          <cell r="T111">
            <v>0</v>
          </cell>
        </row>
        <row r="112">
          <cell r="B112">
            <v>32005</v>
          </cell>
          <cell r="C112" t="str">
            <v>Tri-County Community College</v>
          </cell>
          <cell r="D112">
            <v>4882012.8182647983</v>
          </cell>
          <cell r="E112">
            <v>5113311.8306955714</v>
          </cell>
          <cell r="F112">
            <v>48015712.040344745</v>
          </cell>
          <cell r="G112">
            <v>42547698.618388936</v>
          </cell>
          <cell r="H112">
            <v>273319.93000000005</v>
          </cell>
          <cell r="I112">
            <v>296825.84000000003</v>
          </cell>
          <cell r="J112">
            <v>779294.44490667747</v>
          </cell>
          <cell r="K112">
            <v>800351.94171208155</v>
          </cell>
          <cell r="L112">
            <v>273319.93000000005</v>
          </cell>
          <cell r="M112">
            <v>296825.84000000003</v>
          </cell>
          <cell r="N112">
            <v>0</v>
          </cell>
          <cell r="O112">
            <v>0</v>
          </cell>
          <cell r="P112">
            <v>0</v>
          </cell>
          <cell r="Q112">
            <v>0</v>
          </cell>
          <cell r="R112">
            <v>0</v>
          </cell>
          <cell r="T112">
            <v>0</v>
          </cell>
        </row>
        <row r="113">
          <cell r="B113">
            <v>32100</v>
          </cell>
          <cell r="C113" t="str">
            <v>Edenton-Chowan County Schools</v>
          </cell>
          <cell r="D113">
            <v>12526936.409894714</v>
          </cell>
          <cell r="E113">
            <v>12490781.224289732</v>
          </cell>
          <cell r="F113">
            <v>132767746.29320997</v>
          </cell>
          <cell r="G113">
            <v>118712257.96525387</v>
          </cell>
          <cell r="H113">
            <v>701321.67</v>
          </cell>
          <cell r="I113">
            <v>725085.18000000017</v>
          </cell>
          <cell r="J113">
            <v>1999620.3040285937</v>
          </cell>
          <cell r="K113">
            <v>1955097.0755095114</v>
          </cell>
          <cell r="L113">
            <v>701321.67</v>
          </cell>
          <cell r="M113">
            <v>725085.18000000017</v>
          </cell>
          <cell r="N113">
            <v>0</v>
          </cell>
          <cell r="O113">
            <v>0</v>
          </cell>
          <cell r="P113">
            <v>0</v>
          </cell>
          <cell r="Q113">
            <v>0</v>
          </cell>
          <cell r="R113">
            <v>0</v>
          </cell>
          <cell r="T113">
            <v>0</v>
          </cell>
        </row>
        <row r="114">
          <cell r="B114">
            <v>32200</v>
          </cell>
          <cell r="C114" t="str">
            <v>Clay County Schools</v>
          </cell>
          <cell r="D114">
            <v>7558457.5352732344</v>
          </cell>
          <cell r="E114">
            <v>7996506.6278141513</v>
          </cell>
          <cell r="F114">
            <v>81734057.554073185</v>
          </cell>
          <cell r="G114">
            <v>76538949.727148935</v>
          </cell>
          <cell r="H114">
            <v>423160.93</v>
          </cell>
          <cell r="I114">
            <v>464194.22</v>
          </cell>
          <cell r="J114">
            <v>1206523.6591072716</v>
          </cell>
          <cell r="K114">
            <v>1251638.8239936426</v>
          </cell>
          <cell r="L114">
            <v>423160.93</v>
          </cell>
          <cell r="M114">
            <v>464194.22</v>
          </cell>
          <cell r="N114">
            <v>0</v>
          </cell>
          <cell r="O114">
            <v>0</v>
          </cell>
          <cell r="P114">
            <v>0</v>
          </cell>
          <cell r="Q114">
            <v>0</v>
          </cell>
          <cell r="R114">
            <v>0</v>
          </cell>
          <cell r="T114">
            <v>0</v>
          </cell>
        </row>
        <row r="115">
          <cell r="B115">
            <v>32300</v>
          </cell>
          <cell r="C115" t="str">
            <v>Cleveland County Schools</v>
          </cell>
          <cell r="D115">
            <v>82167565.144666865</v>
          </cell>
          <cell r="E115">
            <v>85074434.241919965</v>
          </cell>
          <cell r="F115">
            <v>929025133.40120316</v>
          </cell>
          <cell r="G115">
            <v>880730574.97810864</v>
          </cell>
          <cell r="H115">
            <v>4600158.58</v>
          </cell>
          <cell r="I115">
            <v>4938539.0999999996</v>
          </cell>
          <cell r="J115">
            <v>13116050.582494255</v>
          </cell>
          <cell r="K115">
            <v>13316122.874969492</v>
          </cell>
          <cell r="L115">
            <v>4600158.58</v>
          </cell>
          <cell r="M115">
            <v>4938539.0999999996</v>
          </cell>
          <cell r="N115">
            <v>0</v>
          </cell>
          <cell r="O115">
            <v>0</v>
          </cell>
          <cell r="P115">
            <v>0</v>
          </cell>
          <cell r="Q115">
            <v>0</v>
          </cell>
          <cell r="R115">
            <v>0</v>
          </cell>
          <cell r="T115">
            <v>0</v>
          </cell>
        </row>
        <row r="116">
          <cell r="B116">
            <v>32305</v>
          </cell>
          <cell r="C116" t="str">
            <v>Cleveland Technical College</v>
          </cell>
          <cell r="D116">
            <v>10052613.184095472</v>
          </cell>
          <cell r="E116">
            <v>9981887.3736679535</v>
          </cell>
          <cell r="F116">
            <v>95464721.90110001</v>
          </cell>
          <cell r="G116">
            <v>86612330.665468916</v>
          </cell>
          <cell r="H116">
            <v>562796.46</v>
          </cell>
          <cell r="I116">
            <v>579444.82999999996</v>
          </cell>
          <cell r="J116">
            <v>1604654.8632261944</v>
          </cell>
          <cell r="K116">
            <v>1562396.9759692315</v>
          </cell>
          <cell r="L116">
            <v>562796.46</v>
          </cell>
          <cell r="M116">
            <v>579444.82999999996</v>
          </cell>
          <cell r="N116">
            <v>0</v>
          </cell>
          <cell r="O116">
            <v>0</v>
          </cell>
          <cell r="P116">
            <v>0</v>
          </cell>
          <cell r="Q116">
            <v>0</v>
          </cell>
          <cell r="R116">
            <v>0</v>
          </cell>
          <cell r="T116">
            <v>0</v>
          </cell>
        </row>
        <row r="117">
          <cell r="B117">
            <v>32400</v>
          </cell>
          <cell r="C117" t="str">
            <v>Columbus County Schools</v>
          </cell>
          <cell r="D117">
            <v>32209587.950728215</v>
          </cell>
          <cell r="E117">
            <v>32987067.583962504</v>
          </cell>
          <cell r="F117">
            <v>329063471.68641323</v>
          </cell>
          <cell r="G117">
            <v>311951248.58283794</v>
          </cell>
          <cell r="H117">
            <v>1803256.7000000002</v>
          </cell>
          <cell r="I117">
            <v>1914886.9400000002</v>
          </cell>
          <cell r="J117">
            <v>5141476.2511125579</v>
          </cell>
          <cell r="K117">
            <v>5163241.4502325878</v>
          </cell>
          <cell r="L117">
            <v>1803256.7000000002</v>
          </cell>
          <cell r="M117">
            <v>1914886.9400000002</v>
          </cell>
          <cell r="N117">
            <v>0</v>
          </cell>
          <cell r="O117">
            <v>0</v>
          </cell>
          <cell r="P117">
            <v>0</v>
          </cell>
          <cell r="Q117">
            <v>0</v>
          </cell>
          <cell r="R117">
            <v>0</v>
          </cell>
          <cell r="T117">
            <v>0</v>
          </cell>
        </row>
        <row r="118">
          <cell r="B118">
            <v>32405</v>
          </cell>
          <cell r="C118" t="str">
            <v>Southeastern Community College</v>
          </cell>
          <cell r="D118">
            <v>8724274.1712097097</v>
          </cell>
          <cell r="E118">
            <v>8923958.5960653909</v>
          </cell>
          <cell r="F118">
            <v>82246311.512199968</v>
          </cell>
          <cell r="G118">
            <v>75553412.722780958</v>
          </cell>
          <cell r="H118">
            <v>488429.27999999997</v>
          </cell>
          <cell r="I118">
            <v>518032.46000000008</v>
          </cell>
          <cell r="J118">
            <v>1392617.8915447844</v>
          </cell>
          <cell r="K118">
            <v>1396806.575973595</v>
          </cell>
          <cell r="L118">
            <v>488429.27999999997</v>
          </cell>
          <cell r="M118">
            <v>518032.46000000008</v>
          </cell>
          <cell r="N118">
            <v>0</v>
          </cell>
          <cell r="O118">
            <v>0</v>
          </cell>
          <cell r="P118">
            <v>0</v>
          </cell>
          <cell r="Q118">
            <v>0</v>
          </cell>
          <cell r="R118">
            <v>0</v>
          </cell>
          <cell r="T118">
            <v>0</v>
          </cell>
        </row>
        <row r="119">
          <cell r="B119">
            <v>32410</v>
          </cell>
          <cell r="C119" t="str">
            <v>Whiteville City Schools</v>
          </cell>
          <cell r="D119">
            <v>12936300.755820157</v>
          </cell>
          <cell r="E119">
            <v>13063236.074077608</v>
          </cell>
          <cell r="F119">
            <v>131058988.42799997</v>
          </cell>
          <cell r="G119">
            <v>120905471.60327283</v>
          </cell>
          <cell r="H119">
            <v>724239.97</v>
          </cell>
          <cell r="I119">
            <v>758315.97000000009</v>
          </cell>
          <cell r="J119">
            <v>2064965.3517779643</v>
          </cell>
          <cell r="K119">
            <v>2044699.5417271641</v>
          </cell>
          <cell r="L119">
            <v>724239.97</v>
          </cell>
          <cell r="M119">
            <v>758315.97000000009</v>
          </cell>
          <cell r="N119">
            <v>0</v>
          </cell>
          <cell r="O119">
            <v>0</v>
          </cell>
          <cell r="P119">
            <v>0</v>
          </cell>
          <cell r="Q119">
            <v>0</v>
          </cell>
          <cell r="R119">
            <v>0</v>
          </cell>
          <cell r="T119">
            <v>0</v>
          </cell>
        </row>
        <row r="120">
          <cell r="B120">
            <v>32500</v>
          </cell>
          <cell r="C120" t="str">
            <v>New Bern/Craven County Board Of Education</v>
          </cell>
          <cell r="D120">
            <v>68922823.698455706</v>
          </cell>
          <cell r="E120">
            <v>67679167.682650954</v>
          </cell>
          <cell r="F120">
            <v>751463628.71451771</v>
          </cell>
          <cell r="G120">
            <v>684661446.61729491</v>
          </cell>
          <cell r="H120">
            <v>3858650.53</v>
          </cell>
          <cell r="I120">
            <v>3928750.3800000004</v>
          </cell>
          <cell r="J120">
            <v>11001850.186575146</v>
          </cell>
          <cell r="K120">
            <v>10593360.049566701</v>
          </cell>
          <cell r="L120">
            <v>3858650.53</v>
          </cell>
          <cell r="M120">
            <v>3928750.3800000004</v>
          </cell>
          <cell r="N120">
            <v>0</v>
          </cell>
          <cell r="O120">
            <v>0</v>
          </cell>
          <cell r="P120">
            <v>0</v>
          </cell>
          <cell r="Q120">
            <v>0</v>
          </cell>
          <cell r="R120">
            <v>0</v>
          </cell>
          <cell r="T120">
            <v>0</v>
          </cell>
        </row>
        <row r="121">
          <cell r="B121">
            <v>32505</v>
          </cell>
          <cell r="C121" t="str">
            <v>Craven Community College</v>
          </cell>
          <cell r="D121">
            <v>10266945.783521611</v>
          </cell>
          <cell r="E121">
            <v>11107875.504347552</v>
          </cell>
          <cell r="F121">
            <v>109586342.02042952</v>
          </cell>
          <cell r="G121">
            <v>95255476.894326881</v>
          </cell>
          <cell r="H121">
            <v>574795.8899999999</v>
          </cell>
          <cell r="I121">
            <v>644808.0199999999</v>
          </cell>
          <cell r="J121">
            <v>1638867.8426494161</v>
          </cell>
          <cell r="K121">
            <v>1738640.2438498028</v>
          </cell>
          <cell r="L121">
            <v>574795.8899999999</v>
          </cell>
          <cell r="M121">
            <v>644808.0199999999</v>
          </cell>
          <cell r="N121">
            <v>0</v>
          </cell>
          <cell r="O121">
            <v>0</v>
          </cell>
          <cell r="P121">
            <v>0</v>
          </cell>
          <cell r="Q121">
            <v>0</v>
          </cell>
          <cell r="R121">
            <v>0</v>
          </cell>
          <cell r="T121">
            <v>0</v>
          </cell>
        </row>
        <row r="122">
          <cell r="B122">
            <v>32600</v>
          </cell>
          <cell r="C122" t="str">
            <v>Cumberland County Schools</v>
          </cell>
          <cell r="D122">
            <v>241602438.65133688</v>
          </cell>
          <cell r="E122">
            <v>245089513.77081433</v>
          </cell>
          <cell r="F122">
            <v>2698672922.500627</v>
          </cell>
          <cell r="G122">
            <v>2473328961.22682</v>
          </cell>
          <cell r="H122">
            <v>13526134.420000002</v>
          </cell>
          <cell r="I122">
            <v>14227354.640000001</v>
          </cell>
          <cell r="J122">
            <v>38565945.097991951</v>
          </cell>
          <cell r="K122">
            <v>38362195.527014732</v>
          </cell>
          <cell r="L122">
            <v>13526134.420000002</v>
          </cell>
          <cell r="M122">
            <v>14227354.640000001</v>
          </cell>
          <cell r="N122">
            <v>0</v>
          </cell>
          <cell r="O122">
            <v>0</v>
          </cell>
          <cell r="P122">
            <v>0</v>
          </cell>
          <cell r="Q122">
            <v>0</v>
          </cell>
          <cell r="R122">
            <v>0</v>
          </cell>
          <cell r="T122">
            <v>0</v>
          </cell>
        </row>
        <row r="123">
          <cell r="B123">
            <v>32605</v>
          </cell>
          <cell r="C123" t="str">
            <v>Fayetteville Technical Community College</v>
          </cell>
          <cell r="D123">
            <v>38084830.741331033</v>
          </cell>
          <cell r="E123">
            <v>39200255.576986633</v>
          </cell>
          <cell r="F123">
            <v>383772986.3054682</v>
          </cell>
          <cell r="G123">
            <v>330537517.92549813</v>
          </cell>
          <cell r="H123">
            <v>2132182.7000000002</v>
          </cell>
          <cell r="I123">
            <v>2275560.1799999997</v>
          </cell>
          <cell r="J123">
            <v>6079315.6709652329</v>
          </cell>
          <cell r="K123">
            <v>6135749.5309225544</v>
          </cell>
          <cell r="L123">
            <v>2132182.7000000002</v>
          </cell>
          <cell r="M123">
            <v>2275560.1799999997</v>
          </cell>
          <cell r="N123">
            <v>0</v>
          </cell>
          <cell r="O123">
            <v>0</v>
          </cell>
          <cell r="P123">
            <v>0</v>
          </cell>
          <cell r="Q123">
            <v>0</v>
          </cell>
          <cell r="R123">
            <v>0</v>
          </cell>
          <cell r="T123">
            <v>0</v>
          </cell>
        </row>
        <row r="124">
          <cell r="B124">
            <v>32700</v>
          </cell>
          <cell r="C124" t="str">
            <v>Currituck County Schools</v>
          </cell>
          <cell r="D124">
            <v>21573130.217260268</v>
          </cell>
          <cell r="E124">
            <v>22730696.271889336</v>
          </cell>
          <cell r="F124">
            <v>229541841.44503731</v>
          </cell>
          <cell r="G124">
            <v>223812577.26976481</v>
          </cell>
          <cell r="H124">
            <v>1207773.6499999999</v>
          </cell>
          <cell r="I124">
            <v>1319508.42</v>
          </cell>
          <cell r="J124">
            <v>3443624.8251258573</v>
          </cell>
          <cell r="K124">
            <v>3557881.3692650232</v>
          </cell>
          <cell r="L124">
            <v>1207773.6499999999</v>
          </cell>
          <cell r="M124">
            <v>1319508.42</v>
          </cell>
          <cell r="N124">
            <v>0</v>
          </cell>
          <cell r="O124">
            <v>0</v>
          </cell>
          <cell r="P124">
            <v>0</v>
          </cell>
          <cell r="Q124">
            <v>0</v>
          </cell>
          <cell r="R124">
            <v>0</v>
          </cell>
          <cell r="T124">
            <v>0</v>
          </cell>
        </row>
        <row r="125">
          <cell r="B125">
            <v>32800</v>
          </cell>
          <cell r="C125" t="str">
            <v>Dare County Schools</v>
          </cell>
          <cell r="D125">
            <v>32377245.266227331</v>
          </cell>
          <cell r="E125">
            <v>33436840.334378324</v>
          </cell>
          <cell r="F125">
            <v>307712099.49276775</v>
          </cell>
          <cell r="G125">
            <v>295501633.68468535</v>
          </cell>
          <cell r="H125">
            <v>1812643.01</v>
          </cell>
          <cell r="I125">
            <v>1940996.08</v>
          </cell>
          <cell r="J125">
            <v>5168238.6582343942</v>
          </cell>
          <cell r="K125">
            <v>5233641.3214009218</v>
          </cell>
          <cell r="L125">
            <v>1812643.01</v>
          </cell>
          <cell r="M125">
            <v>1940996.08</v>
          </cell>
          <cell r="N125">
            <v>0</v>
          </cell>
          <cell r="O125">
            <v>0</v>
          </cell>
          <cell r="P125">
            <v>0</v>
          </cell>
          <cell r="Q125">
            <v>0</v>
          </cell>
          <cell r="R125">
            <v>0</v>
          </cell>
          <cell r="T125">
            <v>0</v>
          </cell>
        </row>
        <row r="126">
          <cell r="B126">
            <v>32900</v>
          </cell>
          <cell r="C126" t="str">
            <v>Davidson County Schools</v>
          </cell>
          <cell r="D126">
            <v>88724339.921425864</v>
          </cell>
          <cell r="E126">
            <v>91443216.518730476</v>
          </cell>
          <cell r="F126">
            <v>979338173.18845117</v>
          </cell>
          <cell r="G126">
            <v>938766821.7910893</v>
          </cell>
          <cell r="H126">
            <v>4967240.21</v>
          </cell>
          <cell r="I126">
            <v>5308244.5299999993</v>
          </cell>
          <cell r="J126">
            <v>14162679.985210288</v>
          </cell>
          <cell r="K126">
            <v>14312985.071205508</v>
          </cell>
          <cell r="L126">
            <v>4967240.21</v>
          </cell>
          <cell r="M126">
            <v>5308244.5299999993</v>
          </cell>
          <cell r="N126">
            <v>0</v>
          </cell>
          <cell r="O126">
            <v>0</v>
          </cell>
          <cell r="P126">
            <v>0</v>
          </cell>
          <cell r="Q126">
            <v>0</v>
          </cell>
          <cell r="R126">
            <v>0</v>
          </cell>
          <cell r="T126">
            <v>0</v>
          </cell>
        </row>
        <row r="127">
          <cell r="B127">
            <v>32901</v>
          </cell>
          <cell r="C127" t="str">
            <v>Invest Collegiate Charter School</v>
          </cell>
          <cell r="D127">
            <v>2208397.9618186615</v>
          </cell>
          <cell r="E127">
            <v>1960018.1363343119</v>
          </cell>
          <cell r="F127">
            <v>33655641.5145</v>
          </cell>
          <cell r="G127">
            <v>24622938.362749983</v>
          </cell>
          <cell r="H127">
            <v>123637.35999999997</v>
          </cell>
          <cell r="I127">
            <v>113778.32000000002</v>
          </cell>
          <cell r="J127">
            <v>352516.94902353815</v>
          </cell>
          <cell r="K127">
            <v>306788.31511683273</v>
          </cell>
          <cell r="L127">
            <v>123637.35999999997</v>
          </cell>
          <cell r="M127">
            <v>113778.32000000002</v>
          </cell>
          <cell r="N127">
            <v>0</v>
          </cell>
          <cell r="O127">
            <v>0</v>
          </cell>
          <cell r="P127">
            <v>0</v>
          </cell>
          <cell r="Q127">
            <v>0</v>
          </cell>
          <cell r="R127">
            <v>0</v>
          </cell>
          <cell r="T127">
            <v>0</v>
          </cell>
        </row>
        <row r="128">
          <cell r="B128">
            <v>32905</v>
          </cell>
          <cell r="C128" t="str">
            <v>Davidson County Community College</v>
          </cell>
          <cell r="D128">
            <v>13729855.95979077</v>
          </cell>
          <cell r="E128">
            <v>14586540.803366374</v>
          </cell>
          <cell r="F128">
            <v>141526662.77274996</v>
          </cell>
          <cell r="G128">
            <v>123483171.05038677</v>
          </cell>
          <cell r="H128">
            <v>768667.2300000001</v>
          </cell>
          <cell r="I128">
            <v>846743.24</v>
          </cell>
          <cell r="J128">
            <v>2191637.1130374698</v>
          </cell>
          <cell r="K128">
            <v>2283132.0759189259</v>
          </cell>
          <cell r="L128">
            <v>768667.2300000001</v>
          </cell>
          <cell r="M128">
            <v>846743.24</v>
          </cell>
          <cell r="N128">
            <v>0</v>
          </cell>
          <cell r="O128">
            <v>0</v>
          </cell>
          <cell r="P128">
            <v>0</v>
          </cell>
          <cell r="Q128">
            <v>0</v>
          </cell>
          <cell r="R128">
            <v>0</v>
          </cell>
          <cell r="T128">
            <v>0</v>
          </cell>
        </row>
        <row r="129">
          <cell r="B129">
            <v>32910</v>
          </cell>
          <cell r="C129" t="str">
            <v>Lexington City Schools</v>
          </cell>
          <cell r="D129">
            <v>17108712.864938077</v>
          </cell>
          <cell r="E129">
            <v>17835078.005217217</v>
          </cell>
          <cell r="F129">
            <v>178247922.94302073</v>
          </cell>
          <cell r="G129">
            <v>172426108.10042667</v>
          </cell>
          <cell r="H129">
            <v>957832.84</v>
          </cell>
          <cell r="I129">
            <v>1035319.61</v>
          </cell>
          <cell r="J129">
            <v>2730989.3258101824</v>
          </cell>
          <cell r="K129">
            <v>2791603.5212975224</v>
          </cell>
          <cell r="L129">
            <v>957832.84</v>
          </cell>
          <cell r="M129">
            <v>1035319.61</v>
          </cell>
          <cell r="N129">
            <v>0</v>
          </cell>
          <cell r="O129">
            <v>0</v>
          </cell>
          <cell r="P129">
            <v>0</v>
          </cell>
          <cell r="Q129">
            <v>0</v>
          </cell>
          <cell r="R129">
            <v>0</v>
          </cell>
          <cell r="T129">
            <v>0</v>
          </cell>
        </row>
        <row r="130">
          <cell r="B130">
            <v>32920</v>
          </cell>
          <cell r="C130" t="str">
            <v>Thomasville City Schools</v>
          </cell>
          <cell r="D130">
            <v>13687375.006844237</v>
          </cell>
          <cell r="E130">
            <v>14091240.455673739</v>
          </cell>
          <cell r="F130">
            <v>146242903.88170004</v>
          </cell>
          <cell r="G130">
            <v>144454264.07664904</v>
          </cell>
          <cell r="H130">
            <v>766288.93</v>
          </cell>
          <cell r="I130">
            <v>817991.24</v>
          </cell>
          <cell r="J130">
            <v>2184856.0635240967</v>
          </cell>
          <cell r="K130">
            <v>2205606.0794352447</v>
          </cell>
          <cell r="L130">
            <v>766288.93</v>
          </cell>
          <cell r="M130">
            <v>817991.24</v>
          </cell>
          <cell r="N130">
            <v>0</v>
          </cell>
          <cell r="O130">
            <v>0</v>
          </cell>
          <cell r="P130">
            <v>0</v>
          </cell>
          <cell r="Q130">
            <v>0</v>
          </cell>
          <cell r="R130">
            <v>0</v>
          </cell>
          <cell r="T130">
            <v>0</v>
          </cell>
        </row>
        <row r="131">
          <cell r="B131">
            <v>33000</v>
          </cell>
          <cell r="C131" t="str">
            <v>Davie County Schools</v>
          </cell>
          <cell r="D131">
            <v>33248683.169901162</v>
          </cell>
          <cell r="E131">
            <v>33626118.039243132</v>
          </cell>
          <cell r="F131">
            <v>378285211.09255856</v>
          </cell>
          <cell r="G131">
            <v>353816489.49002314</v>
          </cell>
          <cell r="H131">
            <v>1861430.54</v>
          </cell>
          <cell r="I131">
            <v>1951983.5800000003</v>
          </cell>
          <cell r="J131">
            <v>5307342.4956666594</v>
          </cell>
          <cell r="K131">
            <v>5263267.673876035</v>
          </cell>
          <cell r="L131">
            <v>1861430.54</v>
          </cell>
          <cell r="M131">
            <v>1951983.5800000003</v>
          </cell>
          <cell r="N131">
            <v>0</v>
          </cell>
          <cell r="O131">
            <v>0</v>
          </cell>
          <cell r="P131">
            <v>0</v>
          </cell>
          <cell r="Q131">
            <v>0</v>
          </cell>
          <cell r="R131">
            <v>0</v>
          </cell>
          <cell r="T131">
            <v>0</v>
          </cell>
        </row>
        <row r="132">
          <cell r="B132">
            <v>33001</v>
          </cell>
          <cell r="C132" t="str">
            <v>N.E. Regional School For Biotechnology</v>
          </cell>
          <cell r="D132">
            <v>887805.29702769546</v>
          </cell>
          <cell r="E132">
            <v>1004587.1765098961</v>
          </cell>
          <cell r="F132">
            <v>10066611.2788</v>
          </cell>
          <cell r="G132">
            <v>10192495.462984992</v>
          </cell>
          <cell r="H132">
            <v>49703.859999999993</v>
          </cell>
          <cell r="I132">
            <v>58315.909999999996</v>
          </cell>
          <cell r="J132">
            <v>141716.49315298448</v>
          </cell>
          <cell r="K132">
            <v>157241.20178083883</v>
          </cell>
          <cell r="L132">
            <v>49703.859999999993</v>
          </cell>
          <cell r="M132">
            <v>58315.909999999996</v>
          </cell>
          <cell r="N132">
            <v>0</v>
          </cell>
          <cell r="O132">
            <v>0</v>
          </cell>
          <cell r="P132">
            <v>0</v>
          </cell>
          <cell r="Q132">
            <v>0</v>
          </cell>
          <cell r="R132">
            <v>0</v>
          </cell>
          <cell r="T132">
            <v>0</v>
          </cell>
        </row>
        <row r="133">
          <cell r="B133">
            <v>33027</v>
          </cell>
          <cell r="C133" t="str">
            <v>Cornerstone Academy</v>
          </cell>
          <cell r="D133">
            <v>2744367.2649301142</v>
          </cell>
          <cell r="E133">
            <v>3232112.4621281237</v>
          </cell>
          <cell r="F133">
            <v>38902117.024400003</v>
          </cell>
          <cell r="G133">
            <v>41259645.610580973</v>
          </cell>
          <cell r="H133">
            <v>153643.65000000002</v>
          </cell>
          <cell r="I133">
            <v>187622.91999999998</v>
          </cell>
          <cell r="J133">
            <v>438071.39472114539</v>
          </cell>
          <cell r="K133">
            <v>505900.59252149507</v>
          </cell>
          <cell r="L133">
            <v>153643.65000000002</v>
          </cell>
          <cell r="M133">
            <v>187622.91999999998</v>
          </cell>
          <cell r="N133">
            <v>0</v>
          </cell>
          <cell r="O133">
            <v>0</v>
          </cell>
          <cell r="P133">
            <v>0</v>
          </cell>
          <cell r="Q133">
            <v>0</v>
          </cell>
          <cell r="R133">
            <v>0</v>
          </cell>
          <cell r="T133">
            <v>0</v>
          </cell>
        </row>
        <row r="134">
          <cell r="B134">
            <v>33100</v>
          </cell>
          <cell r="C134" t="str">
            <v>Duplin County Schools</v>
          </cell>
          <cell r="D134">
            <v>50284064.368227407</v>
          </cell>
          <cell r="E134">
            <v>50198177.746114552</v>
          </cell>
          <cell r="F134">
            <v>540831654.12982905</v>
          </cell>
          <cell r="G134">
            <v>504778101.75718284</v>
          </cell>
          <cell r="H134">
            <v>2815157.9</v>
          </cell>
          <cell r="I134">
            <v>2913985.45</v>
          </cell>
          <cell r="J134">
            <v>8026626.2068966115</v>
          </cell>
          <cell r="K134">
            <v>7857179.5266485345</v>
          </cell>
          <cell r="L134">
            <v>2815157.9</v>
          </cell>
          <cell r="M134">
            <v>2913985.45</v>
          </cell>
          <cell r="N134">
            <v>0</v>
          </cell>
          <cell r="O134">
            <v>0</v>
          </cell>
          <cell r="P134">
            <v>0</v>
          </cell>
          <cell r="Q134">
            <v>0</v>
          </cell>
          <cell r="R134">
            <v>0</v>
          </cell>
          <cell r="T134">
            <v>0</v>
          </cell>
        </row>
        <row r="135">
          <cell r="B135">
            <v>33105</v>
          </cell>
          <cell r="C135" t="str">
            <v>James Sprunt Technical College</v>
          </cell>
          <cell r="D135">
            <v>5819356.8401507931</v>
          </cell>
          <cell r="E135">
            <v>6020197.7750148121</v>
          </cell>
          <cell r="F135">
            <v>60795810.004299961</v>
          </cell>
          <cell r="G135">
            <v>53670900.845476948</v>
          </cell>
          <cell r="H135">
            <v>325797.21999999991</v>
          </cell>
          <cell r="I135">
            <v>349470.23000000004</v>
          </cell>
          <cell r="J135">
            <v>928918.58896655857</v>
          </cell>
          <cell r="K135">
            <v>942300.63376917492</v>
          </cell>
          <cell r="L135">
            <v>325797.21999999991</v>
          </cell>
          <cell r="M135">
            <v>349470.23000000004</v>
          </cell>
          <cell r="N135">
            <v>0</v>
          </cell>
          <cell r="O135">
            <v>0</v>
          </cell>
          <cell r="P135">
            <v>0</v>
          </cell>
          <cell r="Q135">
            <v>0</v>
          </cell>
          <cell r="R135">
            <v>0</v>
          </cell>
          <cell r="T135">
            <v>0</v>
          </cell>
        </row>
        <row r="136">
          <cell r="B136">
            <v>33200</v>
          </cell>
          <cell r="C136" t="str">
            <v>Durham Public Schools</v>
          </cell>
          <cell r="D136">
            <v>206090928.02835992</v>
          </cell>
          <cell r="E136">
            <v>209256767.56590196</v>
          </cell>
          <cell r="F136">
            <v>2360413438.8245788</v>
          </cell>
          <cell r="G136">
            <v>2233444743.7535615</v>
          </cell>
          <cell r="H136">
            <v>11538019.280000001</v>
          </cell>
          <cell r="I136">
            <v>12147277.119999997</v>
          </cell>
          <cell r="J136">
            <v>32897397.310654007</v>
          </cell>
          <cell r="K136">
            <v>32753539.34652973</v>
          </cell>
          <cell r="L136">
            <v>11538019.280000001</v>
          </cell>
          <cell r="M136">
            <v>12147277.119999997</v>
          </cell>
          <cell r="N136">
            <v>0</v>
          </cell>
          <cell r="O136">
            <v>0</v>
          </cell>
          <cell r="P136">
            <v>0</v>
          </cell>
          <cell r="Q136">
            <v>0</v>
          </cell>
          <cell r="R136">
            <v>0</v>
          </cell>
          <cell r="T136">
            <v>0</v>
          </cell>
        </row>
        <row r="137">
          <cell r="B137">
            <v>33202</v>
          </cell>
          <cell r="C137" t="str">
            <v>Central Park School For Children</v>
          </cell>
          <cell r="D137">
            <v>2311338.4043005779</v>
          </cell>
          <cell r="E137">
            <v>2722323.9935597242</v>
          </cell>
          <cell r="F137">
            <v>28241064.610799994</v>
          </cell>
          <cell r="G137">
            <v>33124982.61022396</v>
          </cell>
          <cell r="H137">
            <v>129400.48999999999</v>
          </cell>
          <cell r="I137">
            <v>158029.89000000001</v>
          </cell>
          <cell r="J137">
            <v>368948.883549041</v>
          </cell>
          <cell r="K137">
            <v>426106.86896412604</v>
          </cell>
          <cell r="L137">
            <v>129400.48999999999</v>
          </cell>
          <cell r="M137">
            <v>158029.89000000001</v>
          </cell>
          <cell r="N137">
            <v>0</v>
          </cell>
          <cell r="O137">
            <v>0</v>
          </cell>
          <cell r="P137">
            <v>0</v>
          </cell>
          <cell r="Q137">
            <v>0</v>
          </cell>
          <cell r="R137">
            <v>0</v>
          </cell>
          <cell r="T137">
            <v>0</v>
          </cell>
        </row>
        <row r="138">
          <cell r="B138">
            <v>33203</v>
          </cell>
          <cell r="C138" t="str">
            <v>Healthy Start Academy</v>
          </cell>
          <cell r="D138">
            <v>1415820.5181660494</v>
          </cell>
          <cell r="E138">
            <v>1582990.2127562717</v>
          </cell>
          <cell r="F138">
            <v>19541158.916000001</v>
          </cell>
          <cell r="G138">
            <v>19121235.259954982</v>
          </cell>
          <cell r="H138">
            <v>79264.840000000011</v>
          </cell>
          <cell r="I138">
            <v>91891.989999999991</v>
          </cell>
          <cell r="J138">
            <v>226001.26338542748</v>
          </cell>
          <cell r="K138">
            <v>247774.6971904035</v>
          </cell>
          <cell r="L138">
            <v>79264.840000000011</v>
          </cell>
          <cell r="M138">
            <v>91891.989999999991</v>
          </cell>
          <cell r="N138">
            <v>0</v>
          </cell>
          <cell r="O138">
            <v>0</v>
          </cell>
          <cell r="P138">
            <v>0</v>
          </cell>
          <cell r="Q138">
            <v>0</v>
          </cell>
          <cell r="R138">
            <v>0</v>
          </cell>
          <cell r="T138">
            <v>0</v>
          </cell>
        </row>
        <row r="139">
          <cell r="B139">
            <v>33204</v>
          </cell>
          <cell r="C139" t="str">
            <v>Voyager Academy</v>
          </cell>
          <cell r="D139">
            <v>5076438.867789614</v>
          </cell>
          <cell r="E139">
            <v>5381784.8776733922</v>
          </cell>
          <cell r="F139">
            <v>68952111.42930001</v>
          </cell>
          <cell r="G139">
            <v>69043834.992967933</v>
          </cell>
          <cell r="H139">
            <v>284204.88999999996</v>
          </cell>
          <cell r="I139">
            <v>312410.59999999998</v>
          </cell>
          <cell r="J139">
            <v>810329.82846261247</v>
          </cell>
          <cell r="K139">
            <v>842374.20273597597</v>
          </cell>
          <cell r="L139">
            <v>284204.88999999996</v>
          </cell>
          <cell r="M139">
            <v>312410.59999999998</v>
          </cell>
          <cell r="N139">
            <v>0</v>
          </cell>
          <cell r="O139">
            <v>0</v>
          </cell>
          <cell r="P139">
            <v>0</v>
          </cell>
          <cell r="Q139">
            <v>0</v>
          </cell>
          <cell r="R139">
            <v>0</v>
          </cell>
          <cell r="T139">
            <v>0</v>
          </cell>
        </row>
        <row r="140">
          <cell r="B140">
            <v>33205</v>
          </cell>
          <cell r="C140" t="str">
            <v>Durham Technical Institute</v>
          </cell>
          <cell r="D140">
            <v>18323399.654876031</v>
          </cell>
          <cell r="E140">
            <v>19445137.126165729</v>
          </cell>
          <cell r="F140">
            <v>190436540.39355904</v>
          </cell>
          <cell r="G140">
            <v>168660273.256717</v>
          </cell>
          <cell r="H140">
            <v>1025837.1900000001</v>
          </cell>
          <cell r="I140">
            <v>1128782.94</v>
          </cell>
          <cell r="J140">
            <v>2924884.4881003578</v>
          </cell>
          <cell r="K140">
            <v>3043615.1306788921</v>
          </cell>
          <cell r="L140">
            <v>1025837.1900000001</v>
          </cell>
          <cell r="M140">
            <v>1128782.94</v>
          </cell>
          <cell r="N140">
            <v>0</v>
          </cell>
          <cell r="O140">
            <v>0</v>
          </cell>
          <cell r="P140">
            <v>0</v>
          </cell>
          <cell r="Q140">
            <v>0</v>
          </cell>
          <cell r="R140">
            <v>0</v>
          </cell>
          <cell r="T140">
            <v>0</v>
          </cell>
        </row>
        <row r="141">
          <cell r="B141">
            <v>33206</v>
          </cell>
          <cell r="C141" t="str">
            <v>Bear Grass Charter School</v>
          </cell>
          <cell r="D141">
            <v>1290150.2741229129</v>
          </cell>
          <cell r="E141">
            <v>1560793.3428338699</v>
          </cell>
          <cell r="F141">
            <v>15561724.852200005</v>
          </cell>
          <cell r="G141">
            <v>15787374.455390988</v>
          </cell>
          <cell r="H141">
            <v>72229.179999999993</v>
          </cell>
          <cell r="I141">
            <v>90603.470000000016</v>
          </cell>
          <cell r="J141">
            <v>205941.06962549154</v>
          </cell>
          <cell r="K141">
            <v>244300.37203079197</v>
          </cell>
          <cell r="L141">
            <v>72229.179999999993</v>
          </cell>
          <cell r="M141">
            <v>90603.470000000016</v>
          </cell>
          <cell r="N141">
            <v>0</v>
          </cell>
          <cell r="O141">
            <v>0</v>
          </cell>
          <cell r="P141">
            <v>0</v>
          </cell>
          <cell r="Q141">
            <v>0</v>
          </cell>
          <cell r="R141">
            <v>0</v>
          </cell>
          <cell r="T141">
            <v>0</v>
          </cell>
        </row>
        <row r="142">
          <cell r="B142">
            <v>33207</v>
          </cell>
          <cell r="C142" t="str">
            <v>Invest Collegiate Charter (Buncombe)</v>
          </cell>
          <cell r="D142">
            <v>2460409.1641895673</v>
          </cell>
          <cell r="E142">
            <v>3117563.920740318</v>
          </cell>
          <cell r="F142">
            <v>31930114.221099988</v>
          </cell>
          <cell r="G142">
            <v>45271507.553263955</v>
          </cell>
          <cell r="H142">
            <v>137746.23000000001</v>
          </cell>
          <cell r="I142">
            <v>180973.41999999998</v>
          </cell>
          <cell r="J142">
            <v>392744.3997436905</v>
          </cell>
          <cell r="K142">
            <v>487971.08801334823</v>
          </cell>
          <cell r="L142">
            <v>137746.23000000001</v>
          </cell>
          <cell r="M142">
            <v>180973.41999999998</v>
          </cell>
          <cell r="N142">
            <v>0</v>
          </cell>
          <cell r="O142">
            <v>0</v>
          </cell>
          <cell r="P142">
            <v>0</v>
          </cell>
          <cell r="Q142">
            <v>0</v>
          </cell>
          <cell r="R142">
            <v>0</v>
          </cell>
          <cell r="T142">
            <v>0</v>
          </cell>
        </row>
        <row r="143">
          <cell r="B143">
            <v>33208</v>
          </cell>
          <cell r="C143" t="str">
            <v>Kipp Halifax College Prep Charter</v>
          </cell>
          <cell r="D143">
            <v>503470.29346250289</v>
          </cell>
          <cell r="E143">
            <v>108589.67441262626</v>
          </cell>
          <cell r="F143">
            <v>5103787.2952999994</v>
          </cell>
          <cell r="G143">
            <v>4275285.6743969955</v>
          </cell>
          <cell r="H143">
            <v>28186.83</v>
          </cell>
          <cell r="I143">
            <v>6303.59</v>
          </cell>
          <cell r="J143">
            <v>80366.770321245436</v>
          </cell>
          <cell r="K143">
            <v>16996.803567562918</v>
          </cell>
          <cell r="L143">
            <v>28186.83</v>
          </cell>
          <cell r="M143">
            <v>6303.59</v>
          </cell>
          <cell r="N143">
            <v>0</v>
          </cell>
          <cell r="O143">
            <v>0</v>
          </cell>
          <cell r="P143">
            <v>0</v>
          </cell>
          <cell r="Q143">
            <v>0</v>
          </cell>
          <cell r="R143">
            <v>0</v>
          </cell>
          <cell r="T143">
            <v>0</v>
          </cell>
        </row>
        <row r="144">
          <cell r="B144">
            <v>33209</v>
          </cell>
          <cell r="C144" t="str">
            <v>Pioneer Springs Community Charter</v>
          </cell>
          <cell r="D144">
            <v>805377.2800405724</v>
          </cell>
          <cell r="E144">
            <v>976251.59349274274</v>
          </cell>
          <cell r="F144">
            <v>11768698.4888</v>
          </cell>
          <cell r="G144">
            <v>11706423.65120499</v>
          </cell>
          <cell r="H144">
            <v>45089.120000000003</v>
          </cell>
          <cell r="I144">
            <v>56671.039999999994</v>
          </cell>
          <cell r="J144">
            <v>128558.86777715245</v>
          </cell>
          <cell r="K144">
            <v>152806.02559010033</v>
          </cell>
          <cell r="L144">
            <v>45089.120000000003</v>
          </cell>
          <cell r="M144">
            <v>56671.039999999994</v>
          </cell>
          <cell r="N144">
            <v>0</v>
          </cell>
          <cell r="O144">
            <v>0</v>
          </cell>
          <cell r="P144">
            <v>0</v>
          </cell>
          <cell r="Q144">
            <v>0</v>
          </cell>
          <cell r="R144">
            <v>0</v>
          </cell>
          <cell r="T144">
            <v>0</v>
          </cell>
        </row>
        <row r="145">
          <cell r="B145">
            <v>33300</v>
          </cell>
          <cell r="C145" t="str">
            <v>Edgecombe County Schools</v>
          </cell>
          <cell r="D145">
            <v>30800289.347522162</v>
          </cell>
          <cell r="E145">
            <v>32647574.958123442</v>
          </cell>
          <cell r="F145">
            <v>340240809.52600038</v>
          </cell>
          <cell r="G145">
            <v>322746365.81789714</v>
          </cell>
          <cell r="H145">
            <v>1724356.99</v>
          </cell>
          <cell r="I145">
            <v>1895179.5200000003</v>
          </cell>
          <cell r="J145">
            <v>4916516.0526091121</v>
          </cell>
          <cell r="K145">
            <v>5110102.9773047073</v>
          </cell>
          <cell r="L145">
            <v>1724356.99</v>
          </cell>
          <cell r="M145">
            <v>1895179.5200000003</v>
          </cell>
          <cell r="N145">
            <v>0</v>
          </cell>
          <cell r="O145">
            <v>0</v>
          </cell>
          <cell r="P145">
            <v>0</v>
          </cell>
          <cell r="Q145">
            <v>0</v>
          </cell>
          <cell r="R145">
            <v>0</v>
          </cell>
          <cell r="T145">
            <v>0</v>
          </cell>
        </row>
        <row r="146">
          <cell r="B146">
            <v>33305</v>
          </cell>
          <cell r="C146" t="str">
            <v>Edgecombe Technical College</v>
          </cell>
          <cell r="D146">
            <v>9890252.8145646062</v>
          </cell>
          <cell r="E146">
            <v>9585865.7015729751</v>
          </cell>
          <cell r="F146">
            <v>86758747.13913925</v>
          </cell>
          <cell r="G146">
            <v>77126323.471766964</v>
          </cell>
          <cell r="H146">
            <v>553706.70000000007</v>
          </cell>
          <cell r="I146">
            <v>556455.91999999993</v>
          </cell>
          <cell r="J146">
            <v>1578737.9845209538</v>
          </cell>
          <cell r="K146">
            <v>1500410.3957026873</v>
          </cell>
          <cell r="L146">
            <v>553706.70000000007</v>
          </cell>
          <cell r="M146">
            <v>556455.91999999993</v>
          </cell>
          <cell r="N146">
            <v>0</v>
          </cell>
          <cell r="O146">
            <v>0</v>
          </cell>
          <cell r="P146">
            <v>0</v>
          </cell>
          <cell r="Q146">
            <v>0</v>
          </cell>
          <cell r="R146">
            <v>0</v>
          </cell>
          <cell r="T146">
            <v>0</v>
          </cell>
        </row>
        <row r="147">
          <cell r="B147">
            <v>33400</v>
          </cell>
          <cell r="C147" t="str">
            <v>Winston-Salem-Forsyth County Schools</v>
          </cell>
          <cell r="D147">
            <v>280678233.04733789</v>
          </cell>
          <cell r="E147">
            <v>291930084.01741481</v>
          </cell>
          <cell r="F147">
            <v>3025967618.994173</v>
          </cell>
          <cell r="G147">
            <v>2915868505.9297028</v>
          </cell>
          <cell r="H147">
            <v>15713796.310000002</v>
          </cell>
          <cell r="I147">
            <v>16946432.229999997</v>
          </cell>
          <cell r="J147">
            <v>44803443.981483698</v>
          </cell>
          <cell r="K147">
            <v>45693831.576026857</v>
          </cell>
          <cell r="L147">
            <v>15713796.310000002</v>
          </cell>
          <cell r="M147">
            <v>16946432.229999997</v>
          </cell>
          <cell r="N147">
            <v>0</v>
          </cell>
          <cell r="O147">
            <v>0</v>
          </cell>
          <cell r="P147">
            <v>0</v>
          </cell>
          <cell r="Q147">
            <v>0</v>
          </cell>
          <cell r="R147">
            <v>0</v>
          </cell>
          <cell r="T147">
            <v>0</v>
          </cell>
        </row>
        <row r="148">
          <cell r="B148">
            <v>33402</v>
          </cell>
          <cell r="C148" t="str">
            <v>Arts Based Elementary Charter</v>
          </cell>
          <cell r="D148">
            <v>1848554.4788531268</v>
          </cell>
          <cell r="E148">
            <v>2090917.8596928637</v>
          </cell>
          <cell r="F148">
            <v>23937073.506199997</v>
          </cell>
          <cell r="G148">
            <v>23669586.921950992</v>
          </cell>
          <cell r="H148">
            <v>103491.48999999999</v>
          </cell>
          <cell r="I148">
            <v>121377</v>
          </cell>
          <cell r="J148">
            <v>295076.70096401288</v>
          </cell>
          <cell r="K148">
            <v>327277.15898719366</v>
          </cell>
          <cell r="L148">
            <v>103491.48999999999</v>
          </cell>
          <cell r="M148">
            <v>121377</v>
          </cell>
          <cell r="N148">
            <v>0</v>
          </cell>
          <cell r="O148">
            <v>0</v>
          </cell>
          <cell r="P148">
            <v>0</v>
          </cell>
          <cell r="Q148">
            <v>0</v>
          </cell>
          <cell r="R148">
            <v>0</v>
          </cell>
          <cell r="T148">
            <v>0</v>
          </cell>
        </row>
        <row r="149">
          <cell r="B149">
            <v>33405</v>
          </cell>
          <cell r="C149" t="str">
            <v>Forsyth Technical Institute</v>
          </cell>
          <cell r="D149">
            <v>29990558.944224395</v>
          </cell>
          <cell r="E149">
            <v>30395564.071218222</v>
          </cell>
          <cell r="F149">
            <v>304144971.65534997</v>
          </cell>
          <cell r="G149">
            <v>260220059.54016963</v>
          </cell>
          <cell r="H149">
            <v>1679024.1600000001</v>
          </cell>
          <cell r="I149">
            <v>1764451.13</v>
          </cell>
          <cell r="J149">
            <v>4787262.3147243606</v>
          </cell>
          <cell r="K149">
            <v>4757611.0218422227</v>
          </cell>
          <cell r="L149">
            <v>1679024.1600000001</v>
          </cell>
          <cell r="M149">
            <v>1764451.13</v>
          </cell>
          <cell r="N149">
            <v>0</v>
          </cell>
          <cell r="O149">
            <v>0</v>
          </cell>
          <cell r="P149">
            <v>0</v>
          </cell>
          <cell r="Q149">
            <v>0</v>
          </cell>
          <cell r="R149">
            <v>0</v>
          </cell>
          <cell r="T149">
            <v>0</v>
          </cell>
        </row>
        <row r="150">
          <cell r="B150">
            <v>33500</v>
          </cell>
          <cell r="C150" t="str">
            <v>Franklin County Schools</v>
          </cell>
          <cell r="D150">
            <v>45161915.652118869</v>
          </cell>
          <cell r="E150">
            <v>43536664.901750259</v>
          </cell>
          <cell r="F150">
            <v>505844242.20540476</v>
          </cell>
          <cell r="G150">
            <v>465280608.86116701</v>
          </cell>
          <cell r="H150">
            <v>2528393.9399999995</v>
          </cell>
          <cell r="I150">
            <v>2527287.12</v>
          </cell>
          <cell r="J150">
            <v>7208999.914414241</v>
          </cell>
          <cell r="K150">
            <v>6814498.2045900524</v>
          </cell>
          <cell r="L150">
            <v>2528393.9399999995</v>
          </cell>
          <cell r="M150">
            <v>2527287.12</v>
          </cell>
          <cell r="N150">
            <v>0</v>
          </cell>
          <cell r="O150">
            <v>0</v>
          </cell>
          <cell r="P150">
            <v>0</v>
          </cell>
          <cell r="Q150">
            <v>0</v>
          </cell>
          <cell r="R150">
            <v>0</v>
          </cell>
          <cell r="T150">
            <v>0</v>
          </cell>
        </row>
        <row r="151">
          <cell r="B151">
            <v>33501</v>
          </cell>
          <cell r="C151" t="str">
            <v>A Childs Garden Charter (AKA Cross Creek Charter)</v>
          </cell>
          <cell r="D151">
            <v>876324.9190739789</v>
          </cell>
          <cell r="E151">
            <v>963909.3951375722</v>
          </cell>
          <cell r="F151">
            <v>10504364.202400001</v>
          </cell>
          <cell r="G151">
            <v>11280829.795048993</v>
          </cell>
          <cell r="H151">
            <v>49061.13</v>
          </cell>
          <cell r="I151">
            <v>55954.58</v>
          </cell>
          <cell r="J151">
            <v>139883.93041753059</v>
          </cell>
          <cell r="K151">
            <v>150874.18518106104</v>
          </cell>
          <cell r="L151">
            <v>49061.13</v>
          </cell>
          <cell r="M151">
            <v>55954.58</v>
          </cell>
          <cell r="N151">
            <v>0</v>
          </cell>
          <cell r="O151">
            <v>0</v>
          </cell>
          <cell r="P151">
            <v>0</v>
          </cell>
          <cell r="Q151">
            <v>0</v>
          </cell>
          <cell r="R151">
            <v>0</v>
          </cell>
          <cell r="T151">
            <v>0</v>
          </cell>
        </row>
        <row r="152">
          <cell r="B152">
            <v>33600</v>
          </cell>
          <cell r="C152" t="str">
            <v>Gaston County Schools</v>
          </cell>
          <cell r="D152">
            <v>143891164.44974682</v>
          </cell>
          <cell r="E152">
            <v>150274442.4601185</v>
          </cell>
          <cell r="F152">
            <v>1603241985.7174375</v>
          </cell>
          <cell r="G152">
            <v>1559941536.8607745</v>
          </cell>
          <cell r="H152">
            <v>8055759.8799999999</v>
          </cell>
          <cell r="I152">
            <v>8723375.1999999993</v>
          </cell>
          <cell r="J152">
            <v>22968719.931935009</v>
          </cell>
          <cell r="K152">
            <v>23521436.946335319</v>
          </cell>
          <cell r="L152">
            <v>8055759.8799999999</v>
          </cell>
          <cell r="M152">
            <v>8723375.1999999993</v>
          </cell>
          <cell r="N152">
            <v>0</v>
          </cell>
          <cell r="O152">
            <v>0</v>
          </cell>
          <cell r="P152">
            <v>0</v>
          </cell>
          <cell r="Q152">
            <v>0</v>
          </cell>
          <cell r="R152">
            <v>0</v>
          </cell>
          <cell r="T152">
            <v>0</v>
          </cell>
        </row>
        <row r="153">
          <cell r="B153">
            <v>33605</v>
          </cell>
          <cell r="C153" t="str">
            <v>Gaston College</v>
          </cell>
          <cell r="D153">
            <v>22843715.10374115</v>
          </cell>
          <cell r="E153">
            <v>23070239.371783033</v>
          </cell>
          <cell r="F153">
            <v>213443448.58930016</v>
          </cell>
          <cell r="G153">
            <v>190110180.63348976</v>
          </cell>
          <cell r="H153">
            <v>1278907.46</v>
          </cell>
          <cell r="I153">
            <v>1339218.77</v>
          </cell>
          <cell r="J153">
            <v>3646442.7571297437</v>
          </cell>
          <cell r="K153">
            <v>3611027.7425535643</v>
          </cell>
          <cell r="L153">
            <v>1278907.46</v>
          </cell>
          <cell r="M153">
            <v>1339218.77</v>
          </cell>
          <cell r="N153">
            <v>0</v>
          </cell>
          <cell r="O153">
            <v>0</v>
          </cell>
          <cell r="P153">
            <v>0</v>
          </cell>
          <cell r="Q153">
            <v>0</v>
          </cell>
          <cell r="R153">
            <v>0</v>
          </cell>
          <cell r="T153">
            <v>0</v>
          </cell>
        </row>
        <row r="154">
          <cell r="B154">
            <v>33700</v>
          </cell>
          <cell r="C154" t="str">
            <v>Gates County Schools</v>
          </cell>
          <cell r="D154">
            <v>10392053.913622342</v>
          </cell>
          <cell r="E154">
            <v>10855670.090137418</v>
          </cell>
          <cell r="F154">
            <v>113746970.07750002</v>
          </cell>
          <cell r="G154">
            <v>105196586.12824695</v>
          </cell>
          <cell r="H154">
            <v>581800.07999999996</v>
          </cell>
          <cell r="I154">
            <v>630167.58999999985</v>
          </cell>
          <cell r="J154">
            <v>1658838.3086087445</v>
          </cell>
          <cell r="K154">
            <v>1699164.2447993162</v>
          </cell>
          <cell r="L154">
            <v>581800.07999999996</v>
          </cell>
          <cell r="M154">
            <v>630167.58999999985</v>
          </cell>
          <cell r="N154">
            <v>0</v>
          </cell>
          <cell r="O154">
            <v>0</v>
          </cell>
          <cell r="P154">
            <v>0</v>
          </cell>
          <cell r="Q154">
            <v>0</v>
          </cell>
          <cell r="R154">
            <v>0</v>
          </cell>
          <cell r="T154">
            <v>0</v>
          </cell>
        </row>
        <row r="155">
          <cell r="B155">
            <v>33800</v>
          </cell>
          <cell r="C155" t="str">
            <v>Graham County Schools</v>
          </cell>
          <cell r="D155">
            <v>8002533.9800584391</v>
          </cell>
          <cell r="E155">
            <v>8204856.9792062007</v>
          </cell>
          <cell r="F155">
            <v>86004421.076900065</v>
          </cell>
          <cell r="G155">
            <v>82353330.23572892</v>
          </cell>
          <cell r="H155">
            <v>448022.58999999997</v>
          </cell>
          <cell r="I155">
            <v>476288.88</v>
          </cell>
          <cell r="J155">
            <v>1277409.648025674</v>
          </cell>
          <cell r="K155">
            <v>1284250.488178093</v>
          </cell>
          <cell r="L155">
            <v>448022.58999999997</v>
          </cell>
          <cell r="M155">
            <v>476288.88</v>
          </cell>
          <cell r="N155">
            <v>0</v>
          </cell>
          <cell r="O155">
            <v>0</v>
          </cell>
          <cell r="P155">
            <v>0</v>
          </cell>
          <cell r="Q155">
            <v>0</v>
          </cell>
          <cell r="R155">
            <v>0</v>
          </cell>
          <cell r="T155">
            <v>0</v>
          </cell>
        </row>
        <row r="156">
          <cell r="B156">
            <v>33900</v>
          </cell>
          <cell r="C156" t="str">
            <v>Granville County Schools And Oxford Orphanage</v>
          </cell>
          <cell r="D156">
            <v>41465807.49657955</v>
          </cell>
          <cell r="E156">
            <v>42350134.262272827</v>
          </cell>
          <cell r="F156">
            <v>448699530.14413673</v>
          </cell>
          <cell r="G156">
            <v>413739515.22898686</v>
          </cell>
          <cell r="H156">
            <v>2321466.9900000002</v>
          </cell>
          <cell r="I156">
            <v>2458409.4600000004</v>
          </cell>
          <cell r="J156">
            <v>6619006.2661776086</v>
          </cell>
          <cell r="K156">
            <v>6628778.6293617496</v>
          </cell>
          <cell r="L156">
            <v>2321466.9900000002</v>
          </cell>
          <cell r="M156">
            <v>2458409.4600000004</v>
          </cell>
          <cell r="N156">
            <v>0</v>
          </cell>
          <cell r="O156">
            <v>0</v>
          </cell>
          <cell r="P156">
            <v>0</v>
          </cell>
          <cell r="Q156">
            <v>0</v>
          </cell>
          <cell r="R156">
            <v>0</v>
          </cell>
          <cell r="T156">
            <v>0</v>
          </cell>
        </row>
        <row r="157">
          <cell r="B157">
            <v>34000</v>
          </cell>
          <cell r="C157" t="str">
            <v>Greene County Schools</v>
          </cell>
          <cell r="D157">
            <v>17178016.137605488</v>
          </cell>
          <cell r="E157">
            <v>17840327.995964393</v>
          </cell>
          <cell r="F157">
            <v>195735824.92934257</v>
          </cell>
          <cell r="G157">
            <v>187350601.19865555</v>
          </cell>
          <cell r="H157">
            <v>961712.79</v>
          </cell>
          <cell r="I157">
            <v>1035624.3699999999</v>
          </cell>
          <cell r="J157">
            <v>2742051.905408808</v>
          </cell>
          <cell r="K157">
            <v>2792425.266660918</v>
          </cell>
          <cell r="L157">
            <v>961712.79</v>
          </cell>
          <cell r="M157">
            <v>1035624.3699999999</v>
          </cell>
          <cell r="N157">
            <v>0</v>
          </cell>
          <cell r="O157">
            <v>0</v>
          </cell>
          <cell r="P157">
            <v>0</v>
          </cell>
          <cell r="Q157">
            <v>0</v>
          </cell>
          <cell r="R157">
            <v>0</v>
          </cell>
          <cell r="T157">
            <v>0</v>
          </cell>
        </row>
        <row r="158">
          <cell r="B158">
            <v>34100</v>
          </cell>
          <cell r="C158" t="str">
            <v>Guilford County Schools</v>
          </cell>
          <cell r="D158">
            <v>386871141.28413934</v>
          </cell>
          <cell r="E158">
            <v>398819292.00846201</v>
          </cell>
          <cell r="F158">
            <v>4441086748.0954542</v>
          </cell>
          <cell r="G158">
            <v>4180586492.0614166</v>
          </cell>
          <cell r="H158">
            <v>21659015.900000002</v>
          </cell>
          <cell r="I158">
            <v>23151310.789999999</v>
          </cell>
          <cell r="J158">
            <v>61754555.450879119</v>
          </cell>
          <cell r="K158">
            <v>62424472.694009252</v>
          </cell>
          <cell r="L158">
            <v>21659015.900000002</v>
          </cell>
          <cell r="M158">
            <v>23151310.789999999</v>
          </cell>
          <cell r="N158">
            <v>0</v>
          </cell>
          <cell r="O158">
            <v>0</v>
          </cell>
          <cell r="P158">
            <v>0</v>
          </cell>
          <cell r="Q158">
            <v>0</v>
          </cell>
          <cell r="R158">
            <v>0</v>
          </cell>
          <cell r="T158">
            <v>0</v>
          </cell>
        </row>
        <row r="159">
          <cell r="B159">
            <v>34105</v>
          </cell>
          <cell r="C159" t="str">
            <v>Guilford Technical Community College</v>
          </cell>
          <cell r="D159">
            <v>36311314.63348113</v>
          </cell>
          <cell r="E159">
            <v>38706318.028769024</v>
          </cell>
          <cell r="F159">
            <v>372585535.59367543</v>
          </cell>
          <cell r="G159">
            <v>331042129.71413642</v>
          </cell>
          <cell r="H159">
            <v>2032892.2400000002</v>
          </cell>
          <cell r="I159">
            <v>2246887.29</v>
          </cell>
          <cell r="J159">
            <v>5796217.0183707122</v>
          </cell>
          <cell r="K159">
            <v>6058436.8441766948</v>
          </cell>
          <cell r="L159">
            <v>2032892.2400000002</v>
          </cell>
          <cell r="M159">
            <v>2246887.29</v>
          </cell>
          <cell r="N159">
            <v>0</v>
          </cell>
          <cell r="O159">
            <v>0</v>
          </cell>
          <cell r="P159">
            <v>0</v>
          </cell>
          <cell r="Q159">
            <v>0</v>
          </cell>
          <cell r="R159">
            <v>0</v>
          </cell>
          <cell r="T159">
            <v>0</v>
          </cell>
        </row>
        <row r="160">
          <cell r="B160">
            <v>34200</v>
          </cell>
          <cell r="C160" t="str">
            <v>Halifax County Schools</v>
          </cell>
          <cell r="D160">
            <v>15988799.343061125</v>
          </cell>
          <cell r="E160">
            <v>14882400.590040855</v>
          </cell>
          <cell r="F160">
            <v>170585589.21027422</v>
          </cell>
          <cell r="G160">
            <v>136988910.3581019</v>
          </cell>
          <cell r="H160">
            <v>895134.38</v>
          </cell>
          <cell r="I160">
            <v>863917.79</v>
          </cell>
          <cell r="J160">
            <v>2552222.4075609222</v>
          </cell>
          <cell r="K160">
            <v>2329440.9971386259</v>
          </cell>
          <cell r="L160">
            <v>895134.38</v>
          </cell>
          <cell r="M160">
            <v>863917.79</v>
          </cell>
          <cell r="N160">
            <v>0</v>
          </cell>
          <cell r="O160">
            <v>0</v>
          </cell>
          <cell r="P160">
            <v>0</v>
          </cell>
          <cell r="Q160">
            <v>0</v>
          </cell>
          <cell r="R160">
            <v>0</v>
          </cell>
          <cell r="T160">
            <v>0</v>
          </cell>
        </row>
        <row r="161">
          <cell r="B161">
            <v>34205</v>
          </cell>
          <cell r="C161" t="str">
            <v>Halifax Community College</v>
          </cell>
          <cell r="D161">
            <v>7112787.451913463</v>
          </cell>
          <cell r="E161">
            <v>7305974.8762734719</v>
          </cell>
          <cell r="F161">
            <v>69599223.944643199</v>
          </cell>
          <cell r="G161">
            <v>59354323.899003968</v>
          </cell>
          <cell r="H161">
            <v>398210.05</v>
          </cell>
          <cell r="I161">
            <v>424109.11</v>
          </cell>
          <cell r="J161">
            <v>1135383.2846035422</v>
          </cell>
          <cell r="K161">
            <v>1143554.5830049119</v>
          </cell>
          <cell r="L161">
            <v>398210.05</v>
          </cell>
          <cell r="M161">
            <v>424109.11</v>
          </cell>
          <cell r="N161">
            <v>0</v>
          </cell>
          <cell r="O161">
            <v>0</v>
          </cell>
          <cell r="P161">
            <v>0</v>
          </cell>
          <cell r="Q161">
            <v>0</v>
          </cell>
          <cell r="R161">
            <v>0</v>
          </cell>
          <cell r="T161">
            <v>0</v>
          </cell>
        </row>
        <row r="162">
          <cell r="B162">
            <v>34220</v>
          </cell>
          <cell r="C162" t="str">
            <v>Roanoke Rapids City Schools</v>
          </cell>
          <cell r="D162">
            <v>15646905.817647012</v>
          </cell>
          <cell r="E162">
            <v>16235554.18037466</v>
          </cell>
          <cell r="F162">
            <v>155206534.69359991</v>
          </cell>
          <cell r="G162">
            <v>154400988.96162388</v>
          </cell>
          <cell r="H162">
            <v>875993.44</v>
          </cell>
          <cell r="I162">
            <v>942467.85000000009</v>
          </cell>
          <cell r="J162">
            <v>2497647.4330528718</v>
          </cell>
          <cell r="K162">
            <v>2541240.9301990382</v>
          </cell>
          <cell r="L162">
            <v>875993.44</v>
          </cell>
          <cell r="M162">
            <v>942467.85000000009</v>
          </cell>
          <cell r="N162">
            <v>0</v>
          </cell>
          <cell r="O162">
            <v>0</v>
          </cell>
          <cell r="P162">
            <v>0</v>
          </cell>
          <cell r="Q162">
            <v>0</v>
          </cell>
          <cell r="R162">
            <v>0</v>
          </cell>
          <cell r="T162">
            <v>0</v>
          </cell>
        </row>
        <row r="163">
          <cell r="B163">
            <v>34230</v>
          </cell>
          <cell r="C163" t="str">
            <v>Weldon City Schools</v>
          </cell>
          <cell r="D163">
            <v>6848388.1299125412</v>
          </cell>
          <cell r="E163">
            <v>6323248.1334105739</v>
          </cell>
          <cell r="F163">
            <v>73076508.394220456</v>
          </cell>
          <cell r="G163">
            <v>64704790.844051942</v>
          </cell>
          <cell r="H163">
            <v>383407.63</v>
          </cell>
          <cell r="I163">
            <v>367062.19</v>
          </cell>
          <cell r="J163">
            <v>1093178.3722973831</v>
          </cell>
          <cell r="K163">
            <v>989735.04630051402</v>
          </cell>
          <cell r="L163">
            <v>383407.63</v>
          </cell>
          <cell r="M163">
            <v>367062.19</v>
          </cell>
          <cell r="N163">
            <v>0</v>
          </cell>
          <cell r="O163">
            <v>0</v>
          </cell>
          <cell r="P163">
            <v>0</v>
          </cell>
          <cell r="Q163">
            <v>0</v>
          </cell>
          <cell r="R163">
            <v>0</v>
          </cell>
          <cell r="T163">
            <v>0</v>
          </cell>
        </row>
        <row r="164">
          <cell r="B164">
            <v>34300</v>
          </cell>
          <cell r="C164" t="str">
            <v>Harnett County Schools</v>
          </cell>
          <cell r="D164">
            <v>91913607.24327606</v>
          </cell>
          <cell r="E164">
            <v>95882723.837403089</v>
          </cell>
          <cell r="F164">
            <v>1049072210.1307783</v>
          </cell>
          <cell r="G164">
            <v>1016262087.5973247</v>
          </cell>
          <cell r="H164">
            <v>5145791.63</v>
          </cell>
          <cell r="I164">
            <v>5565956.2700000005</v>
          </cell>
          <cell r="J164">
            <v>14671768.838468079</v>
          </cell>
          <cell r="K164">
            <v>15007870.973022547</v>
          </cell>
          <cell r="L164">
            <v>5145791.63</v>
          </cell>
          <cell r="M164">
            <v>5565956.2700000005</v>
          </cell>
          <cell r="N164">
            <v>0</v>
          </cell>
          <cell r="O164">
            <v>0</v>
          </cell>
          <cell r="P164">
            <v>0</v>
          </cell>
          <cell r="Q164">
            <v>0</v>
          </cell>
          <cell r="R164">
            <v>0</v>
          </cell>
          <cell r="T164">
            <v>0</v>
          </cell>
        </row>
        <row r="165">
          <cell r="B165">
            <v>34400</v>
          </cell>
          <cell r="C165" t="str">
            <v>Haywood County Schools</v>
          </cell>
          <cell r="D165">
            <v>39313894.573284991</v>
          </cell>
          <cell r="E165">
            <v>38870981.449347503</v>
          </cell>
          <cell r="F165">
            <v>445321897.43584991</v>
          </cell>
          <cell r="G165">
            <v>406606608.03910601</v>
          </cell>
          <cell r="H165">
            <v>2200991.9500000002</v>
          </cell>
          <cell r="I165">
            <v>2256445.94</v>
          </cell>
          <cell r="J165">
            <v>6275505.7778600901</v>
          </cell>
          <cell r="K165">
            <v>6084210.4900548514</v>
          </cell>
          <cell r="L165">
            <v>2200991.9500000002</v>
          </cell>
          <cell r="M165">
            <v>2256445.94</v>
          </cell>
          <cell r="N165">
            <v>0</v>
          </cell>
          <cell r="O165">
            <v>0</v>
          </cell>
          <cell r="P165">
            <v>0</v>
          </cell>
          <cell r="Q165">
            <v>0</v>
          </cell>
          <cell r="R165">
            <v>0</v>
          </cell>
          <cell r="T165">
            <v>0</v>
          </cell>
        </row>
        <row r="166">
          <cell r="B166">
            <v>34405</v>
          </cell>
          <cell r="C166" t="str">
            <v>Haywood Technical College</v>
          </cell>
          <cell r="D166">
            <v>8410829.2913651001</v>
          </cell>
          <cell r="E166">
            <v>8235194.4700351711</v>
          </cell>
          <cell r="F166">
            <v>93311472.113350034</v>
          </cell>
          <cell r="G166">
            <v>77137379.781757936</v>
          </cell>
          <cell r="H166">
            <v>470881.04</v>
          </cell>
          <cell r="I166">
            <v>478049.96</v>
          </cell>
          <cell r="J166">
            <v>1342584.0504345179</v>
          </cell>
          <cell r="K166">
            <v>1288999.009390095</v>
          </cell>
          <cell r="L166">
            <v>470881.04</v>
          </cell>
          <cell r="M166">
            <v>478049.96</v>
          </cell>
          <cell r="N166">
            <v>0</v>
          </cell>
          <cell r="O166">
            <v>0</v>
          </cell>
          <cell r="P166">
            <v>0</v>
          </cell>
          <cell r="Q166">
            <v>0</v>
          </cell>
          <cell r="R166">
            <v>0</v>
          </cell>
          <cell r="T166">
            <v>0</v>
          </cell>
        </row>
        <row r="167">
          <cell r="B167">
            <v>34500</v>
          </cell>
          <cell r="C167" t="str">
            <v>Henderson County Schools</v>
          </cell>
          <cell r="D167">
            <v>68242639.035295248</v>
          </cell>
          <cell r="E167">
            <v>70291720.08204098</v>
          </cell>
          <cell r="F167">
            <v>765261550.13365066</v>
          </cell>
          <cell r="G167">
            <v>717772499.55105674</v>
          </cell>
          <cell r="H167">
            <v>3820570.3299999996</v>
          </cell>
          <cell r="I167">
            <v>4080408.07</v>
          </cell>
          <cell r="J167">
            <v>10893275.271013975</v>
          </cell>
          <cell r="K167">
            <v>11002285.117098117</v>
          </cell>
          <cell r="L167">
            <v>3820570.3299999996</v>
          </cell>
          <cell r="M167">
            <v>4080408.07</v>
          </cell>
          <cell r="N167">
            <v>0</v>
          </cell>
          <cell r="O167">
            <v>0</v>
          </cell>
          <cell r="P167">
            <v>0</v>
          </cell>
          <cell r="Q167">
            <v>0</v>
          </cell>
          <cell r="R167">
            <v>0</v>
          </cell>
          <cell r="T167">
            <v>0</v>
          </cell>
        </row>
        <row r="168">
          <cell r="B168">
            <v>34501</v>
          </cell>
          <cell r="C168" t="str">
            <v>Mountain Community School</v>
          </cell>
          <cell r="D168">
            <v>781480.91789534793</v>
          </cell>
          <cell r="E168">
            <v>806386.4167585508</v>
          </cell>
          <cell r="F168">
            <v>8785160.5747999996</v>
          </cell>
          <cell r="G168">
            <v>8831287.6967719961</v>
          </cell>
          <cell r="H168">
            <v>43751.279999999992</v>
          </cell>
          <cell r="I168">
            <v>46810.430000000008</v>
          </cell>
          <cell r="J168">
            <v>124744.39555709167</v>
          </cell>
          <cell r="K168">
            <v>126218.18418126089</v>
          </cell>
          <cell r="L168">
            <v>43751.279999999992</v>
          </cell>
          <cell r="M168">
            <v>46810.430000000008</v>
          </cell>
          <cell r="N168">
            <v>0</v>
          </cell>
          <cell r="O168">
            <v>0</v>
          </cell>
          <cell r="P168">
            <v>0</v>
          </cell>
          <cell r="Q168">
            <v>0</v>
          </cell>
          <cell r="R168">
            <v>0</v>
          </cell>
          <cell r="T168">
            <v>0</v>
          </cell>
        </row>
        <row r="169">
          <cell r="B169">
            <v>34505</v>
          </cell>
          <cell r="C169" t="str">
            <v>Blue Ridge Community College</v>
          </cell>
          <cell r="D169">
            <v>9830727.1450771708</v>
          </cell>
          <cell r="E169">
            <v>10358152.501635397</v>
          </cell>
          <cell r="F169">
            <v>94589426.762144983</v>
          </cell>
          <cell r="G169">
            <v>82253880.122821897</v>
          </cell>
          <cell r="H169">
            <v>550374.14999999991</v>
          </cell>
          <cell r="I169">
            <v>601286.88</v>
          </cell>
          <cell r="J169">
            <v>1569236.161136271</v>
          </cell>
          <cell r="K169">
            <v>1621291.1986840474</v>
          </cell>
          <cell r="L169">
            <v>550374.14999999991</v>
          </cell>
          <cell r="M169">
            <v>601286.88</v>
          </cell>
          <cell r="N169">
            <v>0</v>
          </cell>
          <cell r="O169">
            <v>0</v>
          </cell>
          <cell r="P169">
            <v>0</v>
          </cell>
          <cell r="Q169">
            <v>0</v>
          </cell>
          <cell r="R169">
            <v>0</v>
          </cell>
          <cell r="T169">
            <v>0</v>
          </cell>
        </row>
        <row r="170">
          <cell r="B170">
            <v>34600</v>
          </cell>
          <cell r="C170" t="str">
            <v>Hertford County Schools</v>
          </cell>
          <cell r="D170">
            <v>17315255.890475314</v>
          </cell>
          <cell r="E170">
            <v>17892398.960104994</v>
          </cell>
          <cell r="F170">
            <v>180240834.44930002</v>
          </cell>
          <cell r="G170">
            <v>166533862.66571891</v>
          </cell>
          <cell r="H170">
            <v>969396.17</v>
          </cell>
          <cell r="I170">
            <v>1038647.07</v>
          </cell>
          <cell r="J170">
            <v>2763958.8894772842</v>
          </cell>
          <cell r="K170">
            <v>2800575.5807111138</v>
          </cell>
          <cell r="L170">
            <v>969396.17</v>
          </cell>
          <cell r="M170">
            <v>1038647.07</v>
          </cell>
          <cell r="N170">
            <v>0</v>
          </cell>
          <cell r="O170">
            <v>0</v>
          </cell>
          <cell r="P170">
            <v>0</v>
          </cell>
          <cell r="Q170">
            <v>0</v>
          </cell>
          <cell r="R170">
            <v>0</v>
          </cell>
          <cell r="T170">
            <v>0</v>
          </cell>
        </row>
        <row r="171">
          <cell r="B171">
            <v>34605</v>
          </cell>
          <cell r="C171" t="str">
            <v>Roanoke-Chowan Community College</v>
          </cell>
          <cell r="D171">
            <v>4313480.3812891683</v>
          </cell>
          <cell r="E171">
            <v>3840075.3786826422</v>
          </cell>
          <cell r="F171">
            <v>42171665.991499998</v>
          </cell>
          <cell r="G171">
            <v>35567399.070505962</v>
          </cell>
          <cell r="H171">
            <v>241490.59</v>
          </cell>
          <cell r="I171">
            <v>222914.94</v>
          </cell>
          <cell r="J171">
            <v>688542.08796349389</v>
          </cell>
          <cell r="K171">
            <v>601060.89505425852</v>
          </cell>
          <cell r="L171">
            <v>241490.59</v>
          </cell>
          <cell r="M171">
            <v>222914.94</v>
          </cell>
          <cell r="N171">
            <v>0</v>
          </cell>
          <cell r="O171">
            <v>0</v>
          </cell>
          <cell r="P171">
            <v>0</v>
          </cell>
          <cell r="Q171">
            <v>0</v>
          </cell>
          <cell r="R171">
            <v>0</v>
          </cell>
          <cell r="T171">
            <v>0</v>
          </cell>
        </row>
        <row r="172">
          <cell r="B172">
            <v>34700</v>
          </cell>
          <cell r="C172" t="str">
            <v>Hoke County Schools</v>
          </cell>
          <cell r="D172">
            <v>40785144.849018112</v>
          </cell>
          <cell r="E172">
            <v>42599714.853375763</v>
          </cell>
          <cell r="F172">
            <v>502347260.23419255</v>
          </cell>
          <cell r="G172">
            <v>468833784.37033761</v>
          </cell>
          <cell r="H172">
            <v>2283360.0299999998</v>
          </cell>
          <cell r="I172">
            <v>2472897.52</v>
          </cell>
          <cell r="J172">
            <v>6510355.0520481393</v>
          </cell>
          <cell r="K172">
            <v>6667843.7826942252</v>
          </cell>
          <cell r="L172">
            <v>2283360.0299999998</v>
          </cell>
          <cell r="M172">
            <v>2472897.52</v>
          </cell>
          <cell r="N172">
            <v>0</v>
          </cell>
          <cell r="O172">
            <v>0</v>
          </cell>
          <cell r="P172">
            <v>0</v>
          </cell>
          <cell r="Q172">
            <v>0</v>
          </cell>
          <cell r="R172">
            <v>0</v>
          </cell>
          <cell r="T172">
            <v>0</v>
          </cell>
        </row>
        <row r="173">
          <cell r="B173">
            <v>34800</v>
          </cell>
          <cell r="C173" t="str">
            <v>Hyde County Schools</v>
          </cell>
          <cell r="D173">
            <v>5409229.4339260301</v>
          </cell>
          <cell r="E173">
            <v>5756147.8400734942</v>
          </cell>
          <cell r="F173">
            <v>51423047.80969999</v>
          </cell>
          <cell r="G173">
            <v>52054197.168440945</v>
          </cell>
          <cell r="H173">
            <v>302836.2</v>
          </cell>
          <cell r="I173">
            <v>334142.23</v>
          </cell>
          <cell r="J173">
            <v>863451.73722475173</v>
          </cell>
          <cell r="K173">
            <v>900970.69240503083</v>
          </cell>
          <cell r="L173">
            <v>302836.2</v>
          </cell>
          <cell r="M173">
            <v>334142.23</v>
          </cell>
          <cell r="N173">
            <v>0</v>
          </cell>
          <cell r="O173">
            <v>0</v>
          </cell>
          <cell r="P173">
            <v>0</v>
          </cell>
          <cell r="Q173">
            <v>0</v>
          </cell>
          <cell r="R173">
            <v>0</v>
          </cell>
          <cell r="T173">
            <v>0</v>
          </cell>
        </row>
        <row r="174">
          <cell r="B174">
            <v>34900</v>
          </cell>
          <cell r="C174" t="str">
            <v>Iredell County Schools</v>
          </cell>
          <cell r="D174">
            <v>98527978.604496136</v>
          </cell>
          <cell r="E174">
            <v>102778537.07109629</v>
          </cell>
          <cell r="F174">
            <v>1094443212.7282977</v>
          </cell>
          <cell r="G174">
            <v>1037451535.1020757</v>
          </cell>
          <cell r="H174">
            <v>5516097.8100000005</v>
          </cell>
          <cell r="I174">
            <v>5966255.6500000004</v>
          </cell>
          <cell r="J174">
            <v>15727592.133127244</v>
          </cell>
          <cell r="K174">
            <v>16087225.742301198</v>
          </cell>
          <cell r="L174">
            <v>5516097.8100000005</v>
          </cell>
          <cell r="M174">
            <v>5966255.6500000004</v>
          </cell>
          <cell r="N174">
            <v>0</v>
          </cell>
          <cell r="O174">
            <v>0</v>
          </cell>
          <cell r="P174">
            <v>0</v>
          </cell>
          <cell r="Q174">
            <v>0</v>
          </cell>
          <cell r="R174">
            <v>0</v>
          </cell>
          <cell r="T174">
            <v>0</v>
          </cell>
        </row>
        <row r="175">
          <cell r="B175">
            <v>34901</v>
          </cell>
          <cell r="C175" t="str">
            <v>American Renaissance Middle School</v>
          </cell>
          <cell r="D175">
            <v>2189675.1199237984</v>
          </cell>
          <cell r="E175">
            <v>2198106.8360228906</v>
          </cell>
          <cell r="F175">
            <v>27909201.869599998</v>
          </cell>
          <cell r="G175">
            <v>27170831.981139988</v>
          </cell>
          <cell r="H175">
            <v>122589.16000000002</v>
          </cell>
          <cell r="I175">
            <v>127599.28</v>
          </cell>
          <cell r="J175">
            <v>349528.30331024836</v>
          </cell>
          <cell r="K175">
            <v>344054.72080551868</v>
          </cell>
          <cell r="L175">
            <v>122589.16000000002</v>
          </cell>
          <cell r="M175">
            <v>127599.28</v>
          </cell>
          <cell r="N175">
            <v>0</v>
          </cell>
          <cell r="O175">
            <v>0</v>
          </cell>
          <cell r="P175">
            <v>0</v>
          </cell>
          <cell r="Q175">
            <v>0</v>
          </cell>
          <cell r="R175">
            <v>0</v>
          </cell>
          <cell r="T175">
            <v>0</v>
          </cell>
        </row>
        <row r="176">
          <cell r="B176">
            <v>34903</v>
          </cell>
          <cell r="C176" t="str">
            <v>Success Institute</v>
          </cell>
          <cell r="D176">
            <v>271637.85632442177</v>
          </cell>
          <cell r="E176">
            <v>258730.86536851994</v>
          </cell>
          <cell r="F176">
            <v>1750220.3961999998</v>
          </cell>
          <cell r="G176">
            <v>1641420.484460999</v>
          </cell>
          <cell r="H176">
            <v>15207.669999999998</v>
          </cell>
          <cell r="I176">
            <v>15019.23</v>
          </cell>
          <cell r="J176">
            <v>43360.368016243556</v>
          </cell>
          <cell r="K176">
            <v>40497.383561755756</v>
          </cell>
          <cell r="L176">
            <v>15207.669999999998</v>
          </cell>
          <cell r="M176">
            <v>15019.23</v>
          </cell>
          <cell r="N176">
            <v>0</v>
          </cell>
          <cell r="O176">
            <v>0</v>
          </cell>
          <cell r="P176">
            <v>0</v>
          </cell>
          <cell r="Q176">
            <v>0</v>
          </cell>
          <cell r="R176">
            <v>0</v>
          </cell>
          <cell r="T176">
            <v>0</v>
          </cell>
        </row>
        <row r="177">
          <cell r="B177">
            <v>34905</v>
          </cell>
          <cell r="C177" t="str">
            <v>Mitchell Community College</v>
          </cell>
          <cell r="D177">
            <v>10267906.753655123</v>
          </cell>
          <cell r="E177">
            <v>10445294.148157973</v>
          </cell>
          <cell r="F177">
            <v>110145218.94029997</v>
          </cell>
          <cell r="G177">
            <v>92800925.512430921</v>
          </cell>
          <cell r="H177">
            <v>574849.68999999994</v>
          </cell>
          <cell r="I177">
            <v>606345.42000000004</v>
          </cell>
          <cell r="J177">
            <v>1639021.2381267825</v>
          </cell>
          <cell r="K177">
            <v>1634930.8882448629</v>
          </cell>
          <cell r="L177">
            <v>574849.68999999994</v>
          </cell>
          <cell r="M177">
            <v>606345.42000000004</v>
          </cell>
          <cell r="N177">
            <v>0</v>
          </cell>
          <cell r="O177">
            <v>0</v>
          </cell>
          <cell r="P177">
            <v>0</v>
          </cell>
          <cell r="Q177">
            <v>0</v>
          </cell>
          <cell r="R177">
            <v>0</v>
          </cell>
          <cell r="T177">
            <v>0</v>
          </cell>
        </row>
        <row r="178">
          <cell r="B178">
            <v>34910</v>
          </cell>
          <cell r="C178" t="str">
            <v>Mooresville City Schools</v>
          </cell>
          <cell r="D178">
            <v>29719310.834522892</v>
          </cell>
          <cell r="E178">
            <v>30290775.454878721</v>
          </cell>
          <cell r="F178">
            <v>344826539.49079365</v>
          </cell>
          <cell r="G178">
            <v>323937999.8414619</v>
          </cell>
          <cell r="H178">
            <v>1663838.31</v>
          </cell>
          <cell r="I178">
            <v>1758368.1900000002</v>
          </cell>
          <cell r="J178">
            <v>4743964.1602641791</v>
          </cell>
          <cell r="K178">
            <v>4741209.1720561069</v>
          </cell>
          <cell r="L178">
            <v>1663838.31</v>
          </cell>
          <cell r="M178">
            <v>1758368.1900000002</v>
          </cell>
          <cell r="N178">
            <v>0</v>
          </cell>
          <cell r="O178">
            <v>0</v>
          </cell>
          <cell r="P178">
            <v>0</v>
          </cell>
          <cell r="Q178">
            <v>0</v>
          </cell>
          <cell r="R178">
            <v>0</v>
          </cell>
          <cell r="T178">
            <v>0</v>
          </cell>
        </row>
        <row r="179">
          <cell r="B179">
            <v>35000</v>
          </cell>
          <cell r="C179" t="str">
            <v>Jackson County Schools</v>
          </cell>
          <cell r="D179">
            <v>20065766.398119513</v>
          </cell>
          <cell r="E179">
            <v>20534071.960488115</v>
          </cell>
          <cell r="F179">
            <v>221604541.90329152</v>
          </cell>
          <cell r="G179">
            <v>213002175.664763</v>
          </cell>
          <cell r="H179">
            <v>1123383.75</v>
          </cell>
          <cell r="I179">
            <v>1191995.1999999997</v>
          </cell>
          <cell r="J179">
            <v>3203010.9032789213</v>
          </cell>
          <cell r="K179">
            <v>3214058.6979606645</v>
          </cell>
          <cell r="L179">
            <v>1123383.75</v>
          </cell>
          <cell r="M179">
            <v>1191995.1999999997</v>
          </cell>
          <cell r="N179">
            <v>0</v>
          </cell>
          <cell r="O179">
            <v>0</v>
          </cell>
          <cell r="P179">
            <v>0</v>
          </cell>
          <cell r="Q179">
            <v>0</v>
          </cell>
          <cell r="R179">
            <v>0</v>
          </cell>
          <cell r="T179">
            <v>0</v>
          </cell>
        </row>
        <row r="180">
          <cell r="B180">
            <v>35005</v>
          </cell>
          <cell r="C180" t="str">
            <v>Southwestern Community College</v>
          </cell>
          <cell r="D180">
            <v>9769601.2281127684</v>
          </cell>
          <cell r="E180">
            <v>10345221.841264462</v>
          </cell>
          <cell r="F180">
            <v>104446843.56925759</v>
          </cell>
          <cell r="G180">
            <v>91529287.984214887</v>
          </cell>
          <cell r="H180">
            <v>546952.01</v>
          </cell>
          <cell r="I180">
            <v>600536.25999999978</v>
          </cell>
          <cell r="J180">
            <v>1559478.8972159529</v>
          </cell>
          <cell r="K180">
            <v>1619267.2503159132</v>
          </cell>
          <cell r="L180">
            <v>546952.01</v>
          </cell>
          <cell r="M180">
            <v>600536.25999999978</v>
          </cell>
          <cell r="N180">
            <v>0</v>
          </cell>
          <cell r="O180">
            <v>0</v>
          </cell>
          <cell r="P180">
            <v>0</v>
          </cell>
          <cell r="Q180">
            <v>0</v>
          </cell>
          <cell r="R180">
            <v>0</v>
          </cell>
          <cell r="T180">
            <v>0</v>
          </cell>
        </row>
        <row r="181">
          <cell r="B181">
            <v>35100</v>
          </cell>
          <cell r="C181" t="str">
            <v>Johnston County Schools</v>
          </cell>
          <cell r="D181">
            <v>165748346.54271418</v>
          </cell>
          <cell r="E181">
            <v>174889575.33072755</v>
          </cell>
          <cell r="F181">
            <v>1943610128.088058</v>
          </cell>
          <cell r="G181">
            <v>1890946604.6339495</v>
          </cell>
          <cell r="H181">
            <v>9279436.1999999993</v>
          </cell>
          <cell r="I181">
            <v>10152274.459999999</v>
          </cell>
          <cell r="J181">
            <v>26457686.720927838</v>
          </cell>
          <cell r="K181">
            <v>27374276.366420701</v>
          </cell>
          <cell r="L181">
            <v>9279436.1999999993</v>
          </cell>
          <cell r="M181">
            <v>10152274.459999999</v>
          </cell>
          <cell r="N181">
            <v>0</v>
          </cell>
          <cell r="O181">
            <v>0</v>
          </cell>
          <cell r="P181">
            <v>0</v>
          </cell>
          <cell r="Q181">
            <v>0</v>
          </cell>
          <cell r="R181">
            <v>0</v>
          </cell>
          <cell r="T181">
            <v>0</v>
          </cell>
        </row>
        <row r="182">
          <cell r="B182">
            <v>35105</v>
          </cell>
          <cell r="C182" t="str">
            <v>Johnston Technical College</v>
          </cell>
          <cell r="D182">
            <v>15850759.555762302</v>
          </cell>
          <cell r="E182">
            <v>16106687.717312368</v>
          </cell>
          <cell r="F182">
            <v>180913688.44229022</v>
          </cell>
          <cell r="G182">
            <v>154544427.18122873</v>
          </cell>
          <cell r="H182">
            <v>887406.2100000002</v>
          </cell>
          <cell r="I182">
            <v>934987.2</v>
          </cell>
          <cell r="J182">
            <v>2530187.7174807135</v>
          </cell>
          <cell r="K182">
            <v>2521070.3387412033</v>
          </cell>
          <cell r="L182">
            <v>887406.2100000002</v>
          </cell>
          <cell r="M182">
            <v>934987.2</v>
          </cell>
          <cell r="N182">
            <v>0</v>
          </cell>
          <cell r="O182">
            <v>0</v>
          </cell>
          <cell r="P182">
            <v>0</v>
          </cell>
          <cell r="Q182">
            <v>0</v>
          </cell>
          <cell r="R182">
            <v>0</v>
          </cell>
          <cell r="T182">
            <v>0</v>
          </cell>
        </row>
        <row r="183">
          <cell r="B183">
            <v>35106</v>
          </cell>
          <cell r="C183" t="str">
            <v>Neuse Charter School</v>
          </cell>
          <cell r="D183">
            <v>3428282.5641887882</v>
          </cell>
          <cell r="E183">
            <v>3453320.4329383308</v>
          </cell>
          <cell r="F183">
            <v>45347219.3248</v>
          </cell>
          <cell r="G183">
            <v>42331904.881857961</v>
          </cell>
          <cell r="H183">
            <v>191932.71</v>
          </cell>
          <cell r="I183">
            <v>200463.96</v>
          </cell>
          <cell r="J183">
            <v>547241.81547567446</v>
          </cell>
          <cell r="K183">
            <v>540524.77247025736</v>
          </cell>
          <cell r="L183">
            <v>191932.71</v>
          </cell>
          <cell r="M183">
            <v>200463.96</v>
          </cell>
          <cell r="N183">
            <v>0</v>
          </cell>
          <cell r="O183">
            <v>0</v>
          </cell>
          <cell r="P183">
            <v>0</v>
          </cell>
          <cell r="Q183">
            <v>0</v>
          </cell>
          <cell r="R183">
            <v>0</v>
          </cell>
          <cell r="T183">
            <v>0</v>
          </cell>
        </row>
        <row r="184">
          <cell r="B184">
            <v>35200</v>
          </cell>
          <cell r="C184" t="str">
            <v>Jones County Schools</v>
          </cell>
          <cell r="D184">
            <v>8513982.1118189003</v>
          </cell>
          <cell r="E184">
            <v>8566208.4882946834</v>
          </cell>
          <cell r="F184">
            <v>83553045.66460003</v>
          </cell>
          <cell r="G184">
            <v>78892792.468054891</v>
          </cell>
          <cell r="H184">
            <v>476656.06</v>
          </cell>
          <cell r="I184">
            <v>497265.20000000007</v>
          </cell>
          <cell r="J184">
            <v>1359049.8859307619</v>
          </cell>
          <cell r="K184">
            <v>1340810.3835092206</v>
          </cell>
          <cell r="L184">
            <v>476656.06</v>
          </cell>
          <cell r="M184">
            <v>497265.20000000007</v>
          </cell>
          <cell r="N184">
            <v>0</v>
          </cell>
          <cell r="O184">
            <v>0</v>
          </cell>
          <cell r="P184">
            <v>0</v>
          </cell>
          <cell r="Q184">
            <v>0</v>
          </cell>
          <cell r="R184">
            <v>0</v>
          </cell>
          <cell r="T184">
            <v>0</v>
          </cell>
        </row>
        <row r="185">
          <cell r="B185">
            <v>35300</v>
          </cell>
          <cell r="C185" t="str">
            <v>Sanford-Lee County Board Of Education</v>
          </cell>
          <cell r="D185">
            <v>50538182.3815137</v>
          </cell>
          <cell r="E185">
            <v>53643614.579612203</v>
          </cell>
          <cell r="F185">
            <v>569720738.94249952</v>
          </cell>
          <cell r="G185">
            <v>571647140.85809219</v>
          </cell>
          <cell r="H185">
            <v>2829384.72</v>
          </cell>
          <cell r="I185">
            <v>3113991.7699999996</v>
          </cell>
          <cell r="J185">
            <v>8067189.9586679786</v>
          </cell>
          <cell r="K185">
            <v>8396470.3328892812</v>
          </cell>
          <cell r="L185">
            <v>2829384.72</v>
          </cell>
          <cell r="M185">
            <v>3113991.7699999996</v>
          </cell>
          <cell r="N185">
            <v>0</v>
          </cell>
          <cell r="O185">
            <v>0</v>
          </cell>
          <cell r="P185">
            <v>0</v>
          </cell>
          <cell r="Q185">
            <v>0</v>
          </cell>
          <cell r="R185">
            <v>0</v>
          </cell>
          <cell r="T185">
            <v>0</v>
          </cell>
        </row>
        <row r="186">
          <cell r="B186">
            <v>35305</v>
          </cell>
          <cell r="C186" t="str">
            <v>Central Carolina Community College</v>
          </cell>
          <cell r="D186">
            <v>20036106.00136308</v>
          </cell>
          <cell r="E186">
            <v>20747672.474893741</v>
          </cell>
          <cell r="F186">
            <v>214516259.31055698</v>
          </cell>
          <cell r="G186">
            <v>190873140.15153968</v>
          </cell>
          <cell r="H186">
            <v>1121723.2100000002</v>
          </cell>
          <cell r="I186">
            <v>1204394.6299999999</v>
          </cell>
          <cell r="J186">
            <v>3198276.3433163706</v>
          </cell>
          <cell r="K186">
            <v>3247492.1344721997</v>
          </cell>
          <cell r="L186">
            <v>1121723.2100000002</v>
          </cell>
          <cell r="M186">
            <v>1204394.6299999999</v>
          </cell>
          <cell r="N186">
            <v>0</v>
          </cell>
          <cell r="O186">
            <v>0</v>
          </cell>
          <cell r="P186">
            <v>0</v>
          </cell>
          <cell r="Q186">
            <v>0</v>
          </cell>
          <cell r="R186">
            <v>0</v>
          </cell>
          <cell r="T186">
            <v>0</v>
          </cell>
        </row>
        <row r="187">
          <cell r="B187">
            <v>35400</v>
          </cell>
          <cell r="C187" t="str">
            <v>Lenoir County Schools</v>
          </cell>
          <cell r="D187">
            <v>43183798.821562916</v>
          </cell>
          <cell r="E187">
            <v>43253653.43210844</v>
          </cell>
          <cell r="F187">
            <v>455841642.2640931</v>
          </cell>
          <cell r="G187">
            <v>422578904.81589472</v>
          </cell>
          <cell r="H187">
            <v>2417648.89</v>
          </cell>
          <cell r="I187">
            <v>2510858.41</v>
          </cell>
          <cell r="J187">
            <v>6893241.7394947913</v>
          </cell>
          <cell r="K187">
            <v>6770200.3430954982</v>
          </cell>
          <cell r="L187">
            <v>2417648.89</v>
          </cell>
          <cell r="M187">
            <v>2510858.41</v>
          </cell>
          <cell r="N187">
            <v>0</v>
          </cell>
          <cell r="O187">
            <v>0</v>
          </cell>
          <cell r="P187">
            <v>0</v>
          </cell>
          <cell r="Q187">
            <v>0</v>
          </cell>
          <cell r="R187">
            <v>0</v>
          </cell>
          <cell r="T187">
            <v>0</v>
          </cell>
        </row>
        <row r="188">
          <cell r="B188">
            <v>35401</v>
          </cell>
          <cell r="C188" t="str">
            <v>Childrens Village Academy</v>
          </cell>
          <cell r="D188">
            <v>405443.30199035472</v>
          </cell>
          <cell r="E188">
            <v>453383.79865188757</v>
          </cell>
          <cell r="F188">
            <v>4197896.2397000007</v>
          </cell>
          <cell r="G188">
            <v>5196206.7556549935</v>
          </cell>
          <cell r="H188">
            <v>22698.78</v>
          </cell>
          <cell r="I188">
            <v>26318.760000000006</v>
          </cell>
          <cell r="J188">
            <v>64719.148582244947</v>
          </cell>
          <cell r="K188">
            <v>70965.084001629584</v>
          </cell>
          <cell r="L188">
            <v>22698.78</v>
          </cell>
          <cell r="M188">
            <v>26318.760000000006</v>
          </cell>
          <cell r="N188">
            <v>0</v>
          </cell>
          <cell r="O188">
            <v>0</v>
          </cell>
          <cell r="P188">
            <v>0</v>
          </cell>
          <cell r="Q188">
            <v>0</v>
          </cell>
          <cell r="R188">
            <v>0</v>
          </cell>
          <cell r="T188">
            <v>0</v>
          </cell>
        </row>
        <row r="189">
          <cell r="B189">
            <v>35405</v>
          </cell>
          <cell r="C189" t="str">
            <v>Lenoir County Community College</v>
          </cell>
          <cell r="D189">
            <v>14582088.035837205</v>
          </cell>
          <cell r="E189">
            <v>14517997.037178002</v>
          </cell>
          <cell r="F189">
            <v>158082423.65269998</v>
          </cell>
          <cell r="G189">
            <v>137219571.82894385</v>
          </cell>
          <cell r="H189">
            <v>816379.52</v>
          </cell>
          <cell r="I189">
            <v>842764.3</v>
          </cell>
          <cell r="J189">
            <v>2327675.2078473736</v>
          </cell>
          <cell r="K189">
            <v>2272403.386142605</v>
          </cell>
          <cell r="L189">
            <v>816379.52</v>
          </cell>
          <cell r="M189">
            <v>842764.3</v>
          </cell>
          <cell r="N189">
            <v>0</v>
          </cell>
          <cell r="O189">
            <v>0</v>
          </cell>
          <cell r="P189">
            <v>0</v>
          </cell>
          <cell r="Q189">
            <v>0</v>
          </cell>
          <cell r="R189">
            <v>0</v>
          </cell>
          <cell r="T189">
            <v>0</v>
          </cell>
        </row>
        <row r="190">
          <cell r="B190">
            <v>35500</v>
          </cell>
          <cell r="C190" t="str">
            <v>Lincoln County Schools</v>
          </cell>
          <cell r="D190">
            <v>56763614.120382003</v>
          </cell>
          <cell r="E190">
            <v>56561595.647289574</v>
          </cell>
          <cell r="F190">
            <v>649863438.98545659</v>
          </cell>
          <cell r="G190">
            <v>590158266.41746807</v>
          </cell>
          <cell r="H190">
            <v>3177916.0800000005</v>
          </cell>
          <cell r="I190">
            <v>3283379.48</v>
          </cell>
          <cell r="J190">
            <v>9060928.5152517222</v>
          </cell>
          <cell r="K190">
            <v>8853202.0736321472</v>
          </cell>
          <cell r="L190">
            <v>3177916.0800000005</v>
          </cell>
          <cell r="M190">
            <v>3283379.48</v>
          </cell>
          <cell r="N190">
            <v>0</v>
          </cell>
          <cell r="O190">
            <v>0</v>
          </cell>
          <cell r="P190">
            <v>0</v>
          </cell>
          <cell r="Q190">
            <v>0</v>
          </cell>
          <cell r="R190">
            <v>0</v>
          </cell>
          <cell r="T190">
            <v>0</v>
          </cell>
        </row>
        <row r="191">
          <cell r="B191">
            <v>35600</v>
          </cell>
          <cell r="C191" t="str">
            <v>Macon County Schools</v>
          </cell>
          <cell r="D191">
            <v>23311605.56732</v>
          </cell>
          <cell r="E191">
            <v>24400800.224011701</v>
          </cell>
          <cell r="F191">
            <v>249039963.56705093</v>
          </cell>
          <cell r="G191">
            <v>243649196.03827375</v>
          </cell>
          <cell r="H191">
            <v>1305102.3500000003</v>
          </cell>
          <cell r="I191">
            <v>1416457.33</v>
          </cell>
          <cell r="J191">
            <v>3721130.0741576012</v>
          </cell>
          <cell r="K191">
            <v>3819291.3878987436</v>
          </cell>
          <cell r="L191">
            <v>1305102.3500000003</v>
          </cell>
          <cell r="M191">
            <v>1416457.33</v>
          </cell>
          <cell r="N191">
            <v>0</v>
          </cell>
          <cell r="O191">
            <v>0</v>
          </cell>
          <cell r="P191">
            <v>0</v>
          </cell>
          <cell r="Q191">
            <v>0</v>
          </cell>
          <cell r="R191">
            <v>0</v>
          </cell>
          <cell r="T191">
            <v>0</v>
          </cell>
        </row>
        <row r="192">
          <cell r="B192">
            <v>35700</v>
          </cell>
          <cell r="C192" t="str">
            <v>Madison County Schools</v>
          </cell>
          <cell r="D192">
            <v>13229971.799668498</v>
          </cell>
          <cell r="E192">
            <v>13481828.434178768</v>
          </cell>
          <cell r="F192">
            <v>140294928.03499994</v>
          </cell>
          <cell r="G192">
            <v>136256598.37553191</v>
          </cell>
          <cell r="H192">
            <v>740681.17</v>
          </cell>
          <cell r="I192">
            <v>782615.1</v>
          </cell>
          <cell r="J192">
            <v>2111842.7815636364</v>
          </cell>
          <cell r="K192">
            <v>2110218.9583568424</v>
          </cell>
          <cell r="L192">
            <v>740681.17</v>
          </cell>
          <cell r="M192">
            <v>782615.1</v>
          </cell>
          <cell r="N192">
            <v>0</v>
          </cell>
          <cell r="O192">
            <v>0</v>
          </cell>
          <cell r="P192">
            <v>0</v>
          </cell>
          <cell r="Q192">
            <v>0</v>
          </cell>
          <cell r="R192">
            <v>0</v>
          </cell>
          <cell r="T192">
            <v>0</v>
          </cell>
        </row>
        <row r="193">
          <cell r="B193">
            <v>35800</v>
          </cell>
          <cell r="C193" t="str">
            <v>Martin County Schools</v>
          </cell>
          <cell r="D193">
            <v>20232181.597204428</v>
          </cell>
          <cell r="E193">
            <v>20438965.749317795</v>
          </cell>
          <cell r="F193">
            <v>202087906.11369976</v>
          </cell>
          <cell r="G193">
            <v>188044308.86788371</v>
          </cell>
          <cell r="H193">
            <v>1132700.52</v>
          </cell>
          <cell r="I193">
            <v>1186474.3200000003</v>
          </cell>
          <cell r="J193">
            <v>3229575.0367670036</v>
          </cell>
          <cell r="K193">
            <v>3199172.3692368618</v>
          </cell>
          <cell r="L193">
            <v>1132700.52</v>
          </cell>
          <cell r="M193">
            <v>1186474.3200000003</v>
          </cell>
          <cell r="N193">
            <v>0</v>
          </cell>
          <cell r="O193">
            <v>0</v>
          </cell>
          <cell r="P193">
            <v>0</v>
          </cell>
          <cell r="Q193">
            <v>0</v>
          </cell>
          <cell r="R193">
            <v>0</v>
          </cell>
          <cell r="T193">
            <v>0</v>
          </cell>
        </row>
        <row r="194">
          <cell r="B194">
            <v>35805</v>
          </cell>
          <cell r="C194" t="str">
            <v>Martin Community College</v>
          </cell>
          <cell r="D194">
            <v>3757414.2990585133</v>
          </cell>
          <cell r="E194">
            <v>3990961.4495437327</v>
          </cell>
          <cell r="F194">
            <v>31612496.356900003</v>
          </cell>
          <cell r="G194">
            <v>29906666.280874971</v>
          </cell>
          <cell r="H194">
            <v>210359.18</v>
          </cell>
          <cell r="I194">
            <v>231673.81999999998</v>
          </cell>
          <cell r="J194">
            <v>599779.6809370023</v>
          </cell>
          <cell r="K194">
            <v>624678.06603648537</v>
          </cell>
          <cell r="L194">
            <v>210359.18</v>
          </cell>
          <cell r="M194">
            <v>231673.81999999998</v>
          </cell>
          <cell r="N194">
            <v>0</v>
          </cell>
          <cell r="O194">
            <v>0</v>
          </cell>
          <cell r="P194">
            <v>0</v>
          </cell>
          <cell r="Q194">
            <v>0</v>
          </cell>
          <cell r="R194">
            <v>0</v>
          </cell>
          <cell r="T194">
            <v>0</v>
          </cell>
        </row>
        <row r="195">
          <cell r="B195">
            <v>35900</v>
          </cell>
          <cell r="C195" t="str">
            <v>Mcdowell County Schools</v>
          </cell>
          <cell r="D195">
            <v>33925600.534607679</v>
          </cell>
          <cell r="E195">
            <v>34722083.409803011</v>
          </cell>
          <cell r="F195">
            <v>379024722.38289273</v>
          </cell>
          <cell r="G195">
            <v>350516559.86150628</v>
          </cell>
          <cell r="H195">
            <v>1899327.8199999998</v>
          </cell>
          <cell r="I195">
            <v>2015603.96</v>
          </cell>
          <cell r="J195">
            <v>5415395.8666047864</v>
          </cell>
          <cell r="K195">
            <v>5434811.6832030546</v>
          </cell>
          <cell r="L195">
            <v>1899327.8199999998</v>
          </cell>
          <cell r="M195">
            <v>2015603.96</v>
          </cell>
          <cell r="N195">
            <v>0</v>
          </cell>
          <cell r="O195">
            <v>0</v>
          </cell>
          <cell r="P195">
            <v>0</v>
          </cell>
          <cell r="Q195">
            <v>0</v>
          </cell>
          <cell r="R195">
            <v>0</v>
          </cell>
          <cell r="T195">
            <v>0</v>
          </cell>
        </row>
        <row r="196">
          <cell r="B196">
            <v>35905</v>
          </cell>
          <cell r="C196" t="str">
            <v>Mcdowell Technical College</v>
          </cell>
          <cell r="D196">
            <v>5838378.6902247462</v>
          </cell>
          <cell r="E196">
            <v>5924413.5233017299</v>
          </cell>
          <cell r="F196">
            <v>49838384.816099986</v>
          </cell>
          <cell r="G196">
            <v>45489075.83816696</v>
          </cell>
          <cell r="H196">
            <v>326862.16000000003</v>
          </cell>
          <cell r="I196">
            <v>343909.99</v>
          </cell>
          <cell r="J196">
            <v>931954.96405328927</v>
          </cell>
          <cell r="K196">
            <v>927308.17596838099</v>
          </cell>
          <cell r="L196">
            <v>326862.16000000003</v>
          </cell>
          <cell r="M196">
            <v>343909.99</v>
          </cell>
          <cell r="N196">
            <v>0</v>
          </cell>
          <cell r="O196">
            <v>0</v>
          </cell>
          <cell r="P196">
            <v>0</v>
          </cell>
          <cell r="Q196">
            <v>0</v>
          </cell>
          <cell r="R196">
            <v>0</v>
          </cell>
          <cell r="T196">
            <v>0</v>
          </cell>
        </row>
        <row r="197">
          <cell r="B197">
            <v>36000</v>
          </cell>
          <cell r="C197" t="str">
            <v>Charlotte-Mecklenburg County Schools</v>
          </cell>
          <cell r="D197">
            <v>742429738.44566464</v>
          </cell>
          <cell r="E197">
            <v>785361856.53993309</v>
          </cell>
          <cell r="F197">
            <v>8895219968.9437866</v>
          </cell>
          <cell r="G197">
            <v>8568380147.2659979</v>
          </cell>
          <cell r="H197">
            <v>41564996.18</v>
          </cell>
          <cell r="I197">
            <v>45589962.139999993</v>
          </cell>
          <cell r="J197">
            <v>118510825.85028198</v>
          </cell>
          <cell r="K197">
            <v>122927352.69048433</v>
          </cell>
          <cell r="L197">
            <v>41564996.18</v>
          </cell>
          <cell r="M197">
            <v>45589962.139999993</v>
          </cell>
          <cell r="N197">
            <v>0</v>
          </cell>
          <cell r="O197">
            <v>0</v>
          </cell>
          <cell r="P197">
            <v>0</v>
          </cell>
          <cell r="Q197">
            <v>0</v>
          </cell>
          <cell r="R197">
            <v>0</v>
          </cell>
          <cell r="T197">
            <v>0</v>
          </cell>
        </row>
        <row r="198">
          <cell r="B198">
            <v>36001</v>
          </cell>
          <cell r="C198" t="str">
            <v>Community Charter School</v>
          </cell>
          <cell r="D198">
            <v>370510.43006646389</v>
          </cell>
          <cell r="E198">
            <v>445944.12971901253</v>
          </cell>
          <cell r="F198">
            <v>4542279.4012000002</v>
          </cell>
          <cell r="G198">
            <v>4639917.4301989982</v>
          </cell>
          <cell r="H198">
            <v>20743.060000000001</v>
          </cell>
          <cell r="I198">
            <v>25886.89</v>
          </cell>
          <cell r="J198">
            <v>59142.966370457885</v>
          </cell>
          <cell r="K198">
            <v>69800.603196767042</v>
          </cell>
          <cell r="L198">
            <v>20743.060000000001</v>
          </cell>
          <cell r="M198">
            <v>25886.89</v>
          </cell>
          <cell r="N198">
            <v>0</v>
          </cell>
          <cell r="O198">
            <v>0</v>
          </cell>
          <cell r="P198">
            <v>0</v>
          </cell>
          <cell r="Q198">
            <v>0</v>
          </cell>
          <cell r="R198">
            <v>0</v>
          </cell>
          <cell r="T198">
            <v>0</v>
          </cell>
        </row>
        <row r="199">
          <cell r="B199">
            <v>36002</v>
          </cell>
          <cell r="C199" t="str">
            <v>Kennedy Charter</v>
          </cell>
          <cell r="D199">
            <v>1792059.0804279558</v>
          </cell>
          <cell r="E199">
            <v>0</v>
          </cell>
          <cell r="F199">
            <v>24992530.963199999</v>
          </cell>
          <cell r="G199">
            <v>3434255.7855419964</v>
          </cell>
          <cell r="H199">
            <v>100328.58999999998</v>
          </cell>
          <cell r="I199">
            <v>0</v>
          </cell>
          <cell r="J199">
            <v>286058.58655210253</v>
          </cell>
          <cell r="K199">
            <v>0</v>
          </cell>
          <cell r="L199">
            <v>100328.58999999998</v>
          </cell>
          <cell r="M199">
            <v>0</v>
          </cell>
          <cell r="N199">
            <v>0</v>
          </cell>
          <cell r="O199">
            <v>0</v>
          </cell>
          <cell r="P199">
            <v>0</v>
          </cell>
          <cell r="Q199">
            <v>0</v>
          </cell>
          <cell r="R199">
            <v>0</v>
          </cell>
          <cell r="T199">
            <v>0</v>
          </cell>
        </row>
        <row r="200">
          <cell r="B200">
            <v>36003</v>
          </cell>
          <cell r="C200" t="str">
            <v>Community School Of Davidson</v>
          </cell>
          <cell r="D200">
            <v>4994809.0990416463</v>
          </cell>
          <cell r="E200">
            <v>5141126.1355922045</v>
          </cell>
          <cell r="F200">
            <v>66010446.137750059</v>
          </cell>
          <cell r="G200">
            <v>62611596.121254951</v>
          </cell>
          <cell r="H200">
            <v>279634.84000000003</v>
          </cell>
          <cell r="I200">
            <v>298440.45</v>
          </cell>
          <cell r="J200">
            <v>797299.62397680827</v>
          </cell>
          <cell r="K200">
            <v>804705.52578214672</v>
          </cell>
          <cell r="L200">
            <v>279634.84000000003</v>
          </cell>
          <cell r="M200">
            <v>298440.45</v>
          </cell>
          <cell r="N200">
            <v>0</v>
          </cell>
          <cell r="O200">
            <v>0</v>
          </cell>
          <cell r="P200">
            <v>0</v>
          </cell>
          <cell r="Q200">
            <v>0</v>
          </cell>
          <cell r="R200">
            <v>0</v>
          </cell>
          <cell r="T200">
            <v>0</v>
          </cell>
        </row>
        <row r="201">
          <cell r="B201">
            <v>36004</v>
          </cell>
          <cell r="C201" t="str">
            <v>Corvian Community School</v>
          </cell>
          <cell r="D201">
            <v>2341626.4681665218</v>
          </cell>
          <cell r="E201">
            <v>2717027.1463522767</v>
          </cell>
          <cell r="F201">
            <v>33599579.738799989</v>
          </cell>
          <cell r="G201">
            <v>34219615.523080952</v>
          </cell>
          <cell r="H201">
            <v>131096.16999999998</v>
          </cell>
          <cell r="I201">
            <v>157722.41</v>
          </cell>
          <cell r="J201">
            <v>373783.63527877897</v>
          </cell>
          <cell r="K201">
            <v>425277.7894775233</v>
          </cell>
          <cell r="L201">
            <v>131096.16999999998</v>
          </cell>
          <cell r="M201">
            <v>157722.41</v>
          </cell>
          <cell r="N201">
            <v>0</v>
          </cell>
          <cell r="O201">
            <v>0</v>
          </cell>
          <cell r="P201">
            <v>0</v>
          </cell>
          <cell r="Q201">
            <v>0</v>
          </cell>
          <cell r="R201">
            <v>0</v>
          </cell>
          <cell r="T201">
            <v>0</v>
          </cell>
        </row>
        <row r="202">
          <cell r="B202">
            <v>36005</v>
          </cell>
          <cell r="C202" t="str">
            <v>Central Piedmont Community College</v>
          </cell>
          <cell r="D202">
            <v>71464369.821616605</v>
          </cell>
          <cell r="E202">
            <v>73226521.929890186</v>
          </cell>
          <cell r="F202">
            <v>756899607.51857007</v>
          </cell>
          <cell r="G202">
            <v>652226187.49644303</v>
          </cell>
          <cell r="H202">
            <v>4000939.22</v>
          </cell>
          <cell r="I202">
            <v>4250772.22</v>
          </cell>
          <cell r="J202">
            <v>11407546.125726195</v>
          </cell>
          <cell r="K202">
            <v>11461649.700217389</v>
          </cell>
          <cell r="L202">
            <v>4000939.22</v>
          </cell>
          <cell r="M202">
            <v>4250772.22</v>
          </cell>
          <cell r="N202">
            <v>0</v>
          </cell>
          <cell r="O202">
            <v>0</v>
          </cell>
          <cell r="P202">
            <v>0</v>
          </cell>
          <cell r="Q202">
            <v>0</v>
          </cell>
          <cell r="R202">
            <v>0</v>
          </cell>
          <cell r="T202">
            <v>0</v>
          </cell>
        </row>
        <row r="203">
          <cell r="B203">
            <v>36006</v>
          </cell>
          <cell r="C203" t="str">
            <v>Lake Norman Charter School</v>
          </cell>
          <cell r="D203">
            <v>6285158.7119506169</v>
          </cell>
          <cell r="E203">
            <v>6678352.4015735276</v>
          </cell>
          <cell r="F203">
            <v>82296269.40169999</v>
          </cell>
          <cell r="G203">
            <v>81602574.01808995</v>
          </cell>
          <cell r="H203">
            <v>351875.18</v>
          </cell>
          <cell r="I203">
            <v>387675.86</v>
          </cell>
          <cell r="J203">
            <v>1003272.5131845934</v>
          </cell>
          <cell r="K203">
            <v>1045317.103476911</v>
          </cell>
          <cell r="L203">
            <v>351875.18</v>
          </cell>
          <cell r="M203">
            <v>387675.86</v>
          </cell>
          <cell r="N203">
            <v>0</v>
          </cell>
          <cell r="O203">
            <v>0</v>
          </cell>
          <cell r="P203">
            <v>0</v>
          </cell>
          <cell r="Q203">
            <v>0</v>
          </cell>
          <cell r="R203">
            <v>0</v>
          </cell>
          <cell r="T203">
            <v>0</v>
          </cell>
        </row>
        <row r="204">
          <cell r="B204">
            <v>36007</v>
          </cell>
          <cell r="C204" t="str">
            <v>Socrates Academy</v>
          </cell>
          <cell r="D204">
            <v>2222535.118539257</v>
          </cell>
          <cell r="E204">
            <v>2454038.7169557852</v>
          </cell>
          <cell r="F204">
            <v>27996668.607399989</v>
          </cell>
          <cell r="G204">
            <v>26977627.972693969</v>
          </cell>
          <cell r="H204">
            <v>124428.83</v>
          </cell>
          <cell r="I204">
            <v>142456.03</v>
          </cell>
          <cell r="J204">
            <v>354773.60178321908</v>
          </cell>
          <cell r="K204">
            <v>384113.99836043426</v>
          </cell>
          <cell r="L204">
            <v>124428.83</v>
          </cell>
          <cell r="M204">
            <v>142456.03</v>
          </cell>
          <cell r="N204">
            <v>0</v>
          </cell>
          <cell r="O204">
            <v>0</v>
          </cell>
          <cell r="P204">
            <v>0</v>
          </cell>
          <cell r="Q204">
            <v>0</v>
          </cell>
          <cell r="R204">
            <v>0</v>
          </cell>
          <cell r="T204">
            <v>0</v>
          </cell>
        </row>
        <row r="205">
          <cell r="B205">
            <v>36008</v>
          </cell>
          <cell r="C205" t="str">
            <v>Pine Lake Prep Charter</v>
          </cell>
          <cell r="D205">
            <v>6014817.0935925273</v>
          </cell>
          <cell r="E205">
            <v>6901918.5271067331</v>
          </cell>
          <cell r="F205">
            <v>87251733.359599978</v>
          </cell>
          <cell r="G205">
            <v>90249012.157932907</v>
          </cell>
          <cell r="H205">
            <v>336740.07999999996</v>
          </cell>
          <cell r="I205">
            <v>400653.79</v>
          </cell>
          <cell r="J205">
            <v>960119.05798977066</v>
          </cell>
          <cell r="K205">
            <v>1080310.3893542574</v>
          </cell>
          <cell r="L205">
            <v>336740.07999999996</v>
          </cell>
          <cell r="M205">
            <v>400653.79</v>
          </cell>
          <cell r="N205">
            <v>0</v>
          </cell>
          <cell r="O205">
            <v>0</v>
          </cell>
          <cell r="P205">
            <v>0</v>
          </cell>
          <cell r="Q205">
            <v>0</v>
          </cell>
          <cell r="R205">
            <v>0</v>
          </cell>
          <cell r="T205">
            <v>0</v>
          </cell>
        </row>
        <row r="206">
          <cell r="B206">
            <v>36009</v>
          </cell>
          <cell r="C206" t="str">
            <v>Charlotte Secondary Charter</v>
          </cell>
          <cell r="D206">
            <v>1966176.6873376211</v>
          </cell>
          <cell r="E206">
            <v>1701731.373739982</v>
          </cell>
          <cell r="F206">
            <v>27122899.102750003</v>
          </cell>
          <cell r="G206">
            <v>25786148.613891974</v>
          </cell>
          <cell r="H206">
            <v>110076.58</v>
          </cell>
          <cell r="I206">
            <v>98784.87000000001</v>
          </cell>
          <cell r="J206">
            <v>313852.22185709421</v>
          </cell>
          <cell r="K206">
            <v>266360.44394340989</v>
          </cell>
          <cell r="L206">
            <v>110076.58</v>
          </cell>
          <cell r="M206">
            <v>98784.87000000001</v>
          </cell>
          <cell r="N206">
            <v>0</v>
          </cell>
          <cell r="O206">
            <v>0</v>
          </cell>
          <cell r="P206">
            <v>0</v>
          </cell>
          <cell r="Q206">
            <v>0</v>
          </cell>
          <cell r="R206">
            <v>0</v>
          </cell>
          <cell r="T206">
            <v>0</v>
          </cell>
        </row>
        <row r="207">
          <cell r="B207">
            <v>36100</v>
          </cell>
          <cell r="C207" t="str">
            <v>Mitchell County Schools</v>
          </cell>
          <cell r="D207">
            <v>11228316.916649066</v>
          </cell>
          <cell r="E207">
            <v>11272355.97801129</v>
          </cell>
          <cell r="F207">
            <v>114527189.78119996</v>
          </cell>
          <cell r="G207">
            <v>105965622.02446994</v>
          </cell>
          <cell r="H207">
            <v>628618.34</v>
          </cell>
          <cell r="I207">
            <v>654356.05000000005</v>
          </cell>
          <cell r="J207">
            <v>1792327.3298381751</v>
          </cell>
          <cell r="K207">
            <v>1764385.2542910276</v>
          </cell>
          <cell r="L207">
            <v>628618.34</v>
          </cell>
          <cell r="M207">
            <v>654356.05000000005</v>
          </cell>
          <cell r="N207">
            <v>0</v>
          </cell>
          <cell r="O207">
            <v>0</v>
          </cell>
          <cell r="P207">
            <v>0</v>
          </cell>
          <cell r="Q207">
            <v>0</v>
          </cell>
          <cell r="R207">
            <v>0</v>
          </cell>
          <cell r="T207">
            <v>0</v>
          </cell>
        </row>
        <row r="208">
          <cell r="B208">
            <v>36102</v>
          </cell>
          <cell r="C208" t="str">
            <v>Kipp Charlotte Charter</v>
          </cell>
          <cell r="D208">
            <v>1824704.0217867708</v>
          </cell>
          <cell r="E208">
            <v>2447667.6164900563</v>
          </cell>
          <cell r="F208">
            <v>27713089.4113</v>
          </cell>
          <cell r="G208">
            <v>29173294.824065972</v>
          </cell>
          <cell r="H208">
            <v>102156.22</v>
          </cell>
          <cell r="I208">
            <v>142086.19</v>
          </cell>
          <cell r="J208">
            <v>291269.55637177429</v>
          </cell>
          <cell r="K208">
            <v>383116.77331384539</v>
          </cell>
          <cell r="L208">
            <v>102156.22</v>
          </cell>
          <cell r="M208">
            <v>142086.19</v>
          </cell>
          <cell r="N208">
            <v>0</v>
          </cell>
          <cell r="O208">
            <v>0</v>
          </cell>
          <cell r="P208">
            <v>0</v>
          </cell>
          <cell r="Q208">
            <v>0</v>
          </cell>
          <cell r="R208">
            <v>0</v>
          </cell>
          <cell r="T208">
            <v>0</v>
          </cell>
        </row>
        <row r="209">
          <cell r="B209">
            <v>36105</v>
          </cell>
          <cell r="C209" t="str">
            <v>Mayland Technical College</v>
          </cell>
          <cell r="D209">
            <v>6274334.5801438354</v>
          </cell>
          <cell r="E209">
            <v>6324078.2851828085</v>
          </cell>
          <cell r="F209">
            <v>58669980.106100015</v>
          </cell>
          <cell r="G209">
            <v>53378361.810655959</v>
          </cell>
          <cell r="H209">
            <v>351269.18999999994</v>
          </cell>
          <cell r="I209">
            <v>367110.38</v>
          </cell>
          <cell r="J209">
            <v>1001544.7041636083</v>
          </cell>
          <cell r="K209">
            <v>989864.98431423644</v>
          </cell>
          <cell r="L209">
            <v>351269.18999999994</v>
          </cell>
          <cell r="M209">
            <v>367110.38</v>
          </cell>
          <cell r="N209">
            <v>0</v>
          </cell>
          <cell r="O209">
            <v>0</v>
          </cell>
          <cell r="P209">
            <v>0</v>
          </cell>
          <cell r="Q209">
            <v>0</v>
          </cell>
          <cell r="R209">
            <v>0</v>
          </cell>
          <cell r="T209">
            <v>0</v>
          </cell>
        </row>
        <row r="210">
          <cell r="B210">
            <v>36200</v>
          </cell>
          <cell r="C210" t="str">
            <v>Montgomery County Schools</v>
          </cell>
          <cell r="D210">
            <v>22864179.837967232</v>
          </cell>
          <cell r="E210">
            <v>23109897.508345257</v>
          </cell>
          <cell r="F210">
            <v>235217459.57333708</v>
          </cell>
          <cell r="G210">
            <v>224656708.44612071</v>
          </cell>
          <cell r="H210">
            <v>1280053.18</v>
          </cell>
          <cell r="I210">
            <v>1341520.9099999999</v>
          </cell>
          <cell r="J210">
            <v>3649709.4535298869</v>
          </cell>
          <cell r="K210">
            <v>3617235.1610825337</v>
          </cell>
          <cell r="L210">
            <v>1280053.18</v>
          </cell>
          <cell r="M210">
            <v>1341520.9099999999</v>
          </cell>
          <cell r="N210">
            <v>0</v>
          </cell>
          <cell r="O210">
            <v>0</v>
          </cell>
          <cell r="P210">
            <v>0</v>
          </cell>
          <cell r="Q210">
            <v>0</v>
          </cell>
          <cell r="R210">
            <v>0</v>
          </cell>
          <cell r="T210">
            <v>0</v>
          </cell>
        </row>
        <row r="211">
          <cell r="B211">
            <v>36205</v>
          </cell>
          <cell r="C211" t="str">
            <v>Montgomery Community College</v>
          </cell>
          <cell r="D211">
            <v>3991214.7601614636</v>
          </cell>
          <cell r="E211">
            <v>4078788.3717977791</v>
          </cell>
          <cell r="F211">
            <v>41496389.026300006</v>
          </cell>
          <cell r="G211">
            <v>35794753.815738969</v>
          </cell>
          <cell r="H211">
            <v>223448.52</v>
          </cell>
          <cell r="I211">
            <v>236772.14</v>
          </cell>
          <cell r="J211">
            <v>637100.23033672874</v>
          </cell>
          <cell r="K211">
            <v>638425.01714919694</v>
          </cell>
          <cell r="L211">
            <v>223448.52</v>
          </cell>
          <cell r="M211">
            <v>236772.14</v>
          </cell>
          <cell r="N211">
            <v>0</v>
          </cell>
          <cell r="O211">
            <v>0</v>
          </cell>
          <cell r="P211">
            <v>0</v>
          </cell>
          <cell r="Q211">
            <v>0</v>
          </cell>
          <cell r="R211">
            <v>0</v>
          </cell>
          <cell r="T211">
            <v>0</v>
          </cell>
        </row>
        <row r="212">
          <cell r="B212">
            <v>36300</v>
          </cell>
          <cell r="C212" t="str">
            <v>Moore County Schools</v>
          </cell>
          <cell r="D212">
            <v>68358216.949508741</v>
          </cell>
          <cell r="E212">
            <v>69320561.544606775</v>
          </cell>
          <cell r="F212">
            <v>743835092.31826484</v>
          </cell>
          <cell r="G212">
            <v>723496251.43916392</v>
          </cell>
          <cell r="H212">
            <v>3827040.9699999993</v>
          </cell>
          <cell r="I212">
            <v>4024032.6799999997</v>
          </cell>
          <cell r="J212">
            <v>10911724.470115522</v>
          </cell>
          <cell r="K212">
            <v>10850276.272951407</v>
          </cell>
          <cell r="L212">
            <v>3827040.9699999993</v>
          </cell>
          <cell r="M212">
            <v>4024032.6799999997</v>
          </cell>
          <cell r="N212">
            <v>0</v>
          </cell>
          <cell r="O212">
            <v>0</v>
          </cell>
          <cell r="P212">
            <v>0</v>
          </cell>
          <cell r="Q212">
            <v>0</v>
          </cell>
          <cell r="R212">
            <v>0</v>
          </cell>
          <cell r="T212">
            <v>0</v>
          </cell>
        </row>
        <row r="213">
          <cell r="B213">
            <v>36301</v>
          </cell>
          <cell r="C213" t="str">
            <v>Academy Of Moore County</v>
          </cell>
          <cell r="D213">
            <v>728917.81640125369</v>
          </cell>
          <cell r="E213">
            <v>920445.37704307947</v>
          </cell>
          <cell r="F213">
            <v>9600362.6270000003</v>
          </cell>
          <cell r="G213">
            <v>11090825.921207998</v>
          </cell>
          <cell r="H213">
            <v>40808.53</v>
          </cell>
          <cell r="I213">
            <v>53431.510000000009</v>
          </cell>
          <cell r="J213">
            <v>116353.97657904963</v>
          </cell>
          <cell r="K213">
            <v>144071.05788737431</v>
          </cell>
          <cell r="L213">
            <v>40808.53</v>
          </cell>
          <cell r="M213">
            <v>53431.510000000009</v>
          </cell>
          <cell r="N213">
            <v>0</v>
          </cell>
          <cell r="O213">
            <v>0</v>
          </cell>
          <cell r="P213">
            <v>0</v>
          </cell>
          <cell r="Q213">
            <v>0</v>
          </cell>
          <cell r="R213">
            <v>0</v>
          </cell>
          <cell r="T213">
            <v>0</v>
          </cell>
        </row>
        <row r="214">
          <cell r="B214">
            <v>36302</v>
          </cell>
          <cell r="C214" t="str">
            <v>Stars Charter School</v>
          </cell>
          <cell r="D214">
            <v>1451510.1987248238</v>
          </cell>
          <cell r="E214">
            <v>1438544.1489201325</v>
          </cell>
          <cell r="F214">
            <v>18896299.531399991</v>
          </cell>
          <cell r="G214">
            <v>18052502.671578981</v>
          </cell>
          <cell r="H214">
            <v>81262.929999999993</v>
          </cell>
          <cell r="I214">
            <v>83506.949999999983</v>
          </cell>
          <cell r="J214">
            <v>231698.25166368281</v>
          </cell>
          <cell r="K214">
            <v>225165.53673006935</v>
          </cell>
          <cell r="L214">
            <v>81262.929999999993</v>
          </cell>
          <cell r="M214">
            <v>83506.949999999983</v>
          </cell>
          <cell r="N214">
            <v>0</v>
          </cell>
          <cell r="O214">
            <v>0</v>
          </cell>
          <cell r="P214">
            <v>0</v>
          </cell>
          <cell r="Q214">
            <v>0</v>
          </cell>
          <cell r="R214">
            <v>0</v>
          </cell>
          <cell r="T214">
            <v>0</v>
          </cell>
        </row>
        <row r="215">
          <cell r="B215">
            <v>36305</v>
          </cell>
          <cell r="C215" t="str">
            <v>Sandhills Community College</v>
          </cell>
          <cell r="D215">
            <v>15238962.742976651</v>
          </cell>
          <cell r="E215">
            <v>15288741.708445018</v>
          </cell>
          <cell r="F215">
            <v>149767204.85058302</v>
          </cell>
          <cell r="G215">
            <v>126803019.13250092</v>
          </cell>
          <cell r="H215">
            <v>853154.71000000008</v>
          </cell>
          <cell r="I215">
            <v>887505.74</v>
          </cell>
          <cell r="J215">
            <v>2432529.2566442825</v>
          </cell>
          <cell r="K215">
            <v>2393042.810186666</v>
          </cell>
          <cell r="L215">
            <v>853154.71000000008</v>
          </cell>
          <cell r="M215">
            <v>887505.74</v>
          </cell>
          <cell r="N215">
            <v>0</v>
          </cell>
          <cell r="O215">
            <v>0</v>
          </cell>
          <cell r="P215">
            <v>0</v>
          </cell>
          <cell r="Q215">
            <v>0</v>
          </cell>
          <cell r="R215">
            <v>0</v>
          </cell>
          <cell r="T215">
            <v>0</v>
          </cell>
        </row>
        <row r="216">
          <cell r="B216">
            <v>36310</v>
          </cell>
          <cell r="C216" t="str">
            <v>Fernleaf Community Charter</v>
          </cell>
          <cell r="D216">
            <v>0</v>
          </cell>
          <cell r="E216">
            <v>495636.61170164373</v>
          </cell>
          <cell r="F216" t="str">
            <v xml:space="preserve"> </v>
          </cell>
          <cell r="G216">
            <v>3833983</v>
          </cell>
          <cell r="H216">
            <v>0</v>
          </cell>
          <cell r="I216">
            <v>28771.519999999997</v>
          </cell>
          <cell r="J216">
            <v>0</v>
          </cell>
          <cell r="K216">
            <v>77578.629603163878</v>
          </cell>
          <cell r="L216">
            <v>0</v>
          </cell>
          <cell r="M216">
            <v>28771.519999999997</v>
          </cell>
          <cell r="N216">
            <v>0</v>
          </cell>
          <cell r="O216">
            <v>0</v>
          </cell>
          <cell r="P216">
            <v>0</v>
          </cell>
          <cell r="Q216">
            <v>0</v>
          </cell>
          <cell r="R216">
            <v>0</v>
          </cell>
          <cell r="T216">
            <v>0</v>
          </cell>
        </row>
        <row r="217">
          <cell r="B217">
            <v>36400</v>
          </cell>
          <cell r="C217" t="str">
            <v>Nash-Rocky Mount Schools</v>
          </cell>
          <cell r="D217">
            <v>77238322.251910955</v>
          </cell>
          <cell r="E217">
            <v>81571094.365375474</v>
          </cell>
          <cell r="F217">
            <v>798178934.62570596</v>
          </cell>
          <cell r="G217">
            <v>796964765.53256309</v>
          </cell>
          <cell r="H217">
            <v>4324194.4699999988</v>
          </cell>
          <cell r="I217">
            <v>4735171.5299999984</v>
          </cell>
          <cell r="J217">
            <v>12329217.006484572</v>
          </cell>
          <cell r="K217">
            <v>12767768.899012521</v>
          </cell>
          <cell r="L217">
            <v>4324194.4699999988</v>
          </cell>
          <cell r="M217">
            <v>4735171.5299999984</v>
          </cell>
          <cell r="N217">
            <v>0</v>
          </cell>
          <cell r="O217">
            <v>0</v>
          </cell>
          <cell r="P217">
            <v>0</v>
          </cell>
          <cell r="Q217">
            <v>0</v>
          </cell>
          <cell r="R217">
            <v>0</v>
          </cell>
          <cell r="T217">
            <v>0</v>
          </cell>
        </row>
        <row r="218">
          <cell r="B218">
            <v>36405</v>
          </cell>
          <cell r="C218" t="str">
            <v>Nash Technical College</v>
          </cell>
          <cell r="D218">
            <v>13046858.76210946</v>
          </cell>
          <cell r="E218">
            <v>13374821.715697886</v>
          </cell>
          <cell r="F218">
            <v>135739117.66581658</v>
          </cell>
          <cell r="G218">
            <v>123206476.75766686</v>
          </cell>
          <cell r="H218">
            <v>730429.57000000007</v>
          </cell>
          <cell r="I218">
            <v>776403.40000000014</v>
          </cell>
          <cell r="J218">
            <v>2082613.2448393831</v>
          </cell>
          <cell r="K218">
            <v>2093469.9241206963</v>
          </cell>
          <cell r="L218">
            <v>730429.57000000007</v>
          </cell>
          <cell r="M218">
            <v>776403.40000000014</v>
          </cell>
          <cell r="N218">
            <v>0</v>
          </cell>
          <cell r="O218">
            <v>0</v>
          </cell>
          <cell r="P218">
            <v>0</v>
          </cell>
          <cell r="Q218">
            <v>0</v>
          </cell>
          <cell r="R218">
            <v>0</v>
          </cell>
          <cell r="T218">
            <v>0</v>
          </cell>
        </row>
        <row r="219">
          <cell r="B219">
            <v>36500</v>
          </cell>
          <cell r="C219" t="str">
            <v>New Hanover County Schools</v>
          </cell>
          <cell r="D219">
            <v>141325639.44247013</v>
          </cell>
          <cell r="E219">
            <v>150756934.11205006</v>
          </cell>
          <cell r="F219">
            <v>1576913735.8970599</v>
          </cell>
          <cell r="G219">
            <v>1542361988.9778728</v>
          </cell>
          <cell r="H219">
            <v>7912128.7299999995</v>
          </cell>
          <cell r="I219">
            <v>8751383.6600000001</v>
          </cell>
          <cell r="J219">
            <v>22559196.347941123</v>
          </cell>
          <cell r="K219">
            <v>23596958.084742159</v>
          </cell>
          <cell r="L219">
            <v>7912128.7299999995</v>
          </cell>
          <cell r="M219">
            <v>8751383.6600000001</v>
          </cell>
          <cell r="N219">
            <v>0</v>
          </cell>
          <cell r="O219">
            <v>0</v>
          </cell>
          <cell r="P219">
            <v>0</v>
          </cell>
          <cell r="Q219">
            <v>0</v>
          </cell>
          <cell r="R219">
            <v>0</v>
          </cell>
          <cell r="T219">
            <v>0</v>
          </cell>
        </row>
        <row r="220">
          <cell r="B220">
            <v>36501</v>
          </cell>
          <cell r="C220" t="str">
            <v>Cape Fear Center For Inquiry</v>
          </cell>
          <cell r="D220">
            <v>1520588.7687104549</v>
          </cell>
          <cell r="E220">
            <v>1716039.8207625716</v>
          </cell>
          <cell r="F220">
            <v>18846349.271299999</v>
          </cell>
          <cell r="G220">
            <v>19152611.798280988</v>
          </cell>
          <cell r="H220">
            <v>85130.3</v>
          </cell>
          <cell r="I220">
            <v>99615.47</v>
          </cell>
          <cell r="J220">
            <v>242724.96295180125</v>
          </cell>
          <cell r="K220">
            <v>268600.04789024295</v>
          </cell>
          <cell r="L220">
            <v>85130.3</v>
          </cell>
          <cell r="M220">
            <v>99615.47</v>
          </cell>
          <cell r="N220">
            <v>0</v>
          </cell>
          <cell r="O220">
            <v>0</v>
          </cell>
          <cell r="P220">
            <v>0</v>
          </cell>
          <cell r="Q220">
            <v>0</v>
          </cell>
          <cell r="R220">
            <v>0</v>
          </cell>
          <cell r="T220">
            <v>0</v>
          </cell>
        </row>
        <row r="221">
          <cell r="B221">
            <v>36502</v>
          </cell>
          <cell r="C221" t="str">
            <v>Wilmington Preparatory Academy</v>
          </cell>
          <cell r="D221">
            <v>568128.75807196216</v>
          </cell>
          <cell r="E221">
            <v>614148.31384314189</v>
          </cell>
          <cell r="F221">
            <v>7778712.3083000015</v>
          </cell>
          <cell r="G221">
            <v>7035695.4420809932</v>
          </cell>
          <cell r="H221">
            <v>31806.739999999994</v>
          </cell>
          <cell r="I221">
            <v>35651.079999999994</v>
          </cell>
          <cell r="J221">
            <v>90687.919437821474</v>
          </cell>
          <cell r="K221">
            <v>96128.460723408527</v>
          </cell>
          <cell r="L221">
            <v>31806.739999999994</v>
          </cell>
          <cell r="M221">
            <v>35651.079999999994</v>
          </cell>
          <cell r="N221">
            <v>0</v>
          </cell>
          <cell r="O221">
            <v>0</v>
          </cell>
          <cell r="P221">
            <v>0</v>
          </cell>
          <cell r="Q221">
            <v>0</v>
          </cell>
          <cell r="R221">
            <v>0</v>
          </cell>
          <cell r="T221">
            <v>0</v>
          </cell>
        </row>
        <row r="222">
          <cell r="B222">
            <v>36505</v>
          </cell>
          <cell r="C222" t="str">
            <v>Cape Fear Community College</v>
          </cell>
          <cell r="D222">
            <v>31063661.96760349</v>
          </cell>
          <cell r="E222">
            <v>32449839.317646835</v>
          </cell>
          <cell r="F222">
            <v>314693107.06327885</v>
          </cell>
          <cell r="G222">
            <v>291502967.45891494</v>
          </cell>
          <cell r="H222">
            <v>1739101.93</v>
          </cell>
          <cell r="I222">
            <v>1883701.0399999996</v>
          </cell>
          <cell r="J222">
            <v>4958557.0769591555</v>
          </cell>
          <cell r="K222">
            <v>5079152.7616634276</v>
          </cell>
          <cell r="L222">
            <v>1739101.93</v>
          </cell>
          <cell r="M222">
            <v>1883701.0399999996</v>
          </cell>
          <cell r="N222">
            <v>0</v>
          </cell>
          <cell r="O222">
            <v>0</v>
          </cell>
          <cell r="P222">
            <v>0</v>
          </cell>
          <cell r="Q222">
            <v>0</v>
          </cell>
          <cell r="R222">
            <v>0</v>
          </cell>
          <cell r="T222">
            <v>0</v>
          </cell>
        </row>
        <row r="223">
          <cell r="B223">
            <v>36600</v>
          </cell>
          <cell r="C223" t="str">
            <v>Northampton County Schools</v>
          </cell>
          <cell r="D223">
            <v>11983836.994183002</v>
          </cell>
          <cell r="E223">
            <v>12437386.048347268</v>
          </cell>
          <cell r="F223">
            <v>116482565.12861156</v>
          </cell>
          <cell r="G223">
            <v>107714503.50018692</v>
          </cell>
          <cell r="H223">
            <v>670916.19999999995</v>
          </cell>
          <cell r="I223">
            <v>721985.61</v>
          </cell>
          <cell r="J223">
            <v>1912927.7095084039</v>
          </cell>
          <cell r="K223">
            <v>1946739.4915876647</v>
          </cell>
          <cell r="L223">
            <v>670916.19999999995</v>
          </cell>
          <cell r="M223">
            <v>721985.61</v>
          </cell>
          <cell r="N223">
            <v>0</v>
          </cell>
          <cell r="O223">
            <v>0</v>
          </cell>
          <cell r="P223">
            <v>0</v>
          </cell>
          <cell r="Q223">
            <v>0</v>
          </cell>
          <cell r="R223">
            <v>0</v>
          </cell>
          <cell r="T223">
            <v>0</v>
          </cell>
        </row>
        <row r="224">
          <cell r="B224">
            <v>36601</v>
          </cell>
          <cell r="C224" t="str">
            <v>Gaston College Preparatory Charter</v>
          </cell>
          <cell r="D224">
            <v>4720999.2358727138</v>
          </cell>
          <cell r="E224">
            <v>5316972.7461997224</v>
          </cell>
          <cell r="F224">
            <v>62609065.780770883</v>
          </cell>
          <cell r="G224">
            <v>66010032.646546975</v>
          </cell>
          <cell r="H224">
            <v>264305.57</v>
          </cell>
          <cell r="I224">
            <v>308648.28000000003</v>
          </cell>
          <cell r="J224">
            <v>753592.54796711286</v>
          </cell>
          <cell r="K224">
            <v>832229.60037473228</v>
          </cell>
          <cell r="L224">
            <v>264305.57</v>
          </cell>
          <cell r="M224">
            <v>308648.28000000003</v>
          </cell>
          <cell r="N224">
            <v>0</v>
          </cell>
          <cell r="O224">
            <v>0</v>
          </cell>
          <cell r="P224">
            <v>0</v>
          </cell>
          <cell r="Q224">
            <v>0</v>
          </cell>
          <cell r="R224">
            <v>0</v>
          </cell>
          <cell r="T224">
            <v>0</v>
          </cell>
        </row>
        <row r="225">
          <cell r="B225">
            <v>36700</v>
          </cell>
          <cell r="C225" t="str">
            <v>Onslow County Schools</v>
          </cell>
          <cell r="D225">
            <v>120048603.05695614</v>
          </cell>
          <cell r="E225">
            <v>125139069.89083733</v>
          </cell>
          <cell r="F225">
            <v>1363004321.263164</v>
          </cell>
          <cell r="G225">
            <v>1301036489.7279294</v>
          </cell>
          <cell r="H225">
            <v>6720931.9200000009</v>
          </cell>
          <cell r="I225">
            <v>7264276.2199999988</v>
          </cell>
          <cell r="J225">
            <v>19162835.691681795</v>
          </cell>
          <cell r="K225">
            <v>19587167.942689553</v>
          </cell>
          <cell r="L225">
            <v>6720931.9200000009</v>
          </cell>
          <cell r="M225">
            <v>7264276.2199999988</v>
          </cell>
          <cell r="N225">
            <v>0</v>
          </cell>
          <cell r="O225">
            <v>0</v>
          </cell>
          <cell r="P225">
            <v>0</v>
          </cell>
          <cell r="Q225">
            <v>0</v>
          </cell>
          <cell r="R225">
            <v>0</v>
          </cell>
          <cell r="T225">
            <v>0</v>
          </cell>
        </row>
        <row r="226">
          <cell r="B226">
            <v>36701</v>
          </cell>
          <cell r="C226" t="str">
            <v>Zeca School Of The Arts And Technology</v>
          </cell>
          <cell r="D226">
            <v>479439.6098413681</v>
          </cell>
          <cell r="E226">
            <v>346673.03384286567</v>
          </cell>
          <cell r="F226">
            <v>6984671.1623</v>
          </cell>
          <cell r="G226">
            <v>4866683.7611379996</v>
          </cell>
          <cell r="H226">
            <v>26841.470000000005</v>
          </cell>
          <cell r="I226">
            <v>20124.239999999998</v>
          </cell>
          <cell r="J226">
            <v>76530.856948958084</v>
          </cell>
          <cell r="K226">
            <v>54262.373381912897</v>
          </cell>
          <cell r="L226">
            <v>26841.470000000005</v>
          </cell>
          <cell r="M226">
            <v>20124.239999999998</v>
          </cell>
          <cell r="N226">
            <v>0</v>
          </cell>
          <cell r="O226">
            <v>0</v>
          </cell>
          <cell r="P226">
            <v>0</v>
          </cell>
          <cell r="Q226">
            <v>0</v>
          </cell>
          <cell r="R226">
            <v>0</v>
          </cell>
          <cell r="T226">
            <v>0</v>
          </cell>
        </row>
        <row r="227">
          <cell r="B227">
            <v>36705</v>
          </cell>
          <cell r="C227" t="str">
            <v>Coastal Carolina Community College</v>
          </cell>
          <cell r="D227">
            <v>14761673.169844767</v>
          </cell>
          <cell r="E227">
            <v>15884719.190354742</v>
          </cell>
          <cell r="F227">
            <v>158358736.23645002</v>
          </cell>
          <cell r="G227">
            <v>139912200.92574275</v>
          </cell>
          <cell r="H227">
            <v>826433.60999999987</v>
          </cell>
          <cell r="I227">
            <v>922102.01000000013</v>
          </cell>
          <cell r="J227">
            <v>2356341.6006918023</v>
          </cell>
          <cell r="K227">
            <v>2486327.1141087757</v>
          </cell>
          <cell r="L227">
            <v>826433.60999999987</v>
          </cell>
          <cell r="M227">
            <v>922102.01000000013</v>
          </cell>
          <cell r="N227">
            <v>0</v>
          </cell>
          <cell r="O227">
            <v>0</v>
          </cell>
          <cell r="P227">
            <v>0</v>
          </cell>
          <cell r="Q227">
            <v>0</v>
          </cell>
          <cell r="R227">
            <v>0</v>
          </cell>
          <cell r="T227">
            <v>0</v>
          </cell>
        </row>
        <row r="228">
          <cell r="B228">
            <v>36800</v>
          </cell>
          <cell r="C228" t="str">
            <v>Orange County Schools</v>
          </cell>
          <cell r="D228">
            <v>47161138.459053196</v>
          </cell>
          <cell r="E228">
            <v>50305607.895401858</v>
          </cell>
          <cell r="F228">
            <v>515808782.89304972</v>
          </cell>
          <cell r="G228">
            <v>501232894.45399964</v>
          </cell>
          <cell r="H228">
            <v>2640320.61</v>
          </cell>
          <cell r="I228">
            <v>2920221.73</v>
          </cell>
          <cell r="J228">
            <v>7528127.1444259826</v>
          </cell>
          <cell r="K228">
            <v>7873994.8376304219</v>
          </cell>
          <cell r="L228">
            <v>2640320.61</v>
          </cell>
          <cell r="M228">
            <v>2920221.73</v>
          </cell>
          <cell r="N228">
            <v>0</v>
          </cell>
          <cell r="O228">
            <v>0</v>
          </cell>
          <cell r="P228">
            <v>0</v>
          </cell>
          <cell r="Q228">
            <v>0</v>
          </cell>
          <cell r="R228">
            <v>0</v>
          </cell>
          <cell r="T228">
            <v>0</v>
          </cell>
        </row>
        <row r="229">
          <cell r="B229">
            <v>36802</v>
          </cell>
          <cell r="C229" t="str">
            <v>Orange Charter School</v>
          </cell>
          <cell r="D229">
            <v>978106.30296921555</v>
          </cell>
          <cell r="E229">
            <v>1396431.0439192008</v>
          </cell>
          <cell r="F229">
            <v>13835151.160499997</v>
          </cell>
          <cell r="G229">
            <v>17711342.233002979</v>
          </cell>
          <cell r="H229">
            <v>54759.369999999995</v>
          </cell>
          <cell r="I229">
            <v>81062.3</v>
          </cell>
          <cell r="J229">
            <v>156130.84946856732</v>
          </cell>
          <cell r="K229">
            <v>218573.85867971354</v>
          </cell>
          <cell r="L229">
            <v>54759.369999999995</v>
          </cell>
          <cell r="M229">
            <v>81062.3</v>
          </cell>
          <cell r="N229">
            <v>0</v>
          </cell>
          <cell r="O229">
            <v>0</v>
          </cell>
          <cell r="P229">
            <v>0</v>
          </cell>
          <cell r="Q229">
            <v>0</v>
          </cell>
          <cell r="R229">
            <v>0</v>
          </cell>
          <cell r="T229">
            <v>0</v>
          </cell>
        </row>
        <row r="230">
          <cell r="B230">
            <v>36810</v>
          </cell>
          <cell r="C230" t="str">
            <v>Chapel Hill - Carboro City Schools</v>
          </cell>
          <cell r="D230">
            <v>86451538.920144767</v>
          </cell>
          <cell r="E230">
            <v>90058782.96810396</v>
          </cell>
          <cell r="F230">
            <v>1009278391.727854</v>
          </cell>
          <cell r="G230">
            <v>949490652.13117385</v>
          </cell>
          <cell r="H230">
            <v>4839997.24</v>
          </cell>
          <cell r="I230">
            <v>5227878.6800000006</v>
          </cell>
          <cell r="J230">
            <v>13799882.659474012</v>
          </cell>
          <cell r="K230">
            <v>14096289.09859463</v>
          </cell>
          <cell r="L230">
            <v>4839997.24</v>
          </cell>
          <cell r="M230">
            <v>5227878.6800000006</v>
          </cell>
          <cell r="N230">
            <v>0</v>
          </cell>
          <cell r="O230">
            <v>0</v>
          </cell>
          <cell r="P230">
            <v>0</v>
          </cell>
          <cell r="Q230">
            <v>0</v>
          </cell>
          <cell r="R230">
            <v>0</v>
          </cell>
          <cell r="T230">
            <v>0</v>
          </cell>
        </row>
        <row r="231">
          <cell r="B231">
            <v>36900</v>
          </cell>
          <cell r="C231" t="str">
            <v>Pamlico County Schools</v>
          </cell>
          <cell r="D231">
            <v>9056109.3044011164</v>
          </cell>
          <cell r="E231">
            <v>9271625.0902258474</v>
          </cell>
          <cell r="F231">
            <v>96356129.171299979</v>
          </cell>
          <cell r="G231">
            <v>92701481.320374876</v>
          </cell>
          <cell r="H231">
            <v>507007.10000000003</v>
          </cell>
          <cell r="I231">
            <v>538214.36999999988</v>
          </cell>
          <cell r="J231">
            <v>1445587.2887068433</v>
          </cell>
          <cell r="K231">
            <v>1451224.4489457</v>
          </cell>
          <cell r="L231">
            <v>507007.10000000003</v>
          </cell>
          <cell r="M231">
            <v>538214.36999999988</v>
          </cell>
          <cell r="N231">
            <v>0</v>
          </cell>
          <cell r="O231">
            <v>0</v>
          </cell>
          <cell r="P231">
            <v>0</v>
          </cell>
          <cell r="Q231">
            <v>0</v>
          </cell>
          <cell r="R231">
            <v>0</v>
          </cell>
          <cell r="T231">
            <v>0</v>
          </cell>
        </row>
        <row r="232">
          <cell r="B232">
            <v>36901</v>
          </cell>
          <cell r="C232" t="str">
            <v>Arapahoe Charter School</v>
          </cell>
          <cell r="D232">
            <v>2979048.3176238076</v>
          </cell>
          <cell r="E232">
            <v>3177108.1457614149</v>
          </cell>
          <cell r="F232">
            <v>31532940.005000003</v>
          </cell>
          <cell r="G232">
            <v>31549565.23931798</v>
          </cell>
          <cell r="H232">
            <v>166782.29</v>
          </cell>
          <cell r="I232">
            <v>184429.94</v>
          </cell>
          <cell r="J232">
            <v>475532.50912150636</v>
          </cell>
          <cell r="K232">
            <v>497291.14078761701</v>
          </cell>
          <cell r="L232">
            <v>166782.29</v>
          </cell>
          <cell r="M232">
            <v>184429.94</v>
          </cell>
          <cell r="N232">
            <v>0</v>
          </cell>
          <cell r="O232">
            <v>0</v>
          </cell>
          <cell r="P232">
            <v>0</v>
          </cell>
          <cell r="Q232">
            <v>0</v>
          </cell>
          <cell r="R232">
            <v>0</v>
          </cell>
          <cell r="T232">
            <v>0</v>
          </cell>
        </row>
        <row r="233">
          <cell r="B233">
            <v>36905</v>
          </cell>
          <cell r="C233" t="str">
            <v>Pamlico Community College</v>
          </cell>
          <cell r="D233">
            <v>3274361.7630293239</v>
          </cell>
          <cell r="E233">
            <v>3577401.5077290018</v>
          </cell>
          <cell r="F233">
            <v>28863283.236099988</v>
          </cell>
          <cell r="G233">
            <v>28647119.310463987</v>
          </cell>
          <cell r="H233">
            <v>183315.44</v>
          </cell>
          <cell r="I233">
            <v>207666.81999999998</v>
          </cell>
          <cell r="J233">
            <v>522672.1083150552</v>
          </cell>
          <cell r="K233">
            <v>559946.33963193127</v>
          </cell>
          <cell r="L233">
            <v>183315.44</v>
          </cell>
          <cell r="M233">
            <v>207666.81999999998</v>
          </cell>
          <cell r="N233">
            <v>0</v>
          </cell>
          <cell r="O233">
            <v>0</v>
          </cell>
          <cell r="P233">
            <v>0</v>
          </cell>
          <cell r="Q233">
            <v>0</v>
          </cell>
          <cell r="R233">
            <v>0</v>
          </cell>
          <cell r="T233">
            <v>0</v>
          </cell>
        </row>
        <row r="234">
          <cell r="B234">
            <v>37000</v>
          </cell>
          <cell r="C234" t="str">
            <v>Elizabeth City And Pasquotank County Schools</v>
          </cell>
          <cell r="D234">
            <v>30964110.284484569</v>
          </cell>
          <cell r="E234">
            <v>30658387.124872584</v>
          </cell>
          <cell r="F234">
            <v>332757912.24252808</v>
          </cell>
          <cell r="G234">
            <v>308087008.41017854</v>
          </cell>
          <cell r="H234">
            <v>1733528.52</v>
          </cell>
          <cell r="I234">
            <v>1779707.9100000001</v>
          </cell>
          <cell r="J234">
            <v>4942666.0753326472</v>
          </cell>
          <cell r="K234">
            <v>4798748.9278185833</v>
          </cell>
          <cell r="L234">
            <v>1733528.52</v>
          </cell>
          <cell r="M234">
            <v>1779707.9100000001</v>
          </cell>
          <cell r="N234">
            <v>0</v>
          </cell>
          <cell r="O234">
            <v>0</v>
          </cell>
          <cell r="P234">
            <v>0</v>
          </cell>
          <cell r="Q234">
            <v>0</v>
          </cell>
          <cell r="R234">
            <v>0</v>
          </cell>
          <cell r="T234">
            <v>0</v>
          </cell>
        </row>
        <row r="235">
          <cell r="B235">
            <v>37001</v>
          </cell>
          <cell r="C235" t="str">
            <v>N.E. ACADEMY OF AEROSPACE &amp; ADV.TECH</v>
          </cell>
          <cell r="D235">
            <v>525350.40451719856</v>
          </cell>
          <cell r="E235">
            <v>1033474.7010664229</v>
          </cell>
          <cell r="F235">
            <v>5375081.3422999987</v>
          </cell>
          <cell r="G235">
            <v>12119478.629130986</v>
          </cell>
          <cell r="H235">
            <v>29411.79</v>
          </cell>
          <cell r="I235">
            <v>59992.82</v>
          </cell>
          <cell r="J235">
            <v>83859.397160542823</v>
          </cell>
          <cell r="K235">
            <v>161762.76962876073</v>
          </cell>
          <cell r="L235">
            <v>29411.79</v>
          </cell>
          <cell r="M235">
            <v>59992.82</v>
          </cell>
          <cell r="N235">
            <v>0</v>
          </cell>
          <cell r="O235">
            <v>0</v>
          </cell>
          <cell r="P235">
            <v>0</v>
          </cell>
          <cell r="Q235">
            <v>0</v>
          </cell>
          <cell r="R235">
            <v>0</v>
          </cell>
          <cell r="T235">
            <v>0</v>
          </cell>
        </row>
        <row r="236">
          <cell r="B236">
            <v>37005</v>
          </cell>
          <cell r="C236" t="str">
            <v>College Of The Albemarle</v>
          </cell>
          <cell r="D236">
            <v>8273665.2729444532</v>
          </cell>
          <cell r="E236">
            <v>8461652.0870597586</v>
          </cell>
          <cell r="F236">
            <v>78274982.212499976</v>
          </cell>
          <cell r="G236">
            <v>69477270.843236879</v>
          </cell>
          <cell r="H236">
            <v>463201.9</v>
          </cell>
          <cell r="I236">
            <v>491195.74000000005</v>
          </cell>
          <cell r="J236">
            <v>1320689.1555263395</v>
          </cell>
          <cell r="K236">
            <v>1324444.880774877</v>
          </cell>
          <cell r="L236">
            <v>463201.9</v>
          </cell>
          <cell r="M236">
            <v>491195.74000000005</v>
          </cell>
          <cell r="N236">
            <v>0</v>
          </cell>
          <cell r="O236">
            <v>0</v>
          </cell>
          <cell r="P236">
            <v>0</v>
          </cell>
          <cell r="Q236">
            <v>0</v>
          </cell>
          <cell r="R236">
            <v>0</v>
          </cell>
          <cell r="T236">
            <v>0</v>
          </cell>
        </row>
        <row r="237">
          <cell r="B237">
            <v>37100</v>
          </cell>
          <cell r="C237" t="str">
            <v>Pender County Schools</v>
          </cell>
          <cell r="D237">
            <v>41739002.7318248</v>
          </cell>
          <cell r="E237">
            <v>44047773.275460571</v>
          </cell>
          <cell r="F237">
            <v>469086413.25363415</v>
          </cell>
          <cell r="G237">
            <v>459404254.3984701</v>
          </cell>
          <cell r="H237">
            <v>2336761.85</v>
          </cell>
          <cell r="I237">
            <v>2556956.77</v>
          </cell>
          <cell r="J237">
            <v>6662615.2318085637</v>
          </cell>
          <cell r="K237">
            <v>6894498.5239268653</v>
          </cell>
          <cell r="L237">
            <v>2336761.85</v>
          </cell>
          <cell r="M237">
            <v>2556956.77</v>
          </cell>
          <cell r="N237">
            <v>0</v>
          </cell>
          <cell r="O237">
            <v>0</v>
          </cell>
          <cell r="P237">
            <v>0</v>
          </cell>
          <cell r="Q237">
            <v>0</v>
          </cell>
          <cell r="R237">
            <v>0</v>
          </cell>
          <cell r="T237">
            <v>0</v>
          </cell>
        </row>
        <row r="238">
          <cell r="B238">
            <v>37200</v>
          </cell>
          <cell r="C238" t="str">
            <v>Perquimans County Schools</v>
          </cell>
          <cell r="D238">
            <v>10138785.054985629</v>
          </cell>
          <cell r="E238">
            <v>10182890.563182885</v>
          </cell>
          <cell r="F238">
            <v>106077821.91629998</v>
          </cell>
          <cell r="G238">
            <v>103116025.23351993</v>
          </cell>
          <cell r="H238">
            <v>567620.79999999993</v>
          </cell>
          <cell r="I238">
            <v>591112.99</v>
          </cell>
          <cell r="J238">
            <v>1618410.1036960022</v>
          </cell>
          <cell r="K238">
            <v>1593858.6388494147</v>
          </cell>
          <cell r="L238">
            <v>567620.79999999993</v>
          </cell>
          <cell r="M238">
            <v>591112.99</v>
          </cell>
          <cell r="N238">
            <v>0</v>
          </cell>
          <cell r="O238">
            <v>0</v>
          </cell>
          <cell r="P238">
            <v>0</v>
          </cell>
          <cell r="Q238">
            <v>0</v>
          </cell>
          <cell r="R238">
            <v>0</v>
          </cell>
          <cell r="T238">
            <v>0</v>
          </cell>
        </row>
        <row r="239">
          <cell r="B239">
            <v>37300</v>
          </cell>
          <cell r="C239" t="str">
            <v>Person County Schools</v>
          </cell>
          <cell r="D239">
            <v>25362369.060684435</v>
          </cell>
          <cell r="E239">
            <v>26044671.965837184</v>
          </cell>
          <cell r="F239">
            <v>278889167.66180271</v>
          </cell>
          <cell r="G239">
            <v>272406630.49796879</v>
          </cell>
          <cell r="H239">
            <v>1419914.53</v>
          </cell>
          <cell r="I239">
            <v>1511883.4700000002</v>
          </cell>
          <cell r="J239">
            <v>4048484.5194833605</v>
          </cell>
          <cell r="K239">
            <v>4076595.4569753748</v>
          </cell>
          <cell r="L239">
            <v>1419914.53</v>
          </cell>
          <cell r="M239">
            <v>1511883.4700000002</v>
          </cell>
          <cell r="N239">
            <v>0</v>
          </cell>
          <cell r="O239">
            <v>0</v>
          </cell>
          <cell r="P239">
            <v>0</v>
          </cell>
          <cell r="Q239">
            <v>0</v>
          </cell>
          <cell r="R239">
            <v>0</v>
          </cell>
          <cell r="T239">
            <v>0</v>
          </cell>
        </row>
        <row r="240">
          <cell r="B240">
            <v>37301</v>
          </cell>
          <cell r="C240" t="str">
            <v>Roxboro Community School</v>
          </cell>
          <cell r="D240">
            <v>2567657.7179447347</v>
          </cell>
          <cell r="E240">
            <v>2845826.425519323</v>
          </cell>
          <cell r="F240">
            <v>30536191.651600003</v>
          </cell>
          <cell r="G240">
            <v>31030166.309841964</v>
          </cell>
          <cell r="H240">
            <v>143750.54999999999</v>
          </cell>
          <cell r="I240">
            <v>165199.15999999997</v>
          </cell>
          <cell r="J240">
            <v>409864.01930982328</v>
          </cell>
          <cell r="K240">
            <v>445437.86509693629</v>
          </cell>
          <cell r="L240">
            <v>143750.54999999999</v>
          </cell>
          <cell r="M240">
            <v>165199.15999999997</v>
          </cell>
          <cell r="N240">
            <v>0</v>
          </cell>
          <cell r="O240">
            <v>0</v>
          </cell>
          <cell r="P240">
            <v>0</v>
          </cell>
          <cell r="Q240">
            <v>0</v>
          </cell>
          <cell r="R240">
            <v>0</v>
          </cell>
          <cell r="T240">
            <v>0</v>
          </cell>
        </row>
        <row r="241">
          <cell r="B241">
            <v>37305</v>
          </cell>
          <cell r="C241" t="str">
            <v>Piedmont Community College</v>
          </cell>
          <cell r="D241">
            <v>9038855.2464110572</v>
          </cell>
          <cell r="E241">
            <v>8994305.3023758288</v>
          </cell>
          <cell r="F241">
            <v>81814079.883749932</v>
          </cell>
          <cell r="G241">
            <v>65074501.857927896</v>
          </cell>
          <cell r="H241">
            <v>506041.13</v>
          </cell>
          <cell r="I241">
            <v>522116.06000000011</v>
          </cell>
          <cell r="J241">
            <v>1442833.0985716912</v>
          </cell>
          <cell r="K241">
            <v>1407817.4677112401</v>
          </cell>
          <cell r="L241">
            <v>506041.13</v>
          </cell>
          <cell r="M241">
            <v>522116.06000000011</v>
          </cell>
          <cell r="N241">
            <v>0</v>
          </cell>
          <cell r="O241">
            <v>0</v>
          </cell>
          <cell r="P241">
            <v>0</v>
          </cell>
          <cell r="Q241">
            <v>0</v>
          </cell>
          <cell r="R241">
            <v>0</v>
          </cell>
          <cell r="T241">
            <v>0</v>
          </cell>
        </row>
        <row r="242">
          <cell r="B242">
            <v>37400</v>
          </cell>
          <cell r="C242" t="str">
            <v>Pitt County Schools</v>
          </cell>
          <cell r="D242">
            <v>116972008.94740286</v>
          </cell>
          <cell r="E242">
            <v>119690393.45399933</v>
          </cell>
          <cell r="F242">
            <v>1375046115.4647663</v>
          </cell>
          <cell r="G242">
            <v>1293479586.9386725</v>
          </cell>
          <cell r="H242">
            <v>6548688.5199999996</v>
          </cell>
          <cell r="I242">
            <v>6947982.5899999989</v>
          </cell>
          <cell r="J242">
            <v>18671732.37260865</v>
          </cell>
          <cell r="K242">
            <v>18734323.658911355</v>
          </cell>
          <cell r="L242">
            <v>6548688.5199999996</v>
          </cell>
          <cell r="M242">
            <v>6947982.5899999989</v>
          </cell>
          <cell r="N242">
            <v>0</v>
          </cell>
          <cell r="O242">
            <v>0</v>
          </cell>
          <cell r="P242">
            <v>0</v>
          </cell>
          <cell r="Q242">
            <v>0</v>
          </cell>
          <cell r="R242">
            <v>0</v>
          </cell>
          <cell r="T242">
            <v>0</v>
          </cell>
        </row>
        <row r="243">
          <cell r="B243">
            <v>37405</v>
          </cell>
          <cell r="C243" t="str">
            <v>Pitt Community College</v>
          </cell>
          <cell r="D243">
            <v>27665803.396327414</v>
          </cell>
          <cell r="E243">
            <v>29111928.241287407</v>
          </cell>
          <cell r="F243">
            <v>305333633.06653422</v>
          </cell>
          <cell r="G243">
            <v>271266907.47741783</v>
          </cell>
          <cell r="H243">
            <v>1548872.51</v>
          </cell>
          <cell r="I243">
            <v>1689936.5499999998</v>
          </cell>
          <cell r="J243">
            <v>4416171.7109749811</v>
          </cell>
          <cell r="K243">
            <v>4556692.2312515508</v>
          </cell>
          <cell r="L243">
            <v>1548872.51</v>
          </cell>
          <cell r="M243">
            <v>1689936.5499999998</v>
          </cell>
          <cell r="N243">
            <v>0</v>
          </cell>
          <cell r="O243">
            <v>0</v>
          </cell>
          <cell r="P243">
            <v>0</v>
          </cell>
          <cell r="Q243">
            <v>0</v>
          </cell>
          <cell r="R243">
            <v>0</v>
          </cell>
          <cell r="T243">
            <v>0</v>
          </cell>
        </row>
        <row r="244">
          <cell r="B244">
            <v>37500</v>
          </cell>
          <cell r="C244" t="str">
            <v>Polk County Schools</v>
          </cell>
          <cell r="D244">
            <v>15035115.077906821</v>
          </cell>
          <cell r="E244">
            <v>14814341.409230214</v>
          </cell>
          <cell r="F244">
            <v>155277060.76849994</v>
          </cell>
          <cell r="G244">
            <v>143937323.11182672</v>
          </cell>
          <cell r="H244">
            <v>841742.28</v>
          </cell>
          <cell r="I244">
            <v>859966.9800000001</v>
          </cell>
          <cell r="J244">
            <v>2399989.9416302387</v>
          </cell>
          <cell r="K244">
            <v>2318788.156217379</v>
          </cell>
          <cell r="L244">
            <v>841742.28</v>
          </cell>
          <cell r="M244">
            <v>859966.9800000001</v>
          </cell>
          <cell r="N244">
            <v>0</v>
          </cell>
          <cell r="O244">
            <v>0</v>
          </cell>
          <cell r="P244">
            <v>0</v>
          </cell>
          <cell r="Q244">
            <v>0</v>
          </cell>
          <cell r="R244">
            <v>0</v>
          </cell>
          <cell r="T244">
            <v>0</v>
          </cell>
        </row>
        <row r="245">
          <cell r="B245">
            <v>37600</v>
          </cell>
          <cell r="C245" t="str">
            <v>Randolph County Schools</v>
          </cell>
          <cell r="D245">
            <v>83452976.121289343</v>
          </cell>
          <cell r="E245">
            <v>86299513.79462254</v>
          </cell>
          <cell r="F245">
            <v>949215821.66498089</v>
          </cell>
          <cell r="G245">
            <v>903023771.75274193</v>
          </cell>
          <cell r="H245">
            <v>4672122.43</v>
          </cell>
          <cell r="I245">
            <v>5009654.51</v>
          </cell>
          <cell r="J245">
            <v>13321235.138699494</v>
          </cell>
          <cell r="K245">
            <v>13507876.249538064</v>
          </cell>
          <cell r="L245">
            <v>4672122.43</v>
          </cell>
          <cell r="M245">
            <v>5009654.51</v>
          </cell>
          <cell r="N245">
            <v>0</v>
          </cell>
          <cell r="O245">
            <v>0</v>
          </cell>
          <cell r="P245">
            <v>0</v>
          </cell>
          <cell r="Q245">
            <v>0</v>
          </cell>
          <cell r="R245">
            <v>0</v>
          </cell>
          <cell r="T245">
            <v>0</v>
          </cell>
        </row>
        <row r="246">
          <cell r="B246">
            <v>37601</v>
          </cell>
          <cell r="C246" t="str">
            <v>Uwharrie Charter Academy</v>
          </cell>
          <cell r="D246">
            <v>2243354.590067415</v>
          </cell>
          <cell r="E246">
            <v>3016898.3283719029</v>
          </cell>
          <cell r="F246">
            <v>30084825.061999999</v>
          </cell>
          <cell r="G246">
            <v>36767887.207964979</v>
          </cell>
          <cell r="H246">
            <v>125594.41</v>
          </cell>
          <cell r="I246">
            <v>175129.82</v>
          </cell>
          <cell r="J246">
            <v>358096.92335400369</v>
          </cell>
          <cell r="K246">
            <v>472214.58714203356</v>
          </cell>
          <cell r="L246">
            <v>125594.41</v>
          </cell>
          <cell r="M246">
            <v>175129.82</v>
          </cell>
          <cell r="N246">
            <v>0</v>
          </cell>
          <cell r="O246">
            <v>0</v>
          </cell>
          <cell r="P246">
            <v>0</v>
          </cell>
          <cell r="Q246">
            <v>0</v>
          </cell>
          <cell r="R246">
            <v>0</v>
          </cell>
          <cell r="T246">
            <v>0</v>
          </cell>
        </row>
        <row r="247">
          <cell r="B247">
            <v>37605</v>
          </cell>
          <cell r="C247" t="str">
            <v>Randolph Community College</v>
          </cell>
          <cell r="D247">
            <v>10384906.653599625</v>
          </cell>
          <cell r="E247">
            <v>10831037.545612894</v>
          </cell>
          <cell r="F247">
            <v>114348177.09332833</v>
          </cell>
          <cell r="G247">
            <v>102819740.76210187</v>
          </cell>
          <cell r="H247">
            <v>581399.93999999994</v>
          </cell>
          <cell r="I247">
            <v>628737.67999999993</v>
          </cell>
          <cell r="J247">
            <v>1657697.4226177926</v>
          </cell>
          <cell r="K247">
            <v>1695308.6800514041</v>
          </cell>
          <cell r="L247">
            <v>581399.93999999994</v>
          </cell>
          <cell r="M247">
            <v>628737.67999999993</v>
          </cell>
          <cell r="N247">
            <v>0</v>
          </cell>
          <cell r="O247">
            <v>0</v>
          </cell>
          <cell r="P247">
            <v>0</v>
          </cell>
          <cell r="Q247">
            <v>0</v>
          </cell>
          <cell r="R247">
            <v>0</v>
          </cell>
          <cell r="T247">
            <v>0</v>
          </cell>
        </row>
        <row r="248">
          <cell r="B248">
            <v>37610</v>
          </cell>
          <cell r="C248" t="str">
            <v>Asheboro City Schools</v>
          </cell>
          <cell r="D248">
            <v>23940299.557365824</v>
          </cell>
          <cell r="E248">
            <v>25368166.144426282</v>
          </cell>
          <cell r="F248">
            <v>290741738.90029997</v>
          </cell>
          <cell r="G248">
            <v>283491866.94597858</v>
          </cell>
          <cell r="H248">
            <v>1340299.8400000001</v>
          </cell>
          <cell r="I248">
            <v>1472612.5600000003</v>
          </cell>
          <cell r="J248">
            <v>3821485.7578124967</v>
          </cell>
          <cell r="K248">
            <v>3970706.5994847324</v>
          </cell>
          <cell r="L248">
            <v>1340299.8400000001</v>
          </cell>
          <cell r="M248">
            <v>1472612.5600000003</v>
          </cell>
          <cell r="N248">
            <v>0</v>
          </cell>
          <cell r="O248">
            <v>0</v>
          </cell>
          <cell r="P248">
            <v>0</v>
          </cell>
          <cell r="Q248">
            <v>0</v>
          </cell>
          <cell r="R248">
            <v>0</v>
          </cell>
          <cell r="T248">
            <v>0</v>
          </cell>
        </row>
        <row r="249">
          <cell r="B249">
            <v>37700</v>
          </cell>
          <cell r="C249" t="str">
            <v>Richmond County Schools</v>
          </cell>
          <cell r="D249">
            <v>36928933.889285728</v>
          </cell>
          <cell r="E249">
            <v>37958971.613284469</v>
          </cell>
          <cell r="F249">
            <v>405573250.77566701</v>
          </cell>
          <cell r="G249">
            <v>378798589.57496321</v>
          </cell>
          <cell r="H249">
            <v>2067469.7099999997</v>
          </cell>
          <cell r="I249">
            <v>2203504.1100000003</v>
          </cell>
          <cell r="J249">
            <v>5894804.8904293915</v>
          </cell>
          <cell r="K249">
            <v>5941459.7900541686</v>
          </cell>
          <cell r="L249">
            <v>2067469.7099999997</v>
          </cell>
          <cell r="M249">
            <v>2203504.1100000003</v>
          </cell>
          <cell r="N249">
            <v>0</v>
          </cell>
          <cell r="O249">
            <v>0</v>
          </cell>
          <cell r="P249">
            <v>0</v>
          </cell>
          <cell r="Q249">
            <v>0</v>
          </cell>
          <cell r="R249">
            <v>0</v>
          </cell>
          <cell r="T249">
            <v>0</v>
          </cell>
        </row>
        <row r="250">
          <cell r="B250">
            <v>37705</v>
          </cell>
          <cell r="C250" t="str">
            <v>Richmond Technical College</v>
          </cell>
          <cell r="D250">
            <v>10952508.664287999</v>
          </cell>
          <cell r="E250">
            <v>11721415.201006364</v>
          </cell>
          <cell r="F250">
            <v>117724140.23142754</v>
          </cell>
          <cell r="G250">
            <v>104863737.45935293</v>
          </cell>
          <cell r="H250">
            <v>613177.19000000006</v>
          </cell>
          <cell r="I250">
            <v>680423.77000000014</v>
          </cell>
          <cell r="J250">
            <v>1748301.2596647681</v>
          </cell>
          <cell r="K250">
            <v>1834673.4418625913</v>
          </cell>
          <cell r="L250">
            <v>613177.19000000006</v>
          </cell>
          <cell r="M250">
            <v>680423.77000000014</v>
          </cell>
          <cell r="N250">
            <v>0</v>
          </cell>
          <cell r="O250">
            <v>0</v>
          </cell>
          <cell r="P250">
            <v>0</v>
          </cell>
          <cell r="Q250">
            <v>0</v>
          </cell>
          <cell r="R250">
            <v>0</v>
          </cell>
          <cell r="T250">
            <v>0</v>
          </cell>
        </row>
        <row r="251">
          <cell r="B251">
            <v>37800</v>
          </cell>
          <cell r="C251" t="str">
            <v>Robeson County Schools</v>
          </cell>
          <cell r="D251">
            <v>113011828.34260319</v>
          </cell>
          <cell r="E251">
            <v>118424851.45292202</v>
          </cell>
          <cell r="F251">
            <v>1221532959.1897588</v>
          </cell>
          <cell r="G251">
            <v>1162520811.3048315</v>
          </cell>
          <cell r="H251">
            <v>6326977.4499999993</v>
          </cell>
          <cell r="I251">
            <v>6874518.3499999996</v>
          </cell>
          <cell r="J251">
            <v>18039585.989337895</v>
          </cell>
          <cell r="K251">
            <v>18536236.972353332</v>
          </cell>
          <cell r="L251">
            <v>6326977.4499999993</v>
          </cell>
          <cell r="M251">
            <v>6874518.3499999996</v>
          </cell>
          <cell r="N251">
            <v>0</v>
          </cell>
          <cell r="O251">
            <v>0</v>
          </cell>
          <cell r="P251">
            <v>0</v>
          </cell>
          <cell r="Q251">
            <v>0</v>
          </cell>
          <cell r="R251">
            <v>0</v>
          </cell>
          <cell r="T251">
            <v>0</v>
          </cell>
        </row>
        <row r="252">
          <cell r="B252">
            <v>37801</v>
          </cell>
          <cell r="C252" t="str">
            <v>Southeastern Academy Charter School</v>
          </cell>
          <cell r="D252">
            <v>693159.72477163619</v>
          </cell>
          <cell r="E252">
            <v>722732.30346463248</v>
          </cell>
          <cell r="F252">
            <v>7657240.9675000003</v>
          </cell>
          <cell r="G252">
            <v>9363469.0708739925</v>
          </cell>
          <cell r="H252">
            <v>38806.61</v>
          </cell>
          <cell r="I252">
            <v>41954.340000000004</v>
          </cell>
          <cell r="J252">
            <v>110646.06813948734</v>
          </cell>
          <cell r="K252">
            <v>113124.37448925892</v>
          </cell>
          <cell r="L252">
            <v>38806.61</v>
          </cell>
          <cell r="M252">
            <v>41954.340000000004</v>
          </cell>
          <cell r="N252">
            <v>0</v>
          </cell>
          <cell r="O252">
            <v>0</v>
          </cell>
          <cell r="P252">
            <v>0</v>
          </cell>
          <cell r="Q252">
            <v>0</v>
          </cell>
          <cell r="R252">
            <v>0</v>
          </cell>
          <cell r="T252">
            <v>0</v>
          </cell>
        </row>
        <row r="253">
          <cell r="B253">
            <v>37805</v>
          </cell>
          <cell r="C253" t="str">
            <v>Robeson Community College</v>
          </cell>
          <cell r="D253">
            <v>9676642.907547418</v>
          </cell>
          <cell r="E253">
            <v>9673956.7082152423</v>
          </cell>
          <cell r="F253">
            <v>100100336.04870005</v>
          </cell>
          <cell r="G253">
            <v>83306658.353723899</v>
          </cell>
          <cell r="H253">
            <v>541747.73</v>
          </cell>
          <cell r="I253">
            <v>561569.56999999995</v>
          </cell>
          <cell r="J253">
            <v>1544640.3653396314</v>
          </cell>
          <cell r="K253">
            <v>1514198.6821495008</v>
          </cell>
          <cell r="L253">
            <v>541747.73</v>
          </cell>
          <cell r="M253">
            <v>561569.56999999995</v>
          </cell>
          <cell r="N253">
            <v>0</v>
          </cell>
          <cell r="O253">
            <v>0</v>
          </cell>
          <cell r="P253">
            <v>0</v>
          </cell>
          <cell r="Q253">
            <v>0</v>
          </cell>
          <cell r="R253">
            <v>0</v>
          </cell>
          <cell r="T253">
            <v>0</v>
          </cell>
        </row>
        <row r="254">
          <cell r="B254">
            <v>37900</v>
          </cell>
          <cell r="C254" t="str">
            <v>Rockingham County Schools</v>
          </cell>
          <cell r="D254">
            <v>63694943.618241444</v>
          </cell>
          <cell r="E254">
            <v>62943281.883179337</v>
          </cell>
          <cell r="F254">
            <v>664846029.47670257</v>
          </cell>
          <cell r="G254">
            <v>620087213.64446712</v>
          </cell>
          <cell r="H254">
            <v>3565967.19</v>
          </cell>
          <cell r="I254">
            <v>3653833.9800000004</v>
          </cell>
          <cell r="J254">
            <v>10167346.456902992</v>
          </cell>
          <cell r="K254">
            <v>9852084.0388646182</v>
          </cell>
          <cell r="L254">
            <v>3565967.19</v>
          </cell>
          <cell r="M254">
            <v>3653833.9800000004</v>
          </cell>
          <cell r="N254">
            <v>0</v>
          </cell>
          <cell r="O254">
            <v>0</v>
          </cell>
          <cell r="P254">
            <v>0</v>
          </cell>
          <cell r="Q254">
            <v>0</v>
          </cell>
          <cell r="R254">
            <v>0</v>
          </cell>
          <cell r="T254">
            <v>0</v>
          </cell>
        </row>
        <row r="255">
          <cell r="B255">
            <v>37901</v>
          </cell>
          <cell r="C255" t="str">
            <v>Bethany Community Middle School</v>
          </cell>
          <cell r="D255">
            <v>765469.69079542742</v>
          </cell>
          <cell r="E255">
            <v>870379.59377585922</v>
          </cell>
          <cell r="F255">
            <v>9814330.6091000009</v>
          </cell>
          <cell r="G255">
            <v>8541701.1664729919</v>
          </cell>
          <cell r="H255">
            <v>42854.89</v>
          </cell>
          <cell r="I255">
            <v>50525.21</v>
          </cell>
          <cell r="J255">
            <v>122188.59310437668</v>
          </cell>
          <cell r="K255">
            <v>136234.60116851915</v>
          </cell>
          <cell r="L255">
            <v>42854.89</v>
          </cell>
          <cell r="M255">
            <v>50525.21</v>
          </cell>
          <cell r="N255">
            <v>0</v>
          </cell>
          <cell r="O255">
            <v>0</v>
          </cell>
          <cell r="P255">
            <v>0</v>
          </cell>
          <cell r="Q255">
            <v>0</v>
          </cell>
          <cell r="R255">
            <v>0</v>
          </cell>
          <cell r="T255">
            <v>0</v>
          </cell>
        </row>
        <row r="256">
          <cell r="B256">
            <v>37905</v>
          </cell>
          <cell r="C256" t="str">
            <v>Rockingham Community College</v>
          </cell>
          <cell r="D256">
            <v>8033007.629048679</v>
          </cell>
          <cell r="E256">
            <v>8366768.7886085166</v>
          </cell>
          <cell r="F256">
            <v>75719521.621150032</v>
          </cell>
          <cell r="G256">
            <v>69309993.364459977</v>
          </cell>
          <cell r="H256">
            <v>449728.66</v>
          </cell>
          <cell r="I256">
            <v>485687.80000000016</v>
          </cell>
          <cell r="J256">
            <v>1282274.0239005762</v>
          </cell>
          <cell r="K256">
            <v>1309593.4430636808</v>
          </cell>
          <cell r="L256">
            <v>449728.66</v>
          </cell>
          <cell r="M256">
            <v>485687.80000000016</v>
          </cell>
          <cell r="N256">
            <v>0</v>
          </cell>
          <cell r="O256">
            <v>0</v>
          </cell>
          <cell r="P256">
            <v>0</v>
          </cell>
          <cell r="Q256">
            <v>0</v>
          </cell>
          <cell r="R256">
            <v>0</v>
          </cell>
          <cell r="T256">
            <v>0</v>
          </cell>
        </row>
        <row r="257">
          <cell r="B257">
            <v>38000</v>
          </cell>
          <cell r="C257" t="str">
            <v>Rowan-Salisbury School System</v>
          </cell>
          <cell r="D257">
            <v>96701429.448605418</v>
          </cell>
          <cell r="E257">
            <v>100687984.24390092</v>
          </cell>
          <cell r="F257">
            <v>1063827735.6275914</v>
          </cell>
          <cell r="G257">
            <v>1022596537.0759444</v>
          </cell>
          <cell r="H257">
            <v>5413838.29</v>
          </cell>
          <cell r="I257">
            <v>5844899.8400000008</v>
          </cell>
          <cell r="J257">
            <v>15436028.046034057</v>
          </cell>
          <cell r="K257">
            <v>15760005.719369428</v>
          </cell>
          <cell r="L257">
            <v>5413838.29</v>
          </cell>
          <cell r="M257">
            <v>5844899.8400000008</v>
          </cell>
          <cell r="N257">
            <v>0</v>
          </cell>
          <cell r="O257">
            <v>0</v>
          </cell>
          <cell r="P257">
            <v>0</v>
          </cell>
          <cell r="Q257">
            <v>0</v>
          </cell>
          <cell r="R257">
            <v>0</v>
          </cell>
          <cell r="T257">
            <v>0</v>
          </cell>
        </row>
        <row r="258">
          <cell r="B258">
            <v>38005</v>
          </cell>
          <cell r="C258" t="str">
            <v>Rowan-Cabarrus Community College</v>
          </cell>
          <cell r="D258">
            <v>20849938.03238868</v>
          </cell>
          <cell r="E258">
            <v>20155247.126111947</v>
          </cell>
          <cell r="F258">
            <v>226478136.59690002</v>
          </cell>
          <cell r="G258">
            <v>183100319.32193506</v>
          </cell>
          <cell r="H258">
            <v>1167285.67</v>
          </cell>
          <cell r="I258">
            <v>1170004.5599999998</v>
          </cell>
          <cell r="J258">
            <v>3328184.8061726373</v>
          </cell>
          <cell r="K258">
            <v>3154763.821802001</v>
          </cell>
          <cell r="L258">
            <v>1167285.67</v>
          </cell>
          <cell r="M258">
            <v>1170004.5599999998</v>
          </cell>
          <cell r="N258">
            <v>0</v>
          </cell>
          <cell r="O258">
            <v>0</v>
          </cell>
          <cell r="P258">
            <v>0</v>
          </cell>
          <cell r="Q258">
            <v>0</v>
          </cell>
          <cell r="R258">
            <v>0</v>
          </cell>
          <cell r="T258">
            <v>0</v>
          </cell>
        </row>
        <row r="259">
          <cell r="B259">
            <v>38100</v>
          </cell>
          <cell r="C259" t="str">
            <v>Rutherford County Schools</v>
          </cell>
          <cell r="D259">
            <v>45727085.050865203</v>
          </cell>
          <cell r="E259">
            <v>46787594.88387011</v>
          </cell>
          <cell r="F259">
            <v>483787440.85721403</v>
          </cell>
          <cell r="G259">
            <v>450185538.55312169</v>
          </cell>
          <cell r="H259">
            <v>2560035.0000000005</v>
          </cell>
          <cell r="I259">
            <v>2716002.39</v>
          </cell>
          <cell r="J259">
            <v>7299215.4442109875</v>
          </cell>
          <cell r="K259">
            <v>7323344.1755985729</v>
          </cell>
          <cell r="L259">
            <v>2560035.0000000005</v>
          </cell>
          <cell r="M259">
            <v>2716002.39</v>
          </cell>
          <cell r="N259">
            <v>0</v>
          </cell>
          <cell r="O259">
            <v>0</v>
          </cell>
          <cell r="P259">
            <v>0</v>
          </cell>
          <cell r="Q259">
            <v>0</v>
          </cell>
          <cell r="R259">
            <v>0</v>
          </cell>
          <cell r="T259">
            <v>0</v>
          </cell>
        </row>
        <row r="260">
          <cell r="B260">
            <v>38105</v>
          </cell>
          <cell r="C260" t="str">
            <v>Isothermal Community College</v>
          </cell>
          <cell r="D260">
            <v>9389086.8846137021</v>
          </cell>
          <cell r="E260">
            <v>9459554.8105258606</v>
          </cell>
          <cell r="F260">
            <v>102012225.57402246</v>
          </cell>
          <cell r="G260">
            <v>86375398.725624949</v>
          </cell>
          <cell r="H260">
            <v>525648.88000000012</v>
          </cell>
          <cell r="I260">
            <v>549123.62</v>
          </cell>
          <cell r="J260">
            <v>1498739.049711511</v>
          </cell>
          <cell r="K260">
            <v>1480639.8105601829</v>
          </cell>
          <cell r="L260">
            <v>525648.88000000012</v>
          </cell>
          <cell r="M260">
            <v>549123.62</v>
          </cell>
          <cell r="N260">
            <v>0</v>
          </cell>
          <cell r="O260">
            <v>0</v>
          </cell>
          <cell r="P260">
            <v>0</v>
          </cell>
          <cell r="Q260">
            <v>0</v>
          </cell>
          <cell r="R260">
            <v>0</v>
          </cell>
          <cell r="T260">
            <v>0</v>
          </cell>
        </row>
        <row r="261">
          <cell r="B261">
            <v>38200</v>
          </cell>
          <cell r="C261" t="str">
            <v>Sampson County Schools</v>
          </cell>
          <cell r="D261">
            <v>42774440.012825973</v>
          </cell>
          <cell r="E261">
            <v>43027604.430980049</v>
          </cell>
          <cell r="F261">
            <v>476345202.25749987</v>
          </cell>
          <cell r="G261">
            <v>440038813.65153754</v>
          </cell>
          <cell r="H261">
            <v>2394730.9</v>
          </cell>
          <cell r="I261">
            <v>2497736.35</v>
          </cell>
          <cell r="J261">
            <v>6827897.5756227057</v>
          </cell>
          <cell r="K261">
            <v>6734818.4295792682</v>
          </cell>
          <cell r="L261">
            <v>2394730.9</v>
          </cell>
          <cell r="M261">
            <v>2497736.35</v>
          </cell>
          <cell r="N261">
            <v>0</v>
          </cell>
          <cell r="O261">
            <v>0</v>
          </cell>
          <cell r="P261">
            <v>0</v>
          </cell>
          <cell r="Q261">
            <v>0</v>
          </cell>
          <cell r="R261">
            <v>0</v>
          </cell>
          <cell r="T261">
            <v>0</v>
          </cell>
        </row>
        <row r="262">
          <cell r="B262">
            <v>38205</v>
          </cell>
          <cell r="C262" t="str">
            <v>Sampson Community College</v>
          </cell>
          <cell r="D262">
            <v>6838324.7363582896</v>
          </cell>
          <cell r="E262">
            <v>7107113.3026191806</v>
          </cell>
          <cell r="F262">
            <v>65200642.752300002</v>
          </cell>
          <cell r="G262">
            <v>58145105.223960929</v>
          </cell>
          <cell r="H262">
            <v>382844.23</v>
          </cell>
          <cell r="I262">
            <v>412565.27</v>
          </cell>
          <cell r="J262">
            <v>1091571.9966106177</v>
          </cell>
          <cell r="K262">
            <v>1112428.1326971706</v>
          </cell>
          <cell r="L262">
            <v>382844.23</v>
          </cell>
          <cell r="M262">
            <v>412565.27</v>
          </cell>
          <cell r="N262">
            <v>0</v>
          </cell>
          <cell r="O262">
            <v>0</v>
          </cell>
          <cell r="P262">
            <v>0</v>
          </cell>
          <cell r="Q262">
            <v>0</v>
          </cell>
          <cell r="R262">
            <v>0</v>
          </cell>
          <cell r="T262">
            <v>0</v>
          </cell>
        </row>
        <row r="263">
          <cell r="B263">
            <v>38210</v>
          </cell>
          <cell r="C263" t="str">
            <v>Clinton City Schools</v>
          </cell>
          <cell r="D263">
            <v>15468423.298627207</v>
          </cell>
          <cell r="E263">
            <v>16155622.916209143</v>
          </cell>
          <cell r="F263">
            <v>174115813.97849998</v>
          </cell>
          <cell r="G263">
            <v>166544969.64512578</v>
          </cell>
          <cell r="H263">
            <v>866001.07999999973</v>
          </cell>
          <cell r="I263">
            <v>937827.87</v>
          </cell>
          <cell r="J263">
            <v>2469157.0458370266</v>
          </cell>
          <cell r="K263">
            <v>2528729.8327740119</v>
          </cell>
          <cell r="L263">
            <v>866001.07999999973</v>
          </cell>
          <cell r="M263">
            <v>937827.87</v>
          </cell>
          <cell r="N263">
            <v>0</v>
          </cell>
          <cell r="O263">
            <v>0</v>
          </cell>
          <cell r="P263">
            <v>0</v>
          </cell>
          <cell r="Q263">
            <v>0</v>
          </cell>
          <cell r="R263">
            <v>0</v>
          </cell>
          <cell r="T263">
            <v>0</v>
          </cell>
        </row>
        <row r="264">
          <cell r="B264">
            <v>38300</v>
          </cell>
          <cell r="C264" t="str">
            <v>Scotland County Schools</v>
          </cell>
          <cell r="D264">
            <v>33930884.977247059</v>
          </cell>
          <cell r="E264">
            <v>34394196.19893463</v>
          </cell>
          <cell r="F264">
            <v>369430242.53882217</v>
          </cell>
          <cell r="G264">
            <v>345579070.7742579</v>
          </cell>
          <cell r="H264">
            <v>1899623.67</v>
          </cell>
          <cell r="I264">
            <v>1996570.2300000002</v>
          </cell>
          <cell r="J264">
            <v>5416239.3991694469</v>
          </cell>
          <cell r="K264">
            <v>5383489.7269895272</v>
          </cell>
          <cell r="L264">
            <v>1899623.67</v>
          </cell>
          <cell r="M264">
            <v>1996570.2300000002</v>
          </cell>
          <cell r="N264">
            <v>0</v>
          </cell>
          <cell r="O264">
            <v>0</v>
          </cell>
          <cell r="P264">
            <v>0</v>
          </cell>
          <cell r="Q264">
            <v>0</v>
          </cell>
          <cell r="R264">
            <v>0</v>
          </cell>
          <cell r="T264">
            <v>0</v>
          </cell>
        </row>
        <row r="265">
          <cell r="B265">
            <v>38400</v>
          </cell>
          <cell r="C265" t="str">
            <v>Stanly County Schools</v>
          </cell>
          <cell r="D265">
            <v>41764547.032715701</v>
          </cell>
          <cell r="E265">
            <v>42796385.026180372</v>
          </cell>
          <cell r="F265">
            <v>458713322.32009977</v>
          </cell>
          <cell r="G265">
            <v>428548751.62863362</v>
          </cell>
          <cell r="H265">
            <v>2338191.9500000002</v>
          </cell>
          <cell r="I265">
            <v>2484314.15</v>
          </cell>
          <cell r="J265">
            <v>6666692.7573137879</v>
          </cell>
          <cell r="K265">
            <v>6698627.2279236168</v>
          </cell>
          <cell r="L265">
            <v>2338191.9500000002</v>
          </cell>
          <cell r="M265">
            <v>2484314.15</v>
          </cell>
          <cell r="N265">
            <v>0</v>
          </cell>
          <cell r="O265">
            <v>0</v>
          </cell>
          <cell r="P265">
            <v>0</v>
          </cell>
          <cell r="Q265">
            <v>0</v>
          </cell>
          <cell r="R265">
            <v>0</v>
          </cell>
          <cell r="T265">
            <v>0</v>
          </cell>
        </row>
        <row r="266">
          <cell r="B266">
            <v>38402</v>
          </cell>
          <cell r="C266" t="str">
            <v>Gray Stone Day School</v>
          </cell>
          <cell r="D266">
            <v>1385648.5566396555</v>
          </cell>
          <cell r="E266">
            <v>1560866.7283194412</v>
          </cell>
          <cell r="F266">
            <v>16404845.884299995</v>
          </cell>
          <cell r="G266">
            <v>17561382.264398977</v>
          </cell>
          <cell r="H266">
            <v>77575.659999999989</v>
          </cell>
          <cell r="I266">
            <v>90607.729999999981</v>
          </cell>
          <cell r="J266">
            <v>221185.04456652363</v>
          </cell>
          <cell r="K266">
            <v>244311.8585619904</v>
          </cell>
          <cell r="L266">
            <v>77575.659999999989</v>
          </cell>
          <cell r="M266">
            <v>90607.729999999981</v>
          </cell>
          <cell r="N266">
            <v>0</v>
          </cell>
          <cell r="O266">
            <v>0</v>
          </cell>
          <cell r="P266">
            <v>0</v>
          </cell>
          <cell r="Q266">
            <v>0</v>
          </cell>
          <cell r="R266">
            <v>0</v>
          </cell>
          <cell r="T266">
            <v>0</v>
          </cell>
        </row>
        <row r="267">
          <cell r="B267">
            <v>38405</v>
          </cell>
          <cell r="C267" t="str">
            <v>Stanly Community College</v>
          </cell>
          <cell r="D267">
            <v>10150218.992003527</v>
          </cell>
          <cell r="E267">
            <v>10779303.534546891</v>
          </cell>
          <cell r="F267">
            <v>117070466.92346326</v>
          </cell>
          <cell r="G267">
            <v>102752607.64582583</v>
          </cell>
          <cell r="H267">
            <v>568260.92999999993</v>
          </cell>
          <cell r="I267">
            <v>625734.5399999998</v>
          </cell>
          <cell r="J267">
            <v>1620235.2532671222</v>
          </cell>
          <cell r="K267">
            <v>1687211.1069754434</v>
          </cell>
          <cell r="L267">
            <v>568260.92999999993</v>
          </cell>
          <cell r="M267">
            <v>625734.5399999998</v>
          </cell>
          <cell r="N267">
            <v>0</v>
          </cell>
          <cell r="O267">
            <v>0</v>
          </cell>
          <cell r="P267">
            <v>0</v>
          </cell>
          <cell r="Q267">
            <v>0</v>
          </cell>
          <cell r="R267">
            <v>0</v>
          </cell>
          <cell r="T267">
            <v>0</v>
          </cell>
        </row>
        <row r="268">
          <cell r="B268">
            <v>38500</v>
          </cell>
          <cell r="C268" t="str">
            <v>Stokes County Schools</v>
          </cell>
          <cell r="D268">
            <v>33601512.463987008</v>
          </cell>
          <cell r="E268">
            <v>33512975.708462659</v>
          </cell>
          <cell r="F268">
            <v>367779268.44990003</v>
          </cell>
          <cell r="G268">
            <v>334819335.50599766</v>
          </cell>
          <cell r="H268">
            <v>1881183.72</v>
          </cell>
          <cell r="I268">
            <v>1945415.71</v>
          </cell>
          <cell r="J268">
            <v>5363663.0993022658</v>
          </cell>
          <cell r="K268">
            <v>5245558.2739551496</v>
          </cell>
          <cell r="L268">
            <v>1881183.72</v>
          </cell>
          <cell r="M268">
            <v>1945415.71</v>
          </cell>
          <cell r="N268">
            <v>0</v>
          </cell>
          <cell r="O268">
            <v>0</v>
          </cell>
          <cell r="P268">
            <v>0</v>
          </cell>
          <cell r="Q268">
            <v>0</v>
          </cell>
          <cell r="R268">
            <v>0</v>
          </cell>
          <cell r="T268">
            <v>0</v>
          </cell>
        </row>
        <row r="269">
          <cell r="B269">
            <v>38600</v>
          </cell>
          <cell r="C269" t="str">
            <v>Surry County Schools</v>
          </cell>
          <cell r="D269">
            <v>41423892.587193064</v>
          </cell>
          <cell r="E269">
            <v>42550806.355770677</v>
          </cell>
          <cell r="F269">
            <v>450038630.31700045</v>
          </cell>
          <cell r="G269">
            <v>430976423.13745254</v>
          </cell>
          <cell r="H269">
            <v>2319120.38</v>
          </cell>
          <cell r="I269">
            <v>2470058.3999999994</v>
          </cell>
          <cell r="J269">
            <v>6612315.5717325928</v>
          </cell>
          <cell r="K269">
            <v>6660188.4680330958</v>
          </cell>
          <cell r="L269">
            <v>2319120.38</v>
          </cell>
          <cell r="M269">
            <v>2470058.3999999994</v>
          </cell>
          <cell r="N269">
            <v>0</v>
          </cell>
          <cell r="O269">
            <v>0</v>
          </cell>
          <cell r="P269">
            <v>0</v>
          </cell>
          <cell r="Q269">
            <v>0</v>
          </cell>
          <cell r="R269">
            <v>0</v>
          </cell>
          <cell r="T269">
            <v>0</v>
          </cell>
        </row>
        <row r="270">
          <cell r="B270">
            <v>38601</v>
          </cell>
          <cell r="C270" t="str">
            <v>Bridges Charter Schools</v>
          </cell>
          <cell r="D270">
            <v>498200.31896082335</v>
          </cell>
          <cell r="E270">
            <v>463579.55768727168</v>
          </cell>
          <cell r="F270">
            <v>6343044.9625999983</v>
          </cell>
          <cell r="G270">
            <v>5026513.80963</v>
          </cell>
          <cell r="H270">
            <v>27891.790000000005</v>
          </cell>
          <cell r="I270">
            <v>26910.620000000003</v>
          </cell>
          <cell r="J270">
            <v>79525.547242396904</v>
          </cell>
          <cell r="K270">
            <v>72560.956854955672</v>
          </cell>
          <cell r="L270">
            <v>27891.790000000005</v>
          </cell>
          <cell r="M270">
            <v>26910.620000000003</v>
          </cell>
          <cell r="N270">
            <v>0</v>
          </cell>
          <cell r="O270">
            <v>0</v>
          </cell>
          <cell r="P270">
            <v>0</v>
          </cell>
          <cell r="Q270">
            <v>0</v>
          </cell>
          <cell r="R270">
            <v>0</v>
          </cell>
          <cell r="T270">
            <v>0</v>
          </cell>
        </row>
        <row r="271">
          <cell r="B271">
            <v>38602</v>
          </cell>
          <cell r="C271" t="str">
            <v>Millennium Charter Academy</v>
          </cell>
          <cell r="D271">
            <v>2489373.3041466703</v>
          </cell>
          <cell r="E271">
            <v>3029822.9594189031</v>
          </cell>
          <cell r="F271">
            <v>28381714.315299999</v>
          </cell>
          <cell r="G271">
            <v>31261727.881989967</v>
          </cell>
          <cell r="H271">
            <v>139367.79000000004</v>
          </cell>
          <cell r="I271">
            <v>175880.09</v>
          </cell>
          <cell r="J271">
            <v>397367.81926557788</v>
          </cell>
          <cell r="K271">
            <v>474237.5917810782</v>
          </cell>
          <cell r="L271">
            <v>139367.79000000004</v>
          </cell>
          <cell r="M271">
            <v>175880.09</v>
          </cell>
          <cell r="N271">
            <v>0</v>
          </cell>
          <cell r="O271">
            <v>0</v>
          </cell>
          <cell r="P271">
            <v>0</v>
          </cell>
          <cell r="Q271">
            <v>0</v>
          </cell>
          <cell r="R271">
            <v>0</v>
          </cell>
          <cell r="T271">
            <v>0</v>
          </cell>
        </row>
        <row r="272">
          <cell r="B272">
            <v>38605</v>
          </cell>
          <cell r="C272" t="str">
            <v>Surry Community College</v>
          </cell>
          <cell r="D272">
            <v>11759865.39990841</v>
          </cell>
          <cell r="E272">
            <v>11956873.909595812</v>
          </cell>
          <cell r="F272">
            <v>126935357.52603805</v>
          </cell>
          <cell r="G272">
            <v>110444435.75964284</v>
          </cell>
          <cell r="H272">
            <v>658377.12999999989</v>
          </cell>
          <cell r="I272">
            <v>694092.06000000017</v>
          </cell>
          <cell r="J272">
            <v>1877176.0993155576</v>
          </cell>
          <cell r="K272">
            <v>1871528.1929226199</v>
          </cell>
          <cell r="L272">
            <v>658377.12999999989</v>
          </cell>
          <cell r="M272">
            <v>694092.06000000017</v>
          </cell>
          <cell r="N272">
            <v>0</v>
          </cell>
          <cell r="O272">
            <v>0</v>
          </cell>
          <cell r="P272">
            <v>0</v>
          </cell>
          <cell r="Q272">
            <v>0</v>
          </cell>
          <cell r="R272">
            <v>0</v>
          </cell>
          <cell r="T272">
            <v>0</v>
          </cell>
        </row>
        <row r="273">
          <cell r="B273">
            <v>38610</v>
          </cell>
          <cell r="C273" t="str">
            <v>Mount Airy City Schools</v>
          </cell>
          <cell r="D273">
            <v>9050712.1531828847</v>
          </cell>
          <cell r="E273">
            <v>9050015.3941753749</v>
          </cell>
          <cell r="F273">
            <v>94146473.734893695</v>
          </cell>
          <cell r="G273">
            <v>85805779.002350897</v>
          </cell>
          <cell r="H273">
            <v>506704.94000000006</v>
          </cell>
          <cell r="I273">
            <v>525350.01</v>
          </cell>
          <cell r="J273">
            <v>1444725.7649625889</v>
          </cell>
          <cell r="K273">
            <v>1416537.3896759171</v>
          </cell>
          <cell r="L273">
            <v>506704.94000000006</v>
          </cell>
          <cell r="M273">
            <v>525350.01</v>
          </cell>
          <cell r="N273">
            <v>0</v>
          </cell>
          <cell r="O273">
            <v>0</v>
          </cell>
          <cell r="P273">
            <v>0</v>
          </cell>
          <cell r="Q273">
            <v>0</v>
          </cell>
          <cell r="R273">
            <v>0</v>
          </cell>
          <cell r="T273">
            <v>0</v>
          </cell>
        </row>
        <row r="274">
          <cell r="B274">
            <v>38620</v>
          </cell>
          <cell r="C274" t="str">
            <v>Elkin City Schools</v>
          </cell>
          <cell r="D274">
            <v>7291565.5853516599</v>
          </cell>
          <cell r="E274">
            <v>7132204.4202953335</v>
          </cell>
          <cell r="F274">
            <v>78110918.488299996</v>
          </cell>
          <cell r="G274">
            <v>69893423.648706943</v>
          </cell>
          <cell r="H274">
            <v>408218.96</v>
          </cell>
          <cell r="I274">
            <v>414021.8</v>
          </cell>
          <cell r="J274">
            <v>1163920.8594615881</v>
          </cell>
          <cell r="K274">
            <v>1116355.4747832299</v>
          </cell>
          <cell r="L274">
            <v>408218.96</v>
          </cell>
          <cell r="M274">
            <v>414021.8</v>
          </cell>
          <cell r="N274">
            <v>0</v>
          </cell>
          <cell r="O274">
            <v>0</v>
          </cell>
          <cell r="P274">
            <v>0</v>
          </cell>
          <cell r="Q274">
            <v>0</v>
          </cell>
          <cell r="R274">
            <v>0</v>
          </cell>
          <cell r="T274">
            <v>0</v>
          </cell>
        </row>
        <row r="275">
          <cell r="B275">
            <v>38700</v>
          </cell>
          <cell r="C275" t="str">
            <v>Swain County Schools</v>
          </cell>
          <cell r="D275">
            <v>12418709.559964595</v>
          </cell>
          <cell r="E275">
            <v>12255126.993338486</v>
          </cell>
          <cell r="F275">
            <v>134614575.16590005</v>
          </cell>
          <cell r="G275">
            <v>128753078.24306485</v>
          </cell>
          <cell r="H275">
            <v>695262.58</v>
          </cell>
          <cell r="I275">
            <v>711405.53999999992</v>
          </cell>
          <cell r="J275">
            <v>1982344.5233045549</v>
          </cell>
          <cell r="K275">
            <v>1918211.7206633079</v>
          </cell>
          <cell r="L275">
            <v>695262.58</v>
          </cell>
          <cell r="M275">
            <v>711405.53999999992</v>
          </cell>
          <cell r="N275">
            <v>0</v>
          </cell>
          <cell r="O275">
            <v>0</v>
          </cell>
          <cell r="P275">
            <v>0</v>
          </cell>
          <cell r="Q275">
            <v>0</v>
          </cell>
          <cell r="R275">
            <v>0</v>
          </cell>
          <cell r="T275">
            <v>0</v>
          </cell>
        </row>
        <row r="276">
          <cell r="B276">
            <v>38701</v>
          </cell>
          <cell r="C276" t="str">
            <v>Mountain Discovery Charter</v>
          </cell>
          <cell r="D276">
            <v>828930.33649869589</v>
          </cell>
          <cell r="E276">
            <v>821214.76377047575</v>
          </cell>
          <cell r="F276">
            <v>8612914.3969999999</v>
          </cell>
          <cell r="G276">
            <v>7545384.9582529906</v>
          </cell>
          <cell r="H276">
            <v>46407.740000000005</v>
          </cell>
          <cell r="I276">
            <v>47671.21</v>
          </cell>
          <cell r="J276">
            <v>132318.53960548507</v>
          </cell>
          <cell r="K276">
            <v>128539.16453926111</v>
          </cell>
          <cell r="L276">
            <v>46407.740000000005</v>
          </cell>
          <cell r="M276">
            <v>47671.21</v>
          </cell>
          <cell r="N276">
            <v>0</v>
          </cell>
          <cell r="O276">
            <v>0</v>
          </cell>
          <cell r="P276">
            <v>0</v>
          </cell>
          <cell r="Q276">
            <v>0</v>
          </cell>
          <cell r="R276">
            <v>0</v>
          </cell>
          <cell r="T276">
            <v>0</v>
          </cell>
        </row>
        <row r="277">
          <cell r="B277">
            <v>38800</v>
          </cell>
          <cell r="C277" t="str">
            <v>Transylvania County Schools</v>
          </cell>
          <cell r="D277">
            <v>21140616.851018339</v>
          </cell>
          <cell r="E277">
            <v>21366514.703551136</v>
          </cell>
          <cell r="F277">
            <v>234270874.67191151</v>
          </cell>
          <cell r="G277">
            <v>219112474.28036082</v>
          </cell>
          <cell r="H277">
            <v>1183559.3500000001</v>
          </cell>
          <cell r="I277">
            <v>1240318.19</v>
          </cell>
          <cell r="J277">
            <v>3374584.6000778573</v>
          </cell>
          <cell r="K277">
            <v>3344355.3017733037</v>
          </cell>
          <cell r="L277">
            <v>1183559.3500000001</v>
          </cell>
          <cell r="M277">
            <v>1240318.19</v>
          </cell>
          <cell r="N277">
            <v>0</v>
          </cell>
          <cell r="O277">
            <v>0</v>
          </cell>
          <cell r="P277">
            <v>0</v>
          </cell>
          <cell r="Q277">
            <v>0</v>
          </cell>
          <cell r="R277">
            <v>0</v>
          </cell>
          <cell r="T277">
            <v>0</v>
          </cell>
        </row>
        <row r="278">
          <cell r="B278">
            <v>38801</v>
          </cell>
          <cell r="C278" t="str">
            <v>Brevard Academy Charter School</v>
          </cell>
          <cell r="D278">
            <v>1208684.6562211695</v>
          </cell>
          <cell r="E278">
            <v>1516509.1644182284</v>
          </cell>
          <cell r="F278">
            <v>15967793.701299999</v>
          </cell>
          <cell r="G278">
            <v>18077681.216277987</v>
          </cell>
          <cell r="H278">
            <v>67668.319999999992</v>
          </cell>
          <cell r="I278">
            <v>88032.790000000008</v>
          </cell>
          <cell r="J278">
            <v>192937.06782438955</v>
          </cell>
          <cell r="K278">
            <v>237368.87061730173</v>
          </cell>
          <cell r="L278">
            <v>67668.319999999992</v>
          </cell>
          <cell r="M278">
            <v>88032.790000000008</v>
          </cell>
          <cell r="N278">
            <v>0</v>
          </cell>
          <cell r="O278">
            <v>0</v>
          </cell>
          <cell r="P278">
            <v>0</v>
          </cell>
          <cell r="Q278">
            <v>0</v>
          </cell>
          <cell r="R278">
            <v>0</v>
          </cell>
          <cell r="T278">
            <v>0</v>
          </cell>
        </row>
        <row r="279">
          <cell r="B279">
            <v>38900</v>
          </cell>
          <cell r="C279" t="str">
            <v>Tyrrell County Schools</v>
          </cell>
          <cell r="D279">
            <v>4434979.3362007374</v>
          </cell>
          <cell r="E279">
            <v>4786524.5407787785</v>
          </cell>
          <cell r="F279">
            <v>52229110.774300009</v>
          </cell>
          <cell r="G279">
            <v>45931834.118466966</v>
          </cell>
          <cell r="H279">
            <v>248292.71999999997</v>
          </cell>
          <cell r="I279">
            <v>277855.95999999996</v>
          </cell>
          <cell r="J279">
            <v>707936.43700541346</v>
          </cell>
          <cell r="K279">
            <v>749202.14864809066</v>
          </cell>
          <cell r="L279">
            <v>248292.71999999997</v>
          </cell>
          <cell r="M279">
            <v>277855.95999999996</v>
          </cell>
          <cell r="N279">
            <v>0</v>
          </cell>
          <cell r="O279">
            <v>0</v>
          </cell>
          <cell r="P279">
            <v>0</v>
          </cell>
          <cell r="Q279">
            <v>0</v>
          </cell>
          <cell r="R279">
            <v>0</v>
          </cell>
          <cell r="T279">
            <v>0</v>
          </cell>
        </row>
        <row r="280">
          <cell r="B280">
            <v>39000</v>
          </cell>
          <cell r="C280" t="str">
            <v>Union County Schools</v>
          </cell>
          <cell r="D280">
            <v>204588853.47457105</v>
          </cell>
          <cell r="E280">
            <v>209716810.83896998</v>
          </cell>
          <cell r="F280">
            <v>2369137246.5597515</v>
          </cell>
          <cell r="G280">
            <v>2276362866.4526544</v>
          </cell>
          <cell r="H280">
            <v>11453925.499999998</v>
          </cell>
          <cell r="I280">
            <v>12173982.459999999</v>
          </cell>
          <cell r="J280">
            <v>32657627.691200327</v>
          </cell>
          <cell r="K280">
            <v>32825546.7927921</v>
          </cell>
          <cell r="L280">
            <v>11453925.499999998</v>
          </cell>
          <cell r="M280">
            <v>12173982.459999999</v>
          </cell>
          <cell r="N280">
            <v>0</v>
          </cell>
          <cell r="O280">
            <v>0</v>
          </cell>
          <cell r="P280">
            <v>0</v>
          </cell>
          <cell r="Q280">
            <v>0</v>
          </cell>
          <cell r="R280">
            <v>0</v>
          </cell>
          <cell r="T280">
            <v>0</v>
          </cell>
        </row>
        <row r="281">
          <cell r="B281">
            <v>39100</v>
          </cell>
          <cell r="C281" t="str">
            <v>Vance County Schools</v>
          </cell>
          <cell r="D281">
            <v>36175519.372334279</v>
          </cell>
          <cell r="E281">
            <v>35470689.092657372</v>
          </cell>
          <cell r="F281">
            <v>363455087.54461664</v>
          </cell>
          <cell r="G281">
            <v>327968329.57681292</v>
          </cell>
          <cell r="H281">
            <v>2025289.7299999997</v>
          </cell>
          <cell r="I281">
            <v>2059060.24</v>
          </cell>
          <cell r="J281">
            <v>5774540.6122251824</v>
          </cell>
          <cell r="K281">
            <v>5551985.8418867588</v>
          </cell>
          <cell r="L281">
            <v>2025289.7299999997</v>
          </cell>
          <cell r="M281">
            <v>2059060.24</v>
          </cell>
          <cell r="N281">
            <v>0</v>
          </cell>
          <cell r="O281">
            <v>0</v>
          </cell>
          <cell r="P281">
            <v>0</v>
          </cell>
          <cell r="Q281">
            <v>0</v>
          </cell>
          <cell r="R281">
            <v>0</v>
          </cell>
          <cell r="T281">
            <v>0</v>
          </cell>
        </row>
        <row r="282">
          <cell r="B282">
            <v>39101</v>
          </cell>
          <cell r="C282" t="str">
            <v>Vance Charter School</v>
          </cell>
          <cell r="D282">
            <v>2347798.1112990477</v>
          </cell>
          <cell r="E282">
            <v>2836513.3595075817</v>
          </cell>
          <cell r="F282">
            <v>25911098.315099992</v>
          </cell>
          <cell r="G282">
            <v>27640648.189599961</v>
          </cell>
          <cell r="H282">
            <v>131441.69</v>
          </cell>
          <cell r="I282">
            <v>164658.53999999998</v>
          </cell>
          <cell r="J282">
            <v>374768.78779438278</v>
          </cell>
          <cell r="K282">
            <v>443980.15418225183</v>
          </cell>
          <cell r="L282">
            <v>131441.69</v>
          </cell>
          <cell r="M282">
            <v>164658.53999999998</v>
          </cell>
          <cell r="N282">
            <v>0</v>
          </cell>
          <cell r="O282">
            <v>0</v>
          </cell>
          <cell r="P282">
            <v>0</v>
          </cell>
          <cell r="Q282">
            <v>0</v>
          </cell>
          <cell r="R282">
            <v>0</v>
          </cell>
          <cell r="T282">
            <v>0</v>
          </cell>
        </row>
        <row r="283">
          <cell r="B283">
            <v>39105</v>
          </cell>
          <cell r="C283" t="str">
            <v>Vance-Granville Community College</v>
          </cell>
          <cell r="D283">
            <v>14377702.013149831</v>
          </cell>
          <cell r="E283">
            <v>14102317.874134379</v>
          </cell>
          <cell r="F283">
            <v>150078304.02877954</v>
          </cell>
          <cell r="G283">
            <v>127769892.92395584</v>
          </cell>
          <cell r="H283">
            <v>804936.95000000007</v>
          </cell>
          <cell r="I283">
            <v>818634.28</v>
          </cell>
          <cell r="J283">
            <v>2295049.9571514013</v>
          </cell>
          <cell r="K283">
            <v>2207339.9524450828</v>
          </cell>
          <cell r="L283">
            <v>804936.95000000007</v>
          </cell>
          <cell r="M283">
            <v>818634.28</v>
          </cell>
          <cell r="N283">
            <v>0</v>
          </cell>
          <cell r="O283">
            <v>0</v>
          </cell>
          <cell r="P283">
            <v>0</v>
          </cell>
          <cell r="Q283">
            <v>0</v>
          </cell>
          <cell r="R283">
            <v>0</v>
          </cell>
          <cell r="T283">
            <v>0</v>
          </cell>
        </row>
        <row r="284">
          <cell r="B284">
            <v>39200</v>
          </cell>
          <cell r="C284" t="str">
            <v>Wake County Schools</v>
          </cell>
          <cell r="D284">
            <v>839919815.54165733</v>
          </cell>
          <cell r="E284">
            <v>876051260.9684608</v>
          </cell>
          <cell r="F284">
            <v>9571225636.3460255</v>
          </cell>
          <cell r="G284">
            <v>9407881664.4968987</v>
          </cell>
          <cell r="H284">
            <v>47022986.980000004</v>
          </cell>
          <cell r="I284">
            <v>50854448.159999996</v>
          </cell>
          <cell r="J284">
            <v>134072742.28569068</v>
          </cell>
          <cell r="K284">
            <v>137122348.67945588</v>
          </cell>
          <cell r="L284">
            <v>47022986.980000004</v>
          </cell>
          <cell r="M284">
            <v>50854448.159999996</v>
          </cell>
          <cell r="N284">
            <v>0</v>
          </cell>
          <cell r="O284">
            <v>0</v>
          </cell>
          <cell r="P284">
            <v>0</v>
          </cell>
          <cell r="Q284">
            <v>0</v>
          </cell>
          <cell r="R284">
            <v>0</v>
          </cell>
          <cell r="T284">
            <v>0</v>
          </cell>
        </row>
        <row r="285">
          <cell r="B285">
            <v>39201</v>
          </cell>
          <cell r="C285" t="str">
            <v>Endeavor Charter School</v>
          </cell>
          <cell r="D285">
            <v>2127255.1084208684</v>
          </cell>
          <cell r="E285">
            <v>2150711.1819255501</v>
          </cell>
          <cell r="F285">
            <v>30491247.617300011</v>
          </cell>
          <cell r="G285">
            <v>28855088.409091964</v>
          </cell>
          <cell r="H285">
            <v>119094.57</v>
          </cell>
          <cell r="I285">
            <v>124847.98000000001</v>
          </cell>
          <cell r="J285">
            <v>339564.4687145552</v>
          </cell>
          <cell r="K285">
            <v>336636.20125468564</v>
          </cell>
          <cell r="L285">
            <v>119094.57</v>
          </cell>
          <cell r="M285">
            <v>124847.98000000001</v>
          </cell>
          <cell r="N285">
            <v>0</v>
          </cell>
          <cell r="O285">
            <v>0</v>
          </cell>
          <cell r="P285">
            <v>0</v>
          </cell>
          <cell r="Q285">
            <v>0</v>
          </cell>
          <cell r="R285">
            <v>0</v>
          </cell>
          <cell r="T285">
            <v>0</v>
          </cell>
        </row>
        <row r="286">
          <cell r="B286">
            <v>39204</v>
          </cell>
          <cell r="C286" t="str">
            <v>Southern Wake Academy</v>
          </cell>
          <cell r="D286">
            <v>1609793.9471856041</v>
          </cell>
          <cell r="E286">
            <v>2184210.4502244527</v>
          </cell>
          <cell r="F286">
            <v>19834743.711599998</v>
          </cell>
          <cell r="G286">
            <v>24637009.068144985</v>
          </cell>
          <cell r="H286">
            <v>90124.459999999992</v>
          </cell>
          <cell r="I286">
            <v>126792.6</v>
          </cell>
          <cell r="J286">
            <v>256964.39710127996</v>
          </cell>
          <cell r="K286">
            <v>341879.61400100228</v>
          </cell>
          <cell r="L286">
            <v>90124.459999999992</v>
          </cell>
          <cell r="M286">
            <v>126792.6</v>
          </cell>
          <cell r="N286">
            <v>0</v>
          </cell>
          <cell r="O286">
            <v>0</v>
          </cell>
          <cell r="P286">
            <v>0</v>
          </cell>
          <cell r="Q286">
            <v>0</v>
          </cell>
          <cell r="R286">
            <v>0</v>
          </cell>
          <cell r="T286">
            <v>0</v>
          </cell>
        </row>
        <row r="287">
          <cell r="B287">
            <v>39205</v>
          </cell>
          <cell r="C287" t="str">
            <v>Wake Technical College</v>
          </cell>
          <cell r="D287">
            <v>71998112.103236482</v>
          </cell>
          <cell r="E287">
            <v>77622456.013571933</v>
          </cell>
          <cell r="F287">
            <v>745561686.77654827</v>
          </cell>
          <cell r="G287">
            <v>696510556.64833915</v>
          </cell>
          <cell r="H287">
            <v>4030820.8299999996</v>
          </cell>
          <cell r="I287">
            <v>4505954.5500000007</v>
          </cell>
          <cell r="J287">
            <v>11492745.081681829</v>
          </cell>
          <cell r="K287">
            <v>12149715.379762383</v>
          </cell>
          <cell r="L287">
            <v>4030820.8299999996</v>
          </cell>
          <cell r="M287">
            <v>4505954.5500000007</v>
          </cell>
          <cell r="N287">
            <v>0</v>
          </cell>
          <cell r="O287">
            <v>0</v>
          </cell>
          <cell r="P287">
            <v>0</v>
          </cell>
          <cell r="Q287">
            <v>0</v>
          </cell>
          <cell r="R287">
            <v>0</v>
          </cell>
          <cell r="T287">
            <v>0</v>
          </cell>
        </row>
        <row r="288">
          <cell r="B288">
            <v>39208</v>
          </cell>
          <cell r="C288" t="str">
            <v>East Wake Academy</v>
          </cell>
          <cell r="D288">
            <v>4567052.5349605801</v>
          </cell>
          <cell r="E288">
            <v>4645680.9118588027</v>
          </cell>
          <cell r="F288">
            <v>61438280.4956</v>
          </cell>
          <cell r="G288">
            <v>56596801.062145948</v>
          </cell>
          <cell r="H288">
            <v>255686.84999999998</v>
          </cell>
          <cell r="I288">
            <v>269680.04000000004</v>
          </cell>
          <cell r="J288">
            <v>729018.70654176897</v>
          </cell>
          <cell r="K288">
            <v>727156.85283663927</v>
          </cell>
          <cell r="L288">
            <v>255686.84999999998</v>
          </cell>
          <cell r="M288">
            <v>269680.04000000004</v>
          </cell>
          <cell r="N288">
            <v>0</v>
          </cell>
          <cell r="O288">
            <v>0</v>
          </cell>
          <cell r="P288">
            <v>0</v>
          </cell>
          <cell r="Q288">
            <v>0</v>
          </cell>
          <cell r="R288">
            <v>0</v>
          </cell>
          <cell r="T288">
            <v>0</v>
          </cell>
        </row>
        <row r="289">
          <cell r="B289">
            <v>39209</v>
          </cell>
          <cell r="C289" t="str">
            <v>Casa Esperanza Montessori</v>
          </cell>
          <cell r="D289">
            <v>2240927.3366948781</v>
          </cell>
          <cell r="E289">
            <v>2423109.663315888</v>
          </cell>
          <cell r="F289">
            <v>30282722.122099999</v>
          </cell>
          <cell r="G289">
            <v>29164652.023368973</v>
          </cell>
          <cell r="H289">
            <v>125458.52</v>
          </cell>
          <cell r="I289">
            <v>140660.60999999999</v>
          </cell>
          <cell r="J289">
            <v>357709.47146888729</v>
          </cell>
          <cell r="K289">
            <v>379272.88384294912</v>
          </cell>
          <cell r="L289">
            <v>125458.52</v>
          </cell>
          <cell r="M289">
            <v>140660.60999999999</v>
          </cell>
          <cell r="N289">
            <v>0</v>
          </cell>
          <cell r="O289">
            <v>0</v>
          </cell>
          <cell r="P289">
            <v>0</v>
          </cell>
          <cell r="Q289">
            <v>0</v>
          </cell>
          <cell r="R289">
            <v>0</v>
          </cell>
          <cell r="T289">
            <v>0</v>
          </cell>
        </row>
        <row r="290">
          <cell r="B290">
            <v>39300</v>
          </cell>
          <cell r="C290" t="str">
            <v>Warren County Schools</v>
          </cell>
          <cell r="D290">
            <v>13447009.04774921</v>
          </cell>
          <cell r="E290">
            <v>12938266.44920576</v>
          </cell>
          <cell r="F290">
            <v>143888381.35777506</v>
          </cell>
          <cell r="G290">
            <v>124789035.65593587</v>
          </cell>
          <cell r="H290">
            <v>752832.02</v>
          </cell>
          <cell r="I290">
            <v>751061.53</v>
          </cell>
          <cell r="J290">
            <v>2146487.4922727831</v>
          </cell>
          <cell r="K290">
            <v>2025138.8958614478</v>
          </cell>
          <cell r="L290">
            <v>752832.02</v>
          </cell>
          <cell r="M290">
            <v>751061.53</v>
          </cell>
          <cell r="N290">
            <v>0</v>
          </cell>
          <cell r="O290">
            <v>0</v>
          </cell>
          <cell r="P290">
            <v>0</v>
          </cell>
          <cell r="Q290">
            <v>0</v>
          </cell>
          <cell r="R290">
            <v>0</v>
          </cell>
          <cell r="T290">
            <v>0</v>
          </cell>
        </row>
        <row r="291">
          <cell r="B291">
            <v>39301</v>
          </cell>
          <cell r="C291" t="str">
            <v>Haliwa-Saponi Tribal Charter</v>
          </cell>
          <cell r="D291">
            <v>777704.55533723696</v>
          </cell>
          <cell r="E291">
            <v>807899.77706547861</v>
          </cell>
          <cell r="F291">
            <v>8247477.8591000019</v>
          </cell>
          <cell r="G291">
            <v>8947951.8071709927</v>
          </cell>
          <cell r="H291">
            <v>43539.86</v>
          </cell>
          <cell r="I291">
            <v>46898.279999999992</v>
          </cell>
          <cell r="J291">
            <v>124141.59124808222</v>
          </cell>
          <cell r="K291">
            <v>126455.06018262044</v>
          </cell>
          <cell r="L291">
            <v>43539.86</v>
          </cell>
          <cell r="M291">
            <v>46898.279999999992</v>
          </cell>
          <cell r="N291">
            <v>0</v>
          </cell>
          <cell r="O291">
            <v>0</v>
          </cell>
          <cell r="P291">
            <v>0</v>
          </cell>
          <cell r="Q291">
            <v>0</v>
          </cell>
          <cell r="R291">
            <v>0</v>
          </cell>
          <cell r="T291">
            <v>0</v>
          </cell>
        </row>
        <row r="292">
          <cell r="B292">
            <v>39400</v>
          </cell>
          <cell r="C292" t="str">
            <v>Washington County Schools</v>
          </cell>
          <cell r="D292">
            <v>9835481.8038102314</v>
          </cell>
          <cell r="E292">
            <v>9847845.5112088472</v>
          </cell>
          <cell r="F292">
            <v>96844541.096299961</v>
          </cell>
          <cell r="G292">
            <v>85160727.698412955</v>
          </cell>
          <cell r="H292">
            <v>550640.34</v>
          </cell>
          <cell r="I292">
            <v>571663.75</v>
          </cell>
          <cell r="J292">
            <v>1569995.1266031861</v>
          </cell>
          <cell r="K292">
            <v>1541416.3144250172</v>
          </cell>
          <cell r="L292">
            <v>550640.34</v>
          </cell>
          <cell r="M292">
            <v>571663.75</v>
          </cell>
          <cell r="N292">
            <v>0</v>
          </cell>
          <cell r="O292">
            <v>0</v>
          </cell>
          <cell r="P292">
            <v>0</v>
          </cell>
          <cell r="Q292">
            <v>0</v>
          </cell>
          <cell r="R292">
            <v>0</v>
          </cell>
          <cell r="T292">
            <v>0</v>
          </cell>
        </row>
        <row r="293">
          <cell r="B293">
            <v>39401</v>
          </cell>
          <cell r="C293" t="str">
            <v>Henderson Collegiate Charter School</v>
          </cell>
          <cell r="D293">
            <v>2497672.4779967079</v>
          </cell>
          <cell r="E293">
            <v>3516103.0939764958</v>
          </cell>
          <cell r="F293">
            <v>33551726.885499999</v>
          </cell>
          <cell r="G293">
            <v>44659269.741017945</v>
          </cell>
          <cell r="H293">
            <v>139832.41999999998</v>
          </cell>
          <cell r="I293">
            <v>204108.47000000003</v>
          </cell>
          <cell r="J293">
            <v>398692.58024417522</v>
          </cell>
          <cell r="K293">
            <v>550351.71562011633</v>
          </cell>
          <cell r="L293">
            <v>139832.41999999998</v>
          </cell>
          <cell r="M293">
            <v>204108.47000000003</v>
          </cell>
          <cell r="N293">
            <v>0</v>
          </cell>
          <cell r="O293">
            <v>0</v>
          </cell>
          <cell r="P293">
            <v>0</v>
          </cell>
          <cell r="Q293">
            <v>0</v>
          </cell>
          <cell r="R293">
            <v>0</v>
          </cell>
          <cell r="T293">
            <v>0</v>
          </cell>
        </row>
        <row r="294">
          <cell r="B294">
            <v>39500</v>
          </cell>
          <cell r="C294" t="str">
            <v>Watauga County Schools</v>
          </cell>
          <cell r="D294">
            <v>26596735.375795141</v>
          </cell>
          <cell r="E294">
            <v>27521168.124913186</v>
          </cell>
          <cell r="F294">
            <v>293719126.91107219</v>
          </cell>
          <cell r="G294">
            <v>281289667.38092566</v>
          </cell>
          <cell r="H294">
            <v>1489020.64</v>
          </cell>
          <cell r="I294">
            <v>1597593.52</v>
          </cell>
          <cell r="J294">
            <v>4245521.0386720989</v>
          </cell>
          <cell r="K294">
            <v>4307701.3638658915</v>
          </cell>
          <cell r="L294">
            <v>1489020.64</v>
          </cell>
          <cell r="M294">
            <v>1597593.52</v>
          </cell>
          <cell r="N294">
            <v>0</v>
          </cell>
          <cell r="O294">
            <v>0</v>
          </cell>
          <cell r="P294">
            <v>0</v>
          </cell>
          <cell r="Q294">
            <v>0</v>
          </cell>
          <cell r="R294">
            <v>0</v>
          </cell>
          <cell r="T294">
            <v>0</v>
          </cell>
        </row>
        <row r="295">
          <cell r="B295">
            <v>39501</v>
          </cell>
          <cell r="C295" t="str">
            <v>Two Rivers Community School</v>
          </cell>
          <cell r="D295">
            <v>844540.20674174011</v>
          </cell>
          <cell r="E295">
            <v>865253.97936808004</v>
          </cell>
          <cell r="F295">
            <v>9666635.809249999</v>
          </cell>
          <cell r="G295">
            <v>9018770.188872993</v>
          </cell>
          <cell r="H295">
            <v>47281.659999999996</v>
          </cell>
          <cell r="I295">
            <v>50227.670000000006</v>
          </cell>
          <cell r="J295">
            <v>134810.27521105486</v>
          </cell>
          <cell r="K295">
            <v>135432.32358804633</v>
          </cell>
          <cell r="L295">
            <v>47281.659999999996</v>
          </cell>
          <cell r="M295">
            <v>50227.670000000006</v>
          </cell>
          <cell r="N295">
            <v>0</v>
          </cell>
          <cell r="O295">
            <v>0</v>
          </cell>
          <cell r="P295">
            <v>0</v>
          </cell>
          <cell r="Q295">
            <v>0</v>
          </cell>
          <cell r="R295">
            <v>0</v>
          </cell>
          <cell r="T295">
            <v>0</v>
          </cell>
        </row>
        <row r="296">
          <cell r="B296">
            <v>39600</v>
          </cell>
          <cell r="C296" t="str">
            <v>Wayne County Schools</v>
          </cell>
          <cell r="D296">
            <v>90008713.836227655</v>
          </cell>
          <cell r="E296">
            <v>93998029.183619067</v>
          </cell>
          <cell r="F296">
            <v>949163875.94100547</v>
          </cell>
          <cell r="G296">
            <v>915214158.83644652</v>
          </cell>
          <cell r="H296">
            <v>5039145.9999999991</v>
          </cell>
          <cell r="I296">
            <v>5456550.4500000002</v>
          </cell>
          <cell r="J296">
            <v>14367698.999753522</v>
          </cell>
          <cell r="K296">
            <v>14712872.530597173</v>
          </cell>
          <cell r="L296">
            <v>5039145.9999999991</v>
          </cell>
          <cell r="M296">
            <v>5456550.4500000002</v>
          </cell>
          <cell r="N296">
            <v>0</v>
          </cell>
          <cell r="O296">
            <v>0</v>
          </cell>
          <cell r="P296">
            <v>0</v>
          </cell>
          <cell r="Q296">
            <v>0</v>
          </cell>
          <cell r="R296">
            <v>0</v>
          </cell>
          <cell r="T296">
            <v>0</v>
          </cell>
        </row>
        <row r="297">
          <cell r="B297">
            <v>39605</v>
          </cell>
          <cell r="C297" t="str">
            <v>Wayne Community College</v>
          </cell>
          <cell r="D297">
            <v>13645333.992455112</v>
          </cell>
          <cell r="E297">
            <v>13930326.757781766</v>
          </cell>
          <cell r="F297">
            <v>136584894.22963971</v>
          </cell>
          <cell r="G297">
            <v>123243725.63790792</v>
          </cell>
          <cell r="H297">
            <v>763935.26000000013</v>
          </cell>
          <cell r="I297">
            <v>808650.25999999989</v>
          </cell>
          <cell r="J297">
            <v>2178145.2394867009</v>
          </cell>
          <cell r="K297">
            <v>2180419.3521594326</v>
          </cell>
          <cell r="L297">
            <v>763935.26000000013</v>
          </cell>
          <cell r="M297">
            <v>808650.25999999989</v>
          </cell>
          <cell r="N297">
            <v>0</v>
          </cell>
          <cell r="O297">
            <v>0</v>
          </cell>
          <cell r="P297">
            <v>0</v>
          </cell>
          <cell r="Q297">
            <v>0</v>
          </cell>
          <cell r="R297">
            <v>0</v>
          </cell>
          <cell r="T297">
            <v>0</v>
          </cell>
        </row>
        <row r="298">
          <cell r="B298">
            <v>39700</v>
          </cell>
          <cell r="C298" t="str">
            <v>Wilkes County Schools</v>
          </cell>
          <cell r="D298">
            <v>51373629.631640837</v>
          </cell>
          <cell r="E298">
            <v>51881367.398366094</v>
          </cell>
          <cell r="F298">
            <v>575175662.19549978</v>
          </cell>
          <cell r="G298">
            <v>537622806.0951395</v>
          </cell>
          <cell r="H298">
            <v>2876157.31</v>
          </cell>
          <cell r="I298">
            <v>3011693.98</v>
          </cell>
          <cell r="J298">
            <v>8200548.7648146711</v>
          </cell>
          <cell r="K298">
            <v>8120637.7609698214</v>
          </cell>
          <cell r="L298">
            <v>2876157.31</v>
          </cell>
          <cell r="M298">
            <v>3011693.98</v>
          </cell>
          <cell r="N298">
            <v>0</v>
          </cell>
          <cell r="O298">
            <v>0</v>
          </cell>
          <cell r="P298">
            <v>0</v>
          </cell>
          <cell r="Q298">
            <v>0</v>
          </cell>
          <cell r="R298">
            <v>0</v>
          </cell>
          <cell r="T298">
            <v>0</v>
          </cell>
        </row>
        <row r="299">
          <cell r="B299">
            <v>39703</v>
          </cell>
          <cell r="C299" t="str">
            <v>Pinnacle Classical Academy</v>
          </cell>
          <cell r="D299">
            <v>1308201.1514002564</v>
          </cell>
          <cell r="E299">
            <v>1778419.2061628855</v>
          </cell>
          <cell r="F299">
            <v>17925342.557399999</v>
          </cell>
          <cell r="G299">
            <v>21949850.818186976</v>
          </cell>
          <cell r="H299">
            <v>73239.760000000009</v>
          </cell>
          <cell r="I299">
            <v>103236.57000000004</v>
          </cell>
          <cell r="J299">
            <v>208822.45255330732</v>
          </cell>
          <cell r="K299">
            <v>278363.86904588644</v>
          </cell>
          <cell r="L299">
            <v>73239.760000000009</v>
          </cell>
          <cell r="M299">
            <v>103236.57000000004</v>
          </cell>
          <cell r="N299">
            <v>0</v>
          </cell>
          <cell r="O299">
            <v>0</v>
          </cell>
          <cell r="P299">
            <v>0</v>
          </cell>
          <cell r="Q299">
            <v>0</v>
          </cell>
          <cell r="R299">
            <v>0</v>
          </cell>
          <cell r="T299">
            <v>0</v>
          </cell>
        </row>
        <row r="300">
          <cell r="B300">
            <v>39705</v>
          </cell>
          <cell r="C300" t="str">
            <v>Wilkes Community College</v>
          </cell>
          <cell r="D300">
            <v>13077733.94657556</v>
          </cell>
          <cell r="E300">
            <v>13656549.456141381</v>
          </cell>
          <cell r="F300">
            <v>134980747.61914989</v>
          </cell>
          <cell r="G300">
            <v>116803589.67112997</v>
          </cell>
          <cell r="H300">
            <v>732158.12</v>
          </cell>
          <cell r="I300">
            <v>792757.59</v>
          </cell>
          <cell r="J300">
            <v>2087541.7160736006</v>
          </cell>
          <cell r="K300">
            <v>2137566.8522103401</v>
          </cell>
          <cell r="L300">
            <v>732158.12</v>
          </cell>
          <cell r="M300">
            <v>792757.59</v>
          </cell>
          <cell r="N300">
            <v>0</v>
          </cell>
          <cell r="O300">
            <v>0</v>
          </cell>
          <cell r="P300">
            <v>0</v>
          </cell>
          <cell r="Q300">
            <v>0</v>
          </cell>
          <cell r="R300">
            <v>0</v>
          </cell>
          <cell r="T300">
            <v>0</v>
          </cell>
        </row>
        <row r="301">
          <cell r="B301">
            <v>39800</v>
          </cell>
          <cell r="C301" t="str">
            <v>Wilson County Schools</v>
          </cell>
          <cell r="D301">
            <v>58486989.914635725</v>
          </cell>
          <cell r="E301">
            <v>60483275.513662077</v>
          </cell>
          <cell r="F301">
            <v>636552998.30438864</v>
          </cell>
          <cell r="G301">
            <v>594634717.94352019</v>
          </cell>
          <cell r="H301">
            <v>3274399.4299999992</v>
          </cell>
          <cell r="I301">
            <v>3511031.5300000007</v>
          </cell>
          <cell r="J301">
            <v>9336023.4879490491</v>
          </cell>
          <cell r="K301">
            <v>9467035.9644154999</v>
          </cell>
          <cell r="L301">
            <v>3274399.4299999992</v>
          </cell>
          <cell r="M301">
            <v>3511031.5300000007</v>
          </cell>
          <cell r="N301">
            <v>0</v>
          </cell>
          <cell r="O301">
            <v>0</v>
          </cell>
          <cell r="P301">
            <v>0</v>
          </cell>
          <cell r="Q301">
            <v>0</v>
          </cell>
          <cell r="R301">
            <v>0</v>
          </cell>
          <cell r="T301">
            <v>0</v>
          </cell>
        </row>
        <row r="302">
          <cell r="B302">
            <v>39805</v>
          </cell>
          <cell r="C302" t="str">
            <v>Wilson Community College</v>
          </cell>
          <cell r="D302">
            <v>7421273.5115263863</v>
          </cell>
          <cell r="E302">
            <v>7653797.7883233661</v>
          </cell>
          <cell r="F302">
            <v>71594491.994422868</v>
          </cell>
          <cell r="G302">
            <v>64810107.521091938</v>
          </cell>
          <cell r="H302">
            <v>415480.67</v>
          </cell>
          <cell r="I302">
            <v>444300.1</v>
          </cell>
          <cell r="J302">
            <v>1184625.5708359955</v>
          </cell>
          <cell r="K302">
            <v>1197996.939005957</v>
          </cell>
          <cell r="L302">
            <v>415480.67</v>
          </cell>
          <cell r="M302">
            <v>444300.1</v>
          </cell>
          <cell r="N302">
            <v>0</v>
          </cell>
          <cell r="O302">
            <v>0</v>
          </cell>
          <cell r="P302">
            <v>0</v>
          </cell>
          <cell r="Q302">
            <v>0</v>
          </cell>
          <cell r="R302">
            <v>0</v>
          </cell>
          <cell r="T302">
            <v>0</v>
          </cell>
        </row>
        <row r="303">
          <cell r="B303">
            <v>39900</v>
          </cell>
          <cell r="C303" t="str">
            <v>Yadkin County Schools</v>
          </cell>
          <cell r="D303">
            <v>29748048.485608377</v>
          </cell>
          <cell r="E303">
            <v>30818352.49624325</v>
          </cell>
          <cell r="F303">
            <v>314396250.08479983</v>
          </cell>
          <cell r="G303">
            <v>302358367.62397081</v>
          </cell>
          <cell r="H303">
            <v>1665447.19</v>
          </cell>
          <cell r="I303">
            <v>1788993.84</v>
          </cell>
          <cell r="J303">
            <v>4748551.4263538541</v>
          </cell>
          <cell r="K303">
            <v>4823787.2199905263</v>
          </cell>
          <cell r="L303">
            <v>1665447.19</v>
          </cell>
          <cell r="M303">
            <v>1788993.84</v>
          </cell>
          <cell r="N303">
            <v>0</v>
          </cell>
          <cell r="O303">
            <v>0</v>
          </cell>
          <cell r="P303">
            <v>0</v>
          </cell>
          <cell r="Q303">
            <v>0</v>
          </cell>
          <cell r="R303">
            <v>0</v>
          </cell>
          <cell r="T303">
            <v>0</v>
          </cell>
        </row>
        <row r="304">
          <cell r="B304">
            <v>40000</v>
          </cell>
          <cell r="C304" t="str">
            <v>Consolidated Judicial Retirement System</v>
          </cell>
          <cell r="D304">
            <v>69126557.761851758</v>
          </cell>
          <cell r="E304">
            <v>72856570.009750307</v>
          </cell>
          <cell r="F304">
            <v>509405989.16756624</v>
          </cell>
          <cell r="G304">
            <v>420787689.29055727</v>
          </cell>
          <cell r="H304">
            <v>3870056.6</v>
          </cell>
          <cell r="I304">
            <v>4229296.6493539996</v>
          </cell>
          <cell r="J304">
            <v>11034371.367848745</v>
          </cell>
          <cell r="K304">
            <v>11403743.641008051</v>
          </cell>
          <cell r="L304">
            <v>3870056.6</v>
          </cell>
          <cell r="M304">
            <v>4229296.6493539996</v>
          </cell>
          <cell r="N304">
            <v>0</v>
          </cell>
          <cell r="O304">
            <v>0</v>
          </cell>
          <cell r="P304">
            <v>0</v>
          </cell>
          <cell r="Q304">
            <v>0</v>
          </cell>
          <cell r="R304">
            <v>0</v>
          </cell>
          <cell r="T304">
            <v>0</v>
          </cell>
        </row>
        <row r="305">
          <cell r="B305">
            <v>51000</v>
          </cell>
          <cell r="C305" t="str">
            <v>Highway - Administrative</v>
          </cell>
          <cell r="D305">
            <v>503462664.72964084</v>
          </cell>
          <cell r="E305">
            <v>516294855.3490479</v>
          </cell>
          <cell r="F305">
            <v>4795804738.3380404</v>
          </cell>
          <cell r="G305">
            <v>4164462652.6893148</v>
          </cell>
          <cell r="H305">
            <v>28186402.90469946</v>
          </cell>
          <cell r="I305">
            <v>29970723.32</v>
          </cell>
          <cell r="J305">
            <v>80365552.579841956</v>
          </cell>
          <cell r="K305">
            <v>80812124.051186234</v>
          </cell>
          <cell r="L305">
            <v>28186402.90469946</v>
          </cell>
          <cell r="M305">
            <v>29970723.32</v>
          </cell>
          <cell r="N305">
            <v>0</v>
          </cell>
          <cell r="O305">
            <v>0</v>
          </cell>
          <cell r="P305">
            <v>0</v>
          </cell>
          <cell r="Q305">
            <v>0</v>
          </cell>
          <cell r="R305">
            <v>0</v>
          </cell>
          <cell r="T305">
            <v>0</v>
          </cell>
        </row>
        <row r="306">
          <cell r="B306">
            <v>51000.1</v>
          </cell>
          <cell r="C306" t="str">
            <v>NC Global TransPark Authority (subset of DOT)</v>
          </cell>
          <cell r="D306">
            <v>447255.68896036019</v>
          </cell>
          <cell r="E306">
            <v>440795.25934749574</v>
          </cell>
          <cell r="F306">
            <v>2592522.6902000001</v>
          </cell>
          <cell r="G306">
            <v>2498619.514064997</v>
          </cell>
          <cell r="H306">
            <v>25039.650273224044</v>
          </cell>
          <cell r="I306">
            <v>25588</v>
          </cell>
          <cell r="J306">
            <v>71393.477820404325</v>
          </cell>
          <cell r="K306">
            <v>68994.685518379192</v>
          </cell>
          <cell r="L306">
            <v>25039.650273224044</v>
          </cell>
          <cell r="M306">
            <v>25588</v>
          </cell>
          <cell r="N306">
            <v>0</v>
          </cell>
          <cell r="O306">
            <v>0</v>
          </cell>
          <cell r="P306">
            <v>0</v>
          </cell>
          <cell r="Q306">
            <v>0</v>
          </cell>
          <cell r="R306">
            <v>0</v>
          </cell>
          <cell r="T306">
            <v>0</v>
          </cell>
        </row>
        <row r="307">
          <cell r="B307">
            <v>51000.2</v>
          </cell>
          <cell r="C307" t="str">
            <v>NC State Ports Authority (subset of DOT)</v>
          </cell>
          <cell r="D307">
            <v>12325795.269466814</v>
          </cell>
          <cell r="E307">
            <v>12505472.447248802</v>
          </cell>
          <cell r="F307">
            <v>103182162.23689999</v>
          </cell>
          <cell r="G307">
            <v>96031999.96463792</v>
          </cell>
          <cell r="H307">
            <v>690060.76502732246</v>
          </cell>
          <cell r="I307">
            <v>725938</v>
          </cell>
          <cell r="J307">
            <v>1967513.0197561674</v>
          </cell>
          <cell r="K307">
            <v>1957396.5927716568</v>
          </cell>
          <cell r="L307">
            <v>690060.76502732246</v>
          </cell>
          <cell r="M307">
            <v>725938</v>
          </cell>
          <cell r="N307">
            <v>0</v>
          </cell>
          <cell r="O307">
            <v>0</v>
          </cell>
          <cell r="P307">
            <v>0</v>
          </cell>
          <cell r="Q307">
            <v>0</v>
          </cell>
          <cell r="R307">
            <v>0</v>
          </cell>
          <cell r="T307">
            <v>0</v>
          </cell>
        </row>
        <row r="308">
          <cell r="B308">
            <v>60000</v>
          </cell>
          <cell r="C308" t="str">
            <v>Legislative Retirement System</v>
          </cell>
          <cell r="D308">
            <v>3616730.4149406692</v>
          </cell>
          <cell r="E308">
            <v>3618127.757320472</v>
          </cell>
          <cell r="F308">
            <v>24436426.90976106</v>
          </cell>
          <cell r="G308">
            <v>17779542.14137499</v>
          </cell>
          <cell r="H308">
            <v>202482.98</v>
          </cell>
          <cell r="I308">
            <v>210030.96356200005</v>
          </cell>
          <cell r="J308">
            <v>577322.92519667279</v>
          </cell>
          <cell r="K308">
            <v>566320.94263257599</v>
          </cell>
          <cell r="L308">
            <v>202482.98</v>
          </cell>
          <cell r="M308">
            <v>210030.96356200005</v>
          </cell>
          <cell r="N308">
            <v>0</v>
          </cell>
          <cell r="O308">
            <v>0</v>
          </cell>
          <cell r="P308">
            <v>0</v>
          </cell>
          <cell r="Q308">
            <v>0</v>
          </cell>
          <cell r="R308">
            <v>0</v>
          </cell>
          <cell r="T308">
            <v>0</v>
          </cell>
        </row>
        <row r="309">
          <cell r="B309">
            <v>90901</v>
          </cell>
          <cell r="C309" t="str">
            <v>Bladen County</v>
          </cell>
          <cell r="D309">
            <v>13200527.889120577</v>
          </cell>
          <cell r="E309">
            <v>13364597.360440426</v>
          </cell>
          <cell r="F309">
            <v>121726805.52031019</v>
          </cell>
          <cell r="G309">
            <v>127670583.16554983</v>
          </cell>
          <cell r="H309">
            <v>739032.75</v>
          </cell>
          <cell r="I309">
            <v>775809.88000000012</v>
          </cell>
          <cell r="J309">
            <v>2107142.7783517479</v>
          </cell>
          <cell r="K309">
            <v>2091869.5752951191</v>
          </cell>
          <cell r="L309">
            <v>739032.75</v>
          </cell>
          <cell r="M309">
            <v>775809.88000000012</v>
          </cell>
          <cell r="N309">
            <v>0</v>
          </cell>
          <cell r="O309">
            <v>0</v>
          </cell>
          <cell r="P309">
            <v>0</v>
          </cell>
          <cell r="Q309">
            <v>0</v>
          </cell>
          <cell r="R309">
            <v>0</v>
          </cell>
          <cell r="T309">
            <v>0</v>
          </cell>
        </row>
        <row r="310">
          <cell r="B310">
            <v>91041</v>
          </cell>
          <cell r="C310" t="str">
            <v>Town Of Sunset Beach</v>
          </cell>
          <cell r="D310">
            <v>2124507.5912101571</v>
          </cell>
          <cell r="E310">
            <v>2120562.4950688495</v>
          </cell>
          <cell r="F310">
            <v>22076590.634999998</v>
          </cell>
          <cell r="G310">
            <v>23318488.838417981</v>
          </cell>
          <cell r="H310">
            <v>118940.75</v>
          </cell>
          <cell r="I310">
            <v>123097.85999999999</v>
          </cell>
          <cell r="J310">
            <v>339125.8945077071</v>
          </cell>
          <cell r="K310">
            <v>331917.23224501597</v>
          </cell>
          <cell r="L310">
            <v>118940.75</v>
          </cell>
          <cell r="M310">
            <v>123097.85999999999</v>
          </cell>
          <cell r="N310">
            <v>0</v>
          </cell>
          <cell r="O310">
            <v>0</v>
          </cell>
          <cell r="P310">
            <v>0</v>
          </cell>
          <cell r="Q310">
            <v>0</v>
          </cell>
          <cell r="R310">
            <v>0</v>
          </cell>
          <cell r="T310">
            <v>0</v>
          </cell>
        </row>
        <row r="311">
          <cell r="B311">
            <v>91111</v>
          </cell>
          <cell r="C311" t="str">
            <v>Town Of Biltmore Forest</v>
          </cell>
          <cell r="D311">
            <v>1394496.4480083075</v>
          </cell>
          <cell r="E311">
            <v>1455487.9273001943</v>
          </cell>
          <cell r="F311">
            <v>11927687.519399997</v>
          </cell>
          <cell r="G311">
            <v>13217825.019427987</v>
          </cell>
          <cell r="H311">
            <v>78071.010000000009</v>
          </cell>
          <cell r="I311">
            <v>84490.53</v>
          </cell>
          <cell r="J311">
            <v>222597.39493294051</v>
          </cell>
          <cell r="K311">
            <v>227817.63117989615</v>
          </cell>
          <cell r="L311">
            <v>78071.010000000009</v>
          </cell>
          <cell r="M311">
            <v>84490.53</v>
          </cell>
          <cell r="N311">
            <v>0</v>
          </cell>
          <cell r="O311">
            <v>0</v>
          </cell>
          <cell r="P311">
            <v>0</v>
          </cell>
          <cell r="Q311">
            <v>0</v>
          </cell>
          <cell r="R311">
            <v>0</v>
          </cell>
          <cell r="T311">
            <v>0</v>
          </cell>
        </row>
        <row r="312">
          <cell r="B312">
            <v>91151</v>
          </cell>
          <cell r="C312" t="str">
            <v>Town Of Black Mountain</v>
          </cell>
          <cell r="D312">
            <v>3224644.2405681154</v>
          </cell>
          <cell r="E312">
            <v>3444827.182714941</v>
          </cell>
          <cell r="F312">
            <v>34714498.57093589</v>
          </cell>
          <cell r="G312">
            <v>36296291.065155953</v>
          </cell>
          <cell r="H312">
            <v>180532</v>
          </cell>
          <cell r="I312">
            <v>199970.93</v>
          </cell>
          <cell r="J312">
            <v>514735.91672547359</v>
          </cell>
          <cell r="K312">
            <v>539195.38174799981</v>
          </cell>
          <cell r="L312">
            <v>180532</v>
          </cell>
          <cell r="M312">
            <v>199970.93</v>
          </cell>
          <cell r="N312">
            <v>0</v>
          </cell>
          <cell r="O312">
            <v>0</v>
          </cell>
          <cell r="P312">
            <v>0</v>
          </cell>
          <cell r="Q312">
            <v>0</v>
          </cell>
          <cell r="R312">
            <v>0</v>
          </cell>
          <cell r="T312">
            <v>0</v>
          </cell>
        </row>
        <row r="313">
          <cell r="B313">
            <v>98101</v>
          </cell>
          <cell r="C313" t="str">
            <v>Rutherford County</v>
          </cell>
          <cell r="D313">
            <v>16256267.875062801</v>
          </cell>
          <cell r="E313">
            <v>16395391.557811568</v>
          </cell>
          <cell r="F313">
            <v>157660588.45182958</v>
          </cell>
          <cell r="G313">
            <v>163016296.6347298</v>
          </cell>
          <cell r="H313">
            <v>910108.62999999989</v>
          </cell>
          <cell r="I313">
            <v>951746.34999999986</v>
          </cell>
          <cell r="J313">
            <v>2594917.2444930249</v>
          </cell>
          <cell r="K313">
            <v>2566259.1883506035</v>
          </cell>
          <cell r="L313">
            <v>910108.62999999989</v>
          </cell>
          <cell r="M313">
            <v>951746.34999999986</v>
          </cell>
          <cell r="N313">
            <v>0</v>
          </cell>
          <cell r="O313">
            <v>0</v>
          </cell>
          <cell r="P313">
            <v>0</v>
          </cell>
          <cell r="Q313">
            <v>0</v>
          </cell>
          <cell r="R313">
            <v>0</v>
          </cell>
          <cell r="T313">
            <v>0</v>
          </cell>
        </row>
        <row r="314">
          <cell r="B314">
            <v>98103</v>
          </cell>
          <cell r="C314" t="str">
            <v>Rutherford Polk Mcdowell Dist Brd Of Health</v>
          </cell>
          <cell r="D314">
            <v>3500638.2566724643</v>
          </cell>
          <cell r="E314">
            <v>3522586.8566665528</v>
          </cell>
          <cell r="F314">
            <v>31727401.273866609</v>
          </cell>
          <cell r="G314">
            <v>30012179.904446982</v>
          </cell>
          <cell r="H314">
            <v>195983.55000000002</v>
          </cell>
          <cell r="I314">
            <v>204484.84999999998</v>
          </cell>
          <cell r="J314">
            <v>558791.63955621549</v>
          </cell>
          <cell r="K314">
            <v>551366.57491882681</v>
          </cell>
          <cell r="L314">
            <v>195983.55000000002</v>
          </cell>
          <cell r="M314">
            <v>204484.84999999998</v>
          </cell>
          <cell r="N314">
            <v>0</v>
          </cell>
          <cell r="O314">
            <v>0</v>
          </cell>
          <cell r="P314">
            <v>0</v>
          </cell>
          <cell r="Q314">
            <v>0</v>
          </cell>
          <cell r="R314">
            <v>0</v>
          </cell>
          <cell r="T314">
            <v>0</v>
          </cell>
        </row>
        <row r="315">
          <cell r="B315">
            <v>98111</v>
          </cell>
          <cell r="C315" t="str">
            <v>Town Of Forest City</v>
          </cell>
          <cell r="D315">
            <v>5636206.2926051319</v>
          </cell>
          <cell r="E315">
            <v>5843788.3700848417</v>
          </cell>
          <cell r="F315">
            <v>60001728.72075171</v>
          </cell>
          <cell r="G315">
            <v>57854632.524067953</v>
          </cell>
          <cell r="H315">
            <v>315543.51999999996</v>
          </cell>
          <cell r="I315">
            <v>339229.73</v>
          </cell>
          <cell r="J315">
            <v>899683.06468649756</v>
          </cell>
          <cell r="K315">
            <v>914688.46880704549</v>
          </cell>
          <cell r="L315">
            <v>315543.51999999996</v>
          </cell>
          <cell r="M315">
            <v>339229.73</v>
          </cell>
          <cell r="N315">
            <v>0</v>
          </cell>
          <cell r="O315">
            <v>0</v>
          </cell>
          <cell r="P315">
            <v>0</v>
          </cell>
          <cell r="Q315">
            <v>0</v>
          </cell>
          <cell r="R315">
            <v>0</v>
          </cell>
          <cell r="T315">
            <v>0</v>
          </cell>
        </row>
        <row r="316">
          <cell r="B316">
            <v>98131</v>
          </cell>
          <cell r="C316" t="str">
            <v>Town Of Lake Lure</v>
          </cell>
          <cell r="D316">
            <v>1660425.9988445011</v>
          </cell>
          <cell r="E316">
            <v>1615254.6755139043</v>
          </cell>
          <cell r="F316">
            <v>16897171.661800001</v>
          </cell>
          <cell r="G316">
            <v>14081782.946538989</v>
          </cell>
          <cell r="H316">
            <v>92959.1</v>
          </cell>
          <cell r="I316">
            <v>93764.930000000008</v>
          </cell>
          <cell r="J316">
            <v>265046.57100389391</v>
          </cell>
          <cell r="K316">
            <v>252824.83421927618</v>
          </cell>
          <cell r="L316">
            <v>92959.1</v>
          </cell>
          <cell r="M316">
            <v>93764.930000000008</v>
          </cell>
          <cell r="N316">
            <v>0</v>
          </cell>
          <cell r="O316">
            <v>0</v>
          </cell>
          <cell r="P316">
            <v>0</v>
          </cell>
          <cell r="Q316">
            <v>0</v>
          </cell>
          <cell r="R316">
            <v>0</v>
          </cell>
          <cell r="T316">
            <v>0</v>
          </cell>
        </row>
        <row r="317">
          <cell r="B317">
            <v>99401</v>
          </cell>
          <cell r="C317" t="str">
            <v>Washington County</v>
          </cell>
          <cell r="D317">
            <v>5668534.8997434191</v>
          </cell>
          <cell r="E317">
            <v>5662636.2989499755</v>
          </cell>
          <cell r="F317">
            <v>51757330.603164405</v>
          </cell>
          <cell r="G317">
            <v>52301235.589592889</v>
          </cell>
          <cell r="H317">
            <v>317353.44</v>
          </cell>
          <cell r="I317">
            <v>328713.92000000004</v>
          </cell>
          <cell r="J317">
            <v>904843.53945218888</v>
          </cell>
          <cell r="K317">
            <v>886333.96654344455</v>
          </cell>
          <cell r="L317">
            <v>317353.44</v>
          </cell>
          <cell r="M317">
            <v>328713.92000000004</v>
          </cell>
          <cell r="N317">
            <v>0</v>
          </cell>
          <cell r="O317">
            <v>0</v>
          </cell>
          <cell r="P317">
            <v>0</v>
          </cell>
          <cell r="Q317">
            <v>0</v>
          </cell>
          <cell r="R317">
            <v>0</v>
          </cell>
          <cell r="T317">
            <v>0</v>
          </cell>
        </row>
        <row r="318">
          <cell r="B318">
            <v>99521</v>
          </cell>
          <cell r="C318" t="str">
            <v>Town Of Blowing Rock</v>
          </cell>
          <cell r="D318">
            <v>2232952.7135386281</v>
          </cell>
          <cell r="E318">
            <v>2403270.9481164846</v>
          </cell>
          <cell r="F318">
            <v>23032820.853925698</v>
          </cell>
          <cell r="G318">
            <v>24140191.971841976</v>
          </cell>
          <cell r="H318">
            <v>125012.06</v>
          </cell>
          <cell r="I318">
            <v>139508.98000000001</v>
          </cell>
          <cell r="J318">
            <v>356436.51710411394</v>
          </cell>
          <cell r="K318">
            <v>376167.66461192176</v>
          </cell>
          <cell r="L318">
            <v>125012.06</v>
          </cell>
          <cell r="M318">
            <v>139508.98000000001</v>
          </cell>
          <cell r="N318">
            <v>0</v>
          </cell>
          <cell r="O318">
            <v>0</v>
          </cell>
          <cell r="P318">
            <v>0</v>
          </cell>
          <cell r="Q318">
            <v>0</v>
          </cell>
          <cell r="R318">
            <v>0</v>
          </cell>
          <cell r="T318">
            <v>0</v>
          </cell>
        </row>
        <row r="319">
          <cell r="B319">
            <v>99831</v>
          </cell>
          <cell r="C319" t="str">
            <v>Town Of Black Creek</v>
          </cell>
          <cell r="D319">
            <v>349483.93913593877</v>
          </cell>
          <cell r="E319">
            <v>383467.93060299143</v>
          </cell>
          <cell r="F319">
            <v>2935521.3997</v>
          </cell>
          <cell r="G319">
            <v>3679518.546457998</v>
          </cell>
          <cell r="H319">
            <v>19565.890000000003</v>
          </cell>
          <cell r="I319">
            <v>22260.17</v>
          </cell>
          <cell r="J319">
            <v>55786.599194047471</v>
          </cell>
          <cell r="K319">
            <v>60021.628448321826</v>
          </cell>
          <cell r="L319">
            <v>19565.890000000003</v>
          </cell>
          <cell r="M319">
            <v>22260.17</v>
          </cell>
          <cell r="N319">
            <v>0</v>
          </cell>
          <cell r="O319">
            <v>0</v>
          </cell>
          <cell r="P319">
            <v>0</v>
          </cell>
          <cell r="Q319">
            <v>0</v>
          </cell>
          <cell r="R319" t="str">
            <v>FALSE</v>
          </cell>
          <cell r="T319">
            <v>0</v>
          </cell>
        </row>
      </sheetData>
      <sheetData sheetId="17">
        <row r="12">
          <cell r="P12">
            <v>0</v>
          </cell>
        </row>
      </sheetData>
      <sheetData sheetId="18" refreshError="1"/>
      <sheetData sheetId="19" refreshError="1"/>
      <sheetData sheetId="20" refreshError="1"/>
      <sheetData sheetId="21" refreshError="1"/>
      <sheetData sheetId="22" refreshError="1"/>
      <sheetData sheetId="23">
        <row r="8">
          <cell r="L8">
            <v>10200</v>
          </cell>
        </row>
      </sheetData>
      <sheetData sheetId="24"/>
      <sheetData sheetId="25">
        <row r="4">
          <cell r="D4">
            <v>2.2000000000000002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25">
          <cell r="D25">
            <v>99999</v>
          </cell>
        </row>
        <row r="26">
          <cell r="D26">
            <v>1</v>
          </cell>
        </row>
        <row r="30">
          <cell r="D30">
            <v>42916</v>
          </cell>
          <cell r="E30">
            <v>42551</v>
          </cell>
        </row>
        <row r="31">
          <cell r="D31">
            <v>42916</v>
          </cell>
          <cell r="E31">
            <v>42551</v>
          </cell>
          <cell r="F31">
            <v>42185</v>
          </cell>
        </row>
        <row r="32">
          <cell r="D32">
            <v>42735</v>
          </cell>
          <cell r="E32">
            <v>42369</v>
          </cell>
        </row>
        <row r="33">
          <cell r="D33">
            <v>42735</v>
          </cell>
          <cell r="E33">
            <v>42369</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cell r="E40">
            <v>0</v>
          </cell>
        </row>
        <row r="41">
          <cell r="D41">
            <v>0</v>
          </cell>
        </row>
        <row r="47">
          <cell r="D47">
            <v>2.8500000000000001E-2</v>
          </cell>
          <cell r="E47">
            <v>3.5799999999999998E-2</v>
          </cell>
          <cell r="F47">
            <v>3.5799999999999998E-2</v>
          </cell>
          <cell r="G47">
            <v>4.58E-2</v>
          </cell>
          <cell r="H47">
            <v>2.58E-2</v>
          </cell>
          <cell r="I47">
            <v>2.8500000000000001E-2</v>
          </cell>
        </row>
        <row r="52">
          <cell r="D52">
            <v>43281</v>
          </cell>
          <cell r="E52">
            <v>42916</v>
          </cell>
        </row>
        <row r="53">
          <cell r="E53">
            <v>7.2499999999999995E-2</v>
          </cell>
          <cell r="F53">
            <v>7.2499999999999995E-2</v>
          </cell>
        </row>
        <row r="54">
          <cell r="D54">
            <v>6</v>
          </cell>
          <cell r="E54">
            <v>6</v>
          </cell>
        </row>
        <row r="61">
          <cell r="D61">
            <v>304</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7900 North Sam Houston Parkway West, Suite 110</v>
          </cell>
          <cell r="M82" t="str">
            <v>Houston, TX  77064-3425</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Liabilities Input"/>
      <sheetName val="Results"/>
      <sheetName val="GainLoss"/>
      <sheetName val="Reconciliation"/>
      <sheetName val="ProVal GainLoss"/>
      <sheetName val="NPL"/>
      <sheetName val="68 - SFL"/>
      <sheetName val="68 - SFL TPL Reconciliation"/>
      <sheetName val="68 - ER Contributions"/>
      <sheetName val="68 - Allocation Exhibit"/>
      <sheetName val="68 - Allocation Prior"/>
      <sheetName val="68 - Agency Reconciliation"/>
      <sheetName val="68 - Collect Pens Expense"/>
      <sheetName val="68 - Collect Amort Experience"/>
      <sheetName val="68 - Collect Amort Assump"/>
      <sheetName val="68 - Collect Amort AssetRtn"/>
      <sheetName val="68 - Estab New Paragraph 54"/>
      <sheetName val="68 - Estab New Paragraph 55"/>
      <sheetName val="68 - Maintain Outstanding Bases"/>
      <sheetName val="68 - Summary Exhibit"/>
      <sheetName val="68 - Deferred Amortization"/>
      <sheetName val="GASB 68 (JS Check)"/>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Table 23"/>
      <sheetName val="GASB 25 26 --&gt;"/>
      <sheetName val="GASB 25 27 (1)"/>
      <sheetName val="GASB 25 27 (2)"/>
      <sheetName val="GASB 25 27 (3)"/>
      <sheetName val="GASB 25 27 (4)"/>
      <sheetName val="GASB 67 --&gt;"/>
      <sheetName val="GASB 67 (1.1)"/>
      <sheetName val="GASB 67 (1.2)"/>
      <sheetName val="GASB 67 (3)"/>
      <sheetName val="68 - Estab New Prop Share Base"/>
      <sheetName val="68 - Estab New Contrb Diff Base"/>
      <sheetName val="68 - Separately Financed Liab"/>
    </sheetNames>
    <sheetDataSet>
      <sheetData sheetId="0"/>
      <sheetData sheetId="1"/>
      <sheetData sheetId="2"/>
      <sheetData sheetId="3">
        <row r="37">
          <cell r="L37">
            <v>0</v>
          </cell>
        </row>
        <row r="38">
          <cell r="L38">
            <v>0</v>
          </cell>
        </row>
        <row r="39">
          <cell r="L39">
            <v>4249859016</v>
          </cell>
        </row>
        <row r="40">
          <cell r="L40">
            <v>0</v>
          </cell>
        </row>
        <row r="41">
          <cell r="L41">
            <v>0</v>
          </cell>
        </row>
        <row r="42">
          <cell r="K42" t="str">
            <v>C</v>
          </cell>
          <cell r="L42">
            <v>329196929</v>
          </cell>
        </row>
        <row r="43">
          <cell r="L43">
            <v>162733483</v>
          </cell>
        </row>
        <row r="44">
          <cell r="K44">
            <v>0</v>
          </cell>
          <cell r="L44">
            <v>29528</v>
          </cell>
        </row>
        <row r="45">
          <cell r="K45" t="str">
            <v>C</v>
          </cell>
          <cell r="L45">
            <v>1234415</v>
          </cell>
        </row>
        <row r="46">
          <cell r="K46" t="str">
            <v>C</v>
          </cell>
          <cell r="L46">
            <v>12649523</v>
          </cell>
        </row>
        <row r="47">
          <cell r="K47">
            <v>0</v>
          </cell>
          <cell r="L47">
            <v>505843878</v>
          </cell>
        </row>
        <row r="48">
          <cell r="K48">
            <v>0</v>
          </cell>
          <cell r="L48">
            <v>0</v>
          </cell>
        </row>
        <row r="49">
          <cell r="L49">
            <v>0</v>
          </cell>
        </row>
        <row r="50">
          <cell r="K50">
            <v>0</v>
          </cell>
          <cell r="L50">
            <v>272886687</v>
          </cell>
        </row>
        <row r="51">
          <cell r="K51" t="str">
            <v>P</v>
          </cell>
          <cell r="L51">
            <v>48038073</v>
          </cell>
        </row>
        <row r="52">
          <cell r="K52" t="str">
            <v>P</v>
          </cell>
          <cell r="L52">
            <v>3242156</v>
          </cell>
        </row>
        <row r="53">
          <cell r="K53" t="str">
            <v>P</v>
          </cell>
          <cell r="L53">
            <v>21864</v>
          </cell>
        </row>
        <row r="54">
          <cell r="K54">
            <v>0</v>
          </cell>
          <cell r="L54">
            <v>324188780</v>
          </cell>
        </row>
        <row r="55">
          <cell r="K55">
            <v>0</v>
          </cell>
          <cell r="L55">
            <v>0</v>
          </cell>
        </row>
        <row r="56">
          <cell r="K56">
            <v>0</v>
          </cell>
          <cell r="L56">
            <v>4431514114</v>
          </cell>
        </row>
        <row r="60">
          <cell r="K60">
            <v>0</v>
          </cell>
          <cell r="L60">
            <v>15473778789</v>
          </cell>
        </row>
        <row r="61">
          <cell r="K61">
            <v>0</v>
          </cell>
          <cell r="L61">
            <v>0</v>
          </cell>
        </row>
        <row r="62">
          <cell r="K62">
            <v>0</v>
          </cell>
          <cell r="L62">
            <v>0</v>
          </cell>
        </row>
        <row r="63">
          <cell r="K63">
            <v>0</v>
          </cell>
          <cell r="L63">
            <v>0</v>
          </cell>
        </row>
        <row r="64">
          <cell r="K64">
            <v>0</v>
          </cell>
          <cell r="L64">
            <v>0</v>
          </cell>
        </row>
        <row r="65">
          <cell r="K65">
            <v>0</v>
          </cell>
          <cell r="L65">
            <v>315973832</v>
          </cell>
        </row>
        <row r="66">
          <cell r="K66">
            <v>0</v>
          </cell>
          <cell r="L66">
            <v>70637813</v>
          </cell>
        </row>
        <row r="67">
          <cell r="K67">
            <v>0</v>
          </cell>
          <cell r="L67">
            <v>278178</v>
          </cell>
        </row>
        <row r="68">
          <cell r="K68">
            <v>0</v>
          </cell>
          <cell r="L68">
            <v>475429</v>
          </cell>
        </row>
        <row r="69">
          <cell r="K69">
            <v>0</v>
          </cell>
          <cell r="L69">
            <v>0</v>
          </cell>
        </row>
        <row r="70">
          <cell r="K70">
            <v>0</v>
          </cell>
          <cell r="L70">
            <v>11012485</v>
          </cell>
        </row>
        <row r="71">
          <cell r="K71">
            <v>0</v>
          </cell>
          <cell r="L71">
            <v>11130</v>
          </cell>
        </row>
        <row r="72">
          <cell r="K72" t="str">
            <v>C</v>
          </cell>
          <cell r="L72">
            <v>398388867</v>
          </cell>
        </row>
        <row r="73">
          <cell r="K73">
            <v>0</v>
          </cell>
          <cell r="L73">
            <v>0</v>
          </cell>
        </row>
        <row r="74">
          <cell r="K74">
            <v>0</v>
          </cell>
          <cell r="L74">
            <v>2388746266</v>
          </cell>
        </row>
        <row r="75">
          <cell r="K75">
            <v>0</v>
          </cell>
          <cell r="L75">
            <v>272886687</v>
          </cell>
        </row>
        <row r="76">
          <cell r="K76" t="str">
            <v>C</v>
          </cell>
          <cell r="L76">
            <v>3257736</v>
          </cell>
        </row>
        <row r="77">
          <cell r="K77" t="str">
            <v>C</v>
          </cell>
          <cell r="L77">
            <v>613547</v>
          </cell>
        </row>
        <row r="78">
          <cell r="K78" t="str">
            <v>E</v>
          </cell>
          <cell r="L78">
            <v>815300</v>
          </cell>
        </row>
        <row r="79">
          <cell r="K79" t="str">
            <v>C</v>
          </cell>
          <cell r="L79">
            <v>56441</v>
          </cell>
        </row>
        <row r="80">
          <cell r="K80" t="str">
            <v>E</v>
          </cell>
          <cell r="L80">
            <v>10400</v>
          </cell>
        </row>
        <row r="81">
          <cell r="K81" t="str">
            <v>C</v>
          </cell>
          <cell r="L81">
            <v>139147</v>
          </cell>
        </row>
        <row r="82">
          <cell r="K82">
            <v>0</v>
          </cell>
          <cell r="L82">
            <v>0</v>
          </cell>
        </row>
        <row r="83">
          <cell r="K83">
            <v>0</v>
          </cell>
          <cell r="L83">
            <v>3064914391</v>
          </cell>
        </row>
        <row r="84">
          <cell r="K84">
            <v>0</v>
          </cell>
          <cell r="L84">
            <v>0</v>
          </cell>
        </row>
        <row r="85">
          <cell r="L85">
            <v>0</v>
          </cell>
        </row>
        <row r="86">
          <cell r="K86" t="str">
            <v>P</v>
          </cell>
          <cell r="L86">
            <v>1013743417</v>
          </cell>
        </row>
        <row r="87">
          <cell r="K87">
            <v>0</v>
          </cell>
          <cell r="L87">
            <v>29528</v>
          </cell>
        </row>
        <row r="88">
          <cell r="K88">
            <v>0</v>
          </cell>
          <cell r="L88">
            <v>162733483</v>
          </cell>
        </row>
        <row r="89">
          <cell r="K89">
            <v>0</v>
          </cell>
          <cell r="L89">
            <v>0</v>
          </cell>
        </row>
        <row r="90">
          <cell r="K90" t="str">
            <v>P</v>
          </cell>
          <cell r="L90">
            <v>3887107</v>
          </cell>
        </row>
        <row r="91">
          <cell r="K91" t="str">
            <v>P</v>
          </cell>
          <cell r="L91">
            <v>19235</v>
          </cell>
        </row>
        <row r="92">
          <cell r="K92" t="str">
            <v>P</v>
          </cell>
          <cell r="L92">
            <v>4322147</v>
          </cell>
        </row>
        <row r="93">
          <cell r="K93" t="str">
            <v>P</v>
          </cell>
          <cell r="L93">
            <v>5989</v>
          </cell>
        </row>
        <row r="94">
          <cell r="K94" t="str">
            <v>P</v>
          </cell>
          <cell r="L94">
            <v>1211288</v>
          </cell>
        </row>
        <row r="95">
          <cell r="K95">
            <v>0</v>
          </cell>
          <cell r="L95">
            <v>1185952194</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JE Template"/>
      <sheetName val="2018 Summary"/>
      <sheetName val="2017 Summary"/>
      <sheetName val="TSERS Contributions FY 2017"/>
      <sheetName val="Deferred Amortization"/>
    </sheetNames>
    <sheetDataSet>
      <sheetData sheetId="0"/>
      <sheetData sheetId="1"/>
      <sheetData sheetId="2"/>
      <sheetData sheetId="3"/>
      <sheetData sheetId="4">
        <row r="2">
          <cell r="A2" t="str">
            <v>N/A</v>
          </cell>
          <cell r="B2" t="str">
            <v>NO AGENCY CHOSEN</v>
          </cell>
          <cell r="C2">
            <v>0</v>
          </cell>
        </row>
        <row r="3">
          <cell r="A3">
            <v>10200</v>
          </cell>
          <cell r="B3" t="str">
            <v>NORTH CAROLINA EDUCATION LOTTERY</v>
          </cell>
          <cell r="C3">
            <v>1443743.05</v>
          </cell>
        </row>
        <row r="4">
          <cell r="A4">
            <v>10400</v>
          </cell>
          <cell r="B4" t="str">
            <v>DEPARTMENT OF JUSTICE</v>
          </cell>
          <cell r="C4">
            <v>4948936.209999999</v>
          </cell>
        </row>
        <row r="5">
          <cell r="A5">
            <v>10500</v>
          </cell>
          <cell r="B5" t="str">
            <v>STATE AUDITOR</v>
          </cell>
          <cell r="C5">
            <v>1061675.81</v>
          </cell>
        </row>
        <row r="6">
          <cell r="A6">
            <v>10700</v>
          </cell>
          <cell r="B6" t="str">
            <v>DEPARTMENT OF NATURAL AND CULTURAL RESOURCES</v>
          </cell>
          <cell r="C6">
            <v>7339207.2700000005</v>
          </cell>
        </row>
        <row r="7">
          <cell r="A7">
            <v>10800</v>
          </cell>
          <cell r="B7" t="str">
            <v>ADMINISTRATIVE OFFICE OF THE COURTS</v>
          </cell>
          <cell r="C7">
            <v>30753061.119999997</v>
          </cell>
        </row>
        <row r="8">
          <cell r="A8">
            <v>10850</v>
          </cell>
          <cell r="B8" t="str">
            <v>OFFICE OF ADMINISTRATIVE HEARING</v>
          </cell>
          <cell r="C8">
            <v>311655.44000000006</v>
          </cell>
        </row>
        <row r="9">
          <cell r="A9">
            <v>10900</v>
          </cell>
          <cell r="B9" t="str">
            <v>DEPARTMENT OF ADMINISTRATION</v>
          </cell>
          <cell r="C9">
            <v>3210852.66</v>
          </cell>
        </row>
        <row r="10">
          <cell r="A10">
            <v>10910</v>
          </cell>
          <cell r="B10" t="str">
            <v>OFFICE OF STATE BUDGET &amp; MANAGEMENT</v>
          </cell>
          <cell r="C10">
            <v>412896.21000000008</v>
          </cell>
        </row>
        <row r="11">
          <cell r="A11">
            <v>10930</v>
          </cell>
          <cell r="B11" t="str">
            <v>INFORMATION TECHNOLOGY SERVICES</v>
          </cell>
          <cell r="C11">
            <v>4598708.6399999997</v>
          </cell>
        </row>
        <row r="12">
          <cell r="A12">
            <v>10940</v>
          </cell>
          <cell r="B12" t="str">
            <v>OFFICE OF STATE CONTROLLER</v>
          </cell>
          <cell r="C12">
            <v>1160611.5399999998</v>
          </cell>
        </row>
        <row r="13">
          <cell r="A13">
            <v>10950</v>
          </cell>
          <cell r="B13" t="str">
            <v>N C SCHOOL OF SCIENCE &amp; MATHEMATICS</v>
          </cell>
          <cell r="C13">
            <v>1035714.4400000001</v>
          </cell>
        </row>
        <row r="14">
          <cell r="A14">
            <v>11300</v>
          </cell>
          <cell r="B14" t="str">
            <v>ENVIRONMENT AND NATURAL RESOURCES</v>
          </cell>
          <cell r="C14">
            <v>8092145.2500000009</v>
          </cell>
        </row>
        <row r="15">
          <cell r="A15">
            <v>11310</v>
          </cell>
          <cell r="B15" t="str">
            <v>NC HOUSING FINANCE AGENCY</v>
          </cell>
          <cell r="C15">
            <v>861312.00000000023</v>
          </cell>
        </row>
        <row r="16">
          <cell r="A16">
            <v>11600</v>
          </cell>
          <cell r="B16" t="str">
            <v>WILDLIFE RESOURCES COMMISSION</v>
          </cell>
          <cell r="C16">
            <v>3102467.14</v>
          </cell>
        </row>
        <row r="17">
          <cell r="A17">
            <v>11900</v>
          </cell>
          <cell r="B17" t="str">
            <v>STATE BOARD OF ELECTIONS</v>
          </cell>
          <cell r="C17">
            <v>310607.86</v>
          </cell>
        </row>
        <row r="18">
          <cell r="A18">
            <v>12100</v>
          </cell>
          <cell r="B18" t="str">
            <v>GOVERNOR'S OFFICE</v>
          </cell>
          <cell r="C18">
            <v>402066.77999999997</v>
          </cell>
        </row>
        <row r="19">
          <cell r="A19">
            <v>12150</v>
          </cell>
          <cell r="B19" t="str">
            <v>LT GOVERNOR'S OFFICE</v>
          </cell>
          <cell r="C19">
            <v>48546.299999999988</v>
          </cell>
        </row>
        <row r="20">
          <cell r="A20">
            <v>12160</v>
          </cell>
          <cell r="B20" t="str">
            <v>GENERAL ASSEMBLY</v>
          </cell>
          <cell r="C20">
            <v>3074313.0100000002</v>
          </cell>
        </row>
        <row r="21">
          <cell r="A21">
            <v>12220</v>
          </cell>
          <cell r="B21" t="str">
            <v>HEALTH &amp; HUMAN SVCS</v>
          </cell>
          <cell r="C21">
            <v>76495429.139999986</v>
          </cell>
        </row>
        <row r="22">
          <cell r="A22">
            <v>12510</v>
          </cell>
          <cell r="B22" t="str">
            <v>DEPARTMENT OF COMMERCE</v>
          </cell>
          <cell r="C22">
            <v>9239274.3700000029</v>
          </cell>
        </row>
        <row r="23">
          <cell r="A23">
            <v>12600</v>
          </cell>
          <cell r="B23" t="str">
            <v>INSURANCE DEPARTMENT</v>
          </cell>
          <cell r="C23">
            <v>2508411.69</v>
          </cell>
        </row>
        <row r="24">
          <cell r="A24">
            <v>12700</v>
          </cell>
          <cell r="B24" t="str">
            <v>LABOR DEPARTMENT</v>
          </cell>
          <cell r="C24">
            <v>1927194.41</v>
          </cell>
        </row>
        <row r="25">
          <cell r="A25">
            <v>13500</v>
          </cell>
          <cell r="B25" t="str">
            <v>REVENUE DEPARTMENT</v>
          </cell>
          <cell r="C25">
            <v>6953791.7199999997</v>
          </cell>
        </row>
        <row r="26">
          <cell r="A26">
            <v>13700</v>
          </cell>
          <cell r="B26" t="str">
            <v>SECRETARY OF STATE</v>
          </cell>
          <cell r="C26">
            <v>819023.69</v>
          </cell>
        </row>
        <row r="27">
          <cell r="A27">
            <v>14300</v>
          </cell>
          <cell r="B27" t="str">
            <v>STATE TREASURER</v>
          </cell>
          <cell r="C27">
            <v>2740607.29</v>
          </cell>
        </row>
        <row r="28">
          <cell r="A28">
            <v>18400</v>
          </cell>
          <cell r="B28" t="str">
            <v>DEPT OF AGRICULTURE &amp; CONSUMER SVCS.</v>
          </cell>
          <cell r="C28">
            <v>8978291.6900000013</v>
          </cell>
        </row>
        <row r="29">
          <cell r="A29">
            <v>18600</v>
          </cell>
          <cell r="B29" t="str">
            <v>BARBER EXAMINERS, STATE BOARD OF</v>
          </cell>
          <cell r="C29">
            <v>25219.660000000003</v>
          </cell>
        </row>
        <row r="30">
          <cell r="A30">
            <v>18640</v>
          </cell>
          <cell r="B30" t="str">
            <v>NORTH CAROLINA BOARD OF OPTICIANS</v>
          </cell>
          <cell r="C30">
            <v>498.5</v>
          </cell>
        </row>
        <row r="31">
          <cell r="A31">
            <v>18690</v>
          </cell>
          <cell r="B31" t="str">
            <v>N C REAL ESTATE COMMISSION</v>
          </cell>
          <cell r="C31">
            <v>6267.16</v>
          </cell>
        </row>
        <row r="32">
          <cell r="A32">
            <v>18740</v>
          </cell>
          <cell r="B32" t="str">
            <v>N C AUCTIONEERS LICENSING BOARD</v>
          </cell>
          <cell r="C32">
            <v>12972.959999999995</v>
          </cell>
        </row>
        <row r="33">
          <cell r="A33">
            <v>18780</v>
          </cell>
          <cell r="B33" t="str">
            <v>N C STATE BOARD OF EXAMINERS OF PRACTICING PSYCHOL</v>
          </cell>
          <cell r="C33">
            <v>24763.699999999997</v>
          </cell>
        </row>
        <row r="34">
          <cell r="A34">
            <v>19005</v>
          </cell>
          <cell r="B34" t="str">
            <v>COMMUNITY COLLEGES ADMINISTRATION</v>
          </cell>
          <cell r="C34">
            <v>1362086.37</v>
          </cell>
        </row>
        <row r="35">
          <cell r="A35">
            <v>19100</v>
          </cell>
          <cell r="B35" t="str">
            <v>DEPARTMENT OF PUBLIC SAFETY</v>
          </cell>
          <cell r="C35">
            <v>103912458.98</v>
          </cell>
        </row>
        <row r="36">
          <cell r="A36">
            <v>20100</v>
          </cell>
          <cell r="B36" t="str">
            <v>APPALACHIAN STATE UNIVERSITY</v>
          </cell>
          <cell r="C36">
            <v>8943397.4800000023</v>
          </cell>
        </row>
        <row r="37">
          <cell r="A37">
            <v>20200</v>
          </cell>
          <cell r="B37" t="str">
            <v>N C SCHOOL OF THE ARTS</v>
          </cell>
          <cell r="C37">
            <v>1359983.4799999997</v>
          </cell>
        </row>
        <row r="38">
          <cell r="A38">
            <v>20300</v>
          </cell>
          <cell r="B38" t="str">
            <v>EAST CAROLINA UNIVERSITY</v>
          </cell>
          <cell r="C38">
            <v>19890080.510000002</v>
          </cell>
        </row>
        <row r="39">
          <cell r="A39">
            <v>20400</v>
          </cell>
          <cell r="B39" t="str">
            <v>ELIZABETH CITY STATE UNIVERSITY</v>
          </cell>
          <cell r="C39">
            <v>1638502.4500000002</v>
          </cell>
        </row>
        <row r="40">
          <cell r="A40">
            <v>20600</v>
          </cell>
          <cell r="B40" t="str">
            <v>FAYETTEVILLE STATE UNIVERSITY</v>
          </cell>
          <cell r="C40">
            <v>3188018.69</v>
          </cell>
        </row>
        <row r="41">
          <cell r="A41">
            <v>20700</v>
          </cell>
          <cell r="B41" t="str">
            <v>NC A&amp;T UNIVERSITY</v>
          </cell>
          <cell r="C41">
            <v>6632723.3700000001</v>
          </cell>
        </row>
        <row r="42">
          <cell r="A42">
            <v>20800</v>
          </cell>
          <cell r="B42" t="str">
            <v>N C CENTRAL UNIVERSITY</v>
          </cell>
          <cell r="C42">
            <v>5506646.1600000001</v>
          </cell>
        </row>
        <row r="43">
          <cell r="A43">
            <v>20900</v>
          </cell>
          <cell r="B43" t="str">
            <v>UNIVERSITY OF NORTH CAROLINA AT GREENSBORO</v>
          </cell>
          <cell r="C43">
            <v>7752113.6599999992</v>
          </cell>
        </row>
        <row r="44">
          <cell r="A44">
            <v>21200</v>
          </cell>
          <cell r="B44" t="str">
            <v>UNC - PEMBROKE</v>
          </cell>
          <cell r="C44">
            <v>2724493.3000000003</v>
          </cell>
        </row>
        <row r="45">
          <cell r="A45">
            <v>21300</v>
          </cell>
          <cell r="B45" t="str">
            <v>N C STATE UNIVERSITY</v>
          </cell>
          <cell r="C45">
            <v>32673852.580000002</v>
          </cell>
        </row>
        <row r="46">
          <cell r="A46">
            <v>21520</v>
          </cell>
          <cell r="B46" t="str">
            <v>UNC-CHAPEL HILL CB1260</v>
          </cell>
          <cell r="C46">
            <v>47279811.800000012</v>
          </cell>
        </row>
        <row r="47">
          <cell r="A47">
            <v>21525</v>
          </cell>
          <cell r="B47" t="str">
            <v>UNC-GENERAL ADMINISTRATION</v>
          </cell>
          <cell r="C47">
            <v>2122088.4500000002</v>
          </cell>
        </row>
        <row r="48">
          <cell r="A48">
            <v>21550</v>
          </cell>
          <cell r="B48" t="str">
            <v>UNC HEALTH CARE SYSTEM</v>
          </cell>
          <cell r="C48">
            <v>51431768.870000012</v>
          </cell>
        </row>
        <row r="49">
          <cell r="A49">
            <v>21570</v>
          </cell>
          <cell r="B49" t="str">
            <v>UNIVERSITY OF NORTH CAROLINA PRESS</v>
          </cell>
          <cell r="C49">
            <v>291769.24</v>
          </cell>
        </row>
        <row r="50">
          <cell r="A50">
            <v>21800</v>
          </cell>
          <cell r="B50" t="str">
            <v>WESTERN CAROLINA UNIVERSITY</v>
          </cell>
          <cell r="C50">
            <v>4669808.7600000007</v>
          </cell>
        </row>
        <row r="51">
          <cell r="A51">
            <v>21900</v>
          </cell>
          <cell r="B51" t="str">
            <v>WINSTON-SALEM STATE UNIVERSITY</v>
          </cell>
          <cell r="C51">
            <v>3533765.9499999997</v>
          </cell>
        </row>
        <row r="52">
          <cell r="A52">
            <v>22000</v>
          </cell>
          <cell r="B52" t="str">
            <v>DEPARTMENT OF PUBLIC INSTRUCTION</v>
          </cell>
          <cell r="C52">
            <v>6435415.3399999999</v>
          </cell>
        </row>
        <row r="53">
          <cell r="A53">
            <v>23000</v>
          </cell>
          <cell r="B53" t="str">
            <v>UNIVERSITY OF NORTH CAROLINA AT ASHEVILLE</v>
          </cell>
          <cell r="C53">
            <v>1904990.8099999998</v>
          </cell>
        </row>
        <row r="54">
          <cell r="A54">
            <v>23100</v>
          </cell>
          <cell r="B54" t="str">
            <v>UNIVERSITY OF NORTH CAROLINA AT CHARLOTTE</v>
          </cell>
          <cell r="C54">
            <v>10922014.460000001</v>
          </cell>
        </row>
        <row r="55">
          <cell r="A55">
            <v>23200</v>
          </cell>
          <cell r="B55" t="str">
            <v>UNIVERSITY OF NORTH CAROLINA AT WILMINGTON</v>
          </cell>
          <cell r="C55">
            <v>5191169.82</v>
          </cell>
        </row>
        <row r="56">
          <cell r="A56">
            <v>30000</v>
          </cell>
          <cell r="B56" t="str">
            <v>YANCEY COUNTY SCHOOLS</v>
          </cell>
          <cell r="C56">
            <v>1383858.3099999998</v>
          </cell>
        </row>
        <row r="57">
          <cell r="A57">
            <v>30100</v>
          </cell>
          <cell r="B57" t="str">
            <v>ALAMANCE COUNTY SCHOOLS</v>
          </cell>
          <cell r="C57">
            <v>11430855.33</v>
          </cell>
        </row>
        <row r="58">
          <cell r="A58">
            <v>30102</v>
          </cell>
          <cell r="B58" t="str">
            <v>CLOVER GARDEN CHARTER SCHOOL</v>
          </cell>
          <cell r="C58">
            <v>203529.14</v>
          </cell>
        </row>
        <row r="59">
          <cell r="A59">
            <v>30103</v>
          </cell>
          <cell r="B59" t="str">
            <v>RIVER MILL ACADEMY CHARTER</v>
          </cell>
          <cell r="C59">
            <v>270128.38</v>
          </cell>
        </row>
        <row r="60">
          <cell r="A60">
            <v>30104</v>
          </cell>
          <cell r="B60" t="str">
            <v>THE HAWBRIDGE SCHOOL</v>
          </cell>
          <cell r="C60">
            <v>138541.81</v>
          </cell>
        </row>
        <row r="61">
          <cell r="A61">
            <v>30105</v>
          </cell>
          <cell r="B61" t="str">
            <v>ALAMANCE COMMUNITY COLLEGE</v>
          </cell>
          <cell r="C61">
            <v>1371050.8200000003</v>
          </cell>
        </row>
        <row r="62">
          <cell r="A62">
            <v>30200</v>
          </cell>
          <cell r="B62" t="str">
            <v>ALEXANDER COUNTY SCHOOLS</v>
          </cell>
          <cell r="C62">
            <v>2736692.9900000007</v>
          </cell>
        </row>
        <row r="63">
          <cell r="A63">
            <v>30300</v>
          </cell>
          <cell r="B63" t="str">
            <v>ALLEGHANY COUNTY SCHOOLS</v>
          </cell>
          <cell r="C63">
            <v>907815.66</v>
          </cell>
        </row>
        <row r="64">
          <cell r="A64">
            <v>30400</v>
          </cell>
          <cell r="B64" t="str">
            <v>ANSON COUNTY SCHOOLS</v>
          </cell>
          <cell r="C64">
            <v>1847314.25</v>
          </cell>
        </row>
        <row r="65">
          <cell r="A65">
            <v>30405</v>
          </cell>
          <cell r="B65" t="str">
            <v>SOUTH PIEDMONT COMMUNITY COLLEGE</v>
          </cell>
          <cell r="C65">
            <v>1158569.4899999998</v>
          </cell>
        </row>
        <row r="66">
          <cell r="A66">
            <v>30500</v>
          </cell>
          <cell r="B66" t="str">
            <v>ASHE COUNTY SCHOOLS</v>
          </cell>
          <cell r="C66">
            <v>1817556.9300000002</v>
          </cell>
        </row>
        <row r="67">
          <cell r="A67">
            <v>30600</v>
          </cell>
          <cell r="B67" t="str">
            <v>AVERY COUNTY SCHOOLS</v>
          </cell>
          <cell r="C67">
            <v>1423310.2200000002</v>
          </cell>
        </row>
        <row r="68">
          <cell r="A68">
            <v>30601</v>
          </cell>
          <cell r="B68" t="str">
            <v>GRANDFATHER ACADEMY</v>
          </cell>
          <cell r="C68">
            <v>30394.890000000003</v>
          </cell>
        </row>
        <row r="69">
          <cell r="A69">
            <v>30700</v>
          </cell>
          <cell r="B69" t="str">
            <v>BEAUFORT COUNTY SCHOOLS</v>
          </cell>
          <cell r="C69">
            <v>3688042.12</v>
          </cell>
        </row>
        <row r="70">
          <cell r="A70">
            <v>30705</v>
          </cell>
          <cell r="B70" t="str">
            <v>BEAUFORT COUNTY COMMUNITY COLLEGE</v>
          </cell>
          <cell r="C70">
            <v>723775.48000000021</v>
          </cell>
        </row>
        <row r="71">
          <cell r="A71">
            <v>30800</v>
          </cell>
          <cell r="B71" t="str">
            <v>BERTIE COUNTY SCHOOLS</v>
          </cell>
          <cell r="C71">
            <v>1426227.2999999998</v>
          </cell>
        </row>
        <row r="72">
          <cell r="A72">
            <v>30900</v>
          </cell>
          <cell r="B72" t="str">
            <v>BLADEN COUNTY SCHOOLS</v>
          </cell>
          <cell r="C72">
            <v>2515935.13</v>
          </cell>
        </row>
        <row r="73">
          <cell r="A73">
            <v>30905</v>
          </cell>
          <cell r="B73" t="str">
            <v>BLADEN COMMUNITY COLLEGE</v>
          </cell>
          <cell r="C73">
            <v>590746.52</v>
          </cell>
        </row>
        <row r="74">
          <cell r="A74">
            <v>31000</v>
          </cell>
          <cell r="B74" t="str">
            <v>BRUNSWICK COUNTY SCHOOLS</v>
          </cell>
          <cell r="C74">
            <v>6875239.8500000006</v>
          </cell>
        </row>
        <row r="75">
          <cell r="A75">
            <v>31005</v>
          </cell>
          <cell r="B75" t="str">
            <v>BRUNSWICK COMMUNITY COLLEGE</v>
          </cell>
          <cell r="C75">
            <v>753730.32</v>
          </cell>
        </row>
        <row r="76">
          <cell r="A76">
            <v>31100</v>
          </cell>
          <cell r="B76" t="str">
            <v>BUNCOMBE COUNTY SCHOOLS</v>
          </cell>
          <cell r="C76">
            <v>13774844.390000001</v>
          </cell>
        </row>
        <row r="77">
          <cell r="A77">
            <v>31101</v>
          </cell>
          <cell r="B77" t="str">
            <v>F DELANY NEW SCHOOL FOR CHILDREN</v>
          </cell>
          <cell r="C77">
            <v>84528.38</v>
          </cell>
        </row>
        <row r="78">
          <cell r="A78">
            <v>31102</v>
          </cell>
          <cell r="B78" t="str">
            <v>EVERGREEN COMMUNITY CHARTER SCHOOL</v>
          </cell>
          <cell r="C78">
            <v>199023.38</v>
          </cell>
        </row>
        <row r="79">
          <cell r="A79">
            <v>31105</v>
          </cell>
          <cell r="B79" t="str">
            <v>ASHEVILLE-BUNCOMBE TECHNICAL COLLEGE</v>
          </cell>
          <cell r="C79">
            <v>2355840.8699999996</v>
          </cell>
        </row>
        <row r="80">
          <cell r="A80">
            <v>31110</v>
          </cell>
          <cell r="B80" t="str">
            <v>ASHEVILLE CITY SCHOOLS</v>
          </cell>
          <cell r="C80">
            <v>3019048.09</v>
          </cell>
        </row>
        <row r="81">
          <cell r="A81">
            <v>31200</v>
          </cell>
          <cell r="B81" t="str">
            <v>BURKE COUNTY SCHOOLS</v>
          </cell>
          <cell r="C81">
            <v>6275234.5899999989</v>
          </cell>
        </row>
        <row r="82">
          <cell r="A82">
            <v>31205</v>
          </cell>
          <cell r="B82" t="str">
            <v>WESTERN PIEDMONT COMM COLLEGE</v>
          </cell>
          <cell r="C82">
            <v>847793.00999999989</v>
          </cell>
        </row>
        <row r="83">
          <cell r="A83">
            <v>31300</v>
          </cell>
          <cell r="B83" t="str">
            <v>CABARRUS COUNTY SCHOOLS</v>
          </cell>
          <cell r="C83">
            <v>15725398.760000002</v>
          </cell>
        </row>
        <row r="84">
          <cell r="A84">
            <v>31301</v>
          </cell>
          <cell r="B84" t="str">
            <v>CAROLINA INTERNATIONAL SCHOOL</v>
          </cell>
          <cell r="C84">
            <v>343564.04</v>
          </cell>
        </row>
        <row r="85">
          <cell r="A85">
            <v>31320</v>
          </cell>
          <cell r="B85" t="str">
            <v>KANNAPOLIS CITY SCHOOLS</v>
          </cell>
          <cell r="C85">
            <v>2839854.22</v>
          </cell>
        </row>
        <row r="86">
          <cell r="A86">
            <v>31400</v>
          </cell>
          <cell r="B86" t="str">
            <v>CALDWELL COUNTY SCHOOLS</v>
          </cell>
          <cell r="C86">
            <v>6539804.5399999991</v>
          </cell>
        </row>
        <row r="87">
          <cell r="A87">
            <v>31405</v>
          </cell>
          <cell r="B87" t="str">
            <v>CALDWELL COMMUNITY COLLEGE</v>
          </cell>
          <cell r="C87">
            <v>1492128.98</v>
          </cell>
        </row>
        <row r="88">
          <cell r="A88">
            <v>31500</v>
          </cell>
          <cell r="B88" t="str">
            <v>CAMDEN COUNTY SCHOOLS</v>
          </cell>
          <cell r="C88">
            <v>1042824.07</v>
          </cell>
        </row>
        <row r="89">
          <cell r="A89">
            <v>31600</v>
          </cell>
          <cell r="B89" t="str">
            <v>CARTERET COUNTY SCHOOLS</v>
          </cell>
          <cell r="C89">
            <v>4619193.3099999996</v>
          </cell>
        </row>
        <row r="90">
          <cell r="A90">
            <v>31605</v>
          </cell>
          <cell r="B90" t="str">
            <v>CARTERET COMMUNITY COLLEGE</v>
          </cell>
          <cell r="C90">
            <v>757652.99000000011</v>
          </cell>
        </row>
        <row r="91">
          <cell r="A91">
            <v>31700</v>
          </cell>
          <cell r="B91" t="str">
            <v>CASWELL COUNTY SCHOOLS</v>
          </cell>
          <cell r="C91">
            <v>1473220.39</v>
          </cell>
        </row>
        <row r="92">
          <cell r="A92">
            <v>31800</v>
          </cell>
          <cell r="B92" t="str">
            <v>CATAWBA COUNTY SCHOOLS</v>
          </cell>
          <cell r="C92">
            <v>8354515.5299999984</v>
          </cell>
        </row>
        <row r="93">
          <cell r="A93">
            <v>31805</v>
          </cell>
          <cell r="B93" t="str">
            <v>CATAWBA VALLEY COMMUNITY COLLEGE</v>
          </cell>
          <cell r="C93">
            <v>1783168.91</v>
          </cell>
        </row>
        <row r="94">
          <cell r="A94">
            <v>31810</v>
          </cell>
          <cell r="B94" t="str">
            <v>HICKORY CITY SCHOOLS</v>
          </cell>
          <cell r="C94">
            <v>2119572.9300000002</v>
          </cell>
        </row>
        <row r="95">
          <cell r="A95">
            <v>31820</v>
          </cell>
          <cell r="B95" t="str">
            <v>NEWTON-CONOVER CITY SCHOOLS</v>
          </cell>
          <cell r="C95">
            <v>1741873.49</v>
          </cell>
        </row>
        <row r="96">
          <cell r="A96">
            <v>31900</v>
          </cell>
          <cell r="B96" t="str">
            <v>CHATHAM COUNTY SCHOOLS</v>
          </cell>
          <cell r="C96">
            <v>4970830.3499999996</v>
          </cell>
        </row>
        <row r="97">
          <cell r="A97">
            <v>32000</v>
          </cell>
          <cell r="B97" t="str">
            <v>CHEROKEE COUNTY SCHOOLS</v>
          </cell>
          <cell r="C97">
            <v>2043254.3900000001</v>
          </cell>
        </row>
        <row r="98">
          <cell r="A98">
            <v>32005</v>
          </cell>
          <cell r="B98" t="str">
            <v>TRI-COUNTY COMMUNITY COLLEGE</v>
          </cell>
          <cell r="C98">
            <v>509660.10999999993</v>
          </cell>
        </row>
        <row r="99">
          <cell r="A99">
            <v>32100</v>
          </cell>
          <cell r="B99" t="str">
            <v>EDENTON-CHOWAN COUNTY SCHOOLS</v>
          </cell>
          <cell r="C99">
            <v>1244079.51</v>
          </cell>
        </row>
        <row r="100">
          <cell r="A100">
            <v>32200</v>
          </cell>
          <cell r="B100" t="str">
            <v>CLAY COUNTY SCHOOLS</v>
          </cell>
          <cell r="C100">
            <v>795968.39</v>
          </cell>
        </row>
        <row r="101">
          <cell r="A101">
            <v>32300</v>
          </cell>
          <cell r="B101" t="str">
            <v>CLEVELAND COUNTY SCHOOLS</v>
          </cell>
          <cell r="C101">
            <v>8472960.7799999993</v>
          </cell>
        </row>
        <row r="102">
          <cell r="A102">
            <v>32305</v>
          </cell>
          <cell r="B102" t="str">
            <v>CLEVELAND COMMUNITY COLLEGE</v>
          </cell>
          <cell r="C102">
            <v>995186.34000000008</v>
          </cell>
        </row>
        <row r="103">
          <cell r="A103">
            <v>32400</v>
          </cell>
          <cell r="B103" t="str">
            <v>COLUMBUS COUNTY SCHOOLS</v>
          </cell>
          <cell r="C103">
            <v>3289937.8899999997</v>
          </cell>
        </row>
        <row r="104">
          <cell r="A104">
            <v>32405</v>
          </cell>
          <cell r="B104" t="str">
            <v>SOUTHEASTERN COMMUNITY COLLEGE</v>
          </cell>
          <cell r="C104">
            <v>889333.40000000026</v>
          </cell>
        </row>
        <row r="105">
          <cell r="A105">
            <v>32410</v>
          </cell>
          <cell r="B105" t="str">
            <v>WHITEVILLE CITY SCHOOLS</v>
          </cell>
          <cell r="C105">
            <v>1298635.7100000002</v>
          </cell>
        </row>
        <row r="106">
          <cell r="A106">
            <v>32500</v>
          </cell>
          <cell r="B106" t="str">
            <v>NEW BERN CRAVEN COUNTY BOARD OF EDUCATION</v>
          </cell>
          <cell r="C106">
            <v>6739516.1899999995</v>
          </cell>
        </row>
        <row r="107">
          <cell r="A107">
            <v>32505</v>
          </cell>
          <cell r="B107" t="str">
            <v>CRAVEN COMMUNITY COLLEGE</v>
          </cell>
          <cell r="C107">
            <v>1106813.93</v>
          </cell>
        </row>
        <row r="108">
          <cell r="A108">
            <v>32600</v>
          </cell>
          <cell r="B108" t="str">
            <v>CUMBERLAND COUNTY SCHOOLS</v>
          </cell>
          <cell r="C108">
            <v>24350594.630000003</v>
          </cell>
        </row>
        <row r="109">
          <cell r="A109">
            <v>32605</v>
          </cell>
          <cell r="B109" t="str">
            <v>FAYETTEVILLE TECHNICAL COMMUNITY COLLEGE</v>
          </cell>
          <cell r="C109">
            <v>3902908.92</v>
          </cell>
        </row>
        <row r="110">
          <cell r="A110">
            <v>32700</v>
          </cell>
          <cell r="B110" t="str">
            <v>CURRITUCK COUNTY SCHOOLS</v>
          </cell>
          <cell r="C110">
            <v>2262317.0299999998</v>
          </cell>
        </row>
        <row r="111">
          <cell r="A111">
            <v>32800</v>
          </cell>
          <cell r="B111" t="str">
            <v>DARE COUNTY SCHOOLS</v>
          </cell>
          <cell r="C111">
            <v>3329356.71</v>
          </cell>
        </row>
        <row r="112">
          <cell r="A112">
            <v>32900</v>
          </cell>
          <cell r="B112" t="str">
            <v>DAVIDSON COUNTY SCHOOLS</v>
          </cell>
          <cell r="C112">
            <v>9104216.7199999988</v>
          </cell>
        </row>
        <row r="113">
          <cell r="A113">
            <v>32901</v>
          </cell>
          <cell r="B113" t="str">
            <v>INVEST COLLEGIATE CHARTER (DAVIDSON)</v>
          </cell>
          <cell r="C113">
            <v>195378.97999999998</v>
          </cell>
        </row>
        <row r="114">
          <cell r="A114">
            <v>32905</v>
          </cell>
          <cell r="B114" t="str">
            <v>DAVIDSON COUNTY COMMUNITY COLLEGE</v>
          </cell>
          <cell r="C114">
            <v>1454566.09</v>
          </cell>
        </row>
        <row r="115">
          <cell r="A115">
            <v>32910</v>
          </cell>
          <cell r="B115" t="str">
            <v>LEXINGTON CITY SCHOOLS</v>
          </cell>
          <cell r="C115">
            <v>1775406.8399999999</v>
          </cell>
        </row>
        <row r="116">
          <cell r="A116">
            <v>32920</v>
          </cell>
          <cell r="B116" t="str">
            <v>THOMASVILLE CITY SCHOOLS</v>
          </cell>
          <cell r="C116">
            <v>1403159.9500000002</v>
          </cell>
        </row>
        <row r="117">
          <cell r="A117">
            <v>33000</v>
          </cell>
          <cell r="B117" t="str">
            <v>DAVIE COUNTY SCHOOLS</v>
          </cell>
          <cell r="C117">
            <v>3346436.4199999995</v>
          </cell>
        </row>
        <row r="118">
          <cell r="A118">
            <v>33001</v>
          </cell>
          <cell r="B118" t="str">
            <v>N.E. REGIONAL SCHOOL FOR BIOTECHNOLOGY</v>
          </cell>
          <cell r="C118">
            <v>99879.040000000008</v>
          </cell>
        </row>
        <row r="119">
          <cell r="A119">
            <v>33027</v>
          </cell>
          <cell r="B119" t="str">
            <v>CORNERSTONE ACADEMY</v>
          </cell>
          <cell r="C119">
            <v>321801.76</v>
          </cell>
        </row>
        <row r="120">
          <cell r="A120">
            <v>33100</v>
          </cell>
          <cell r="B120" t="str">
            <v>DUPLIN COUNTY SCHOOLS</v>
          </cell>
          <cell r="C120">
            <v>5000926</v>
          </cell>
        </row>
        <row r="121">
          <cell r="A121">
            <v>33105</v>
          </cell>
          <cell r="B121" t="str">
            <v>JAMES SPRUNT TECHNICAL COLLEGE</v>
          </cell>
          <cell r="C121">
            <v>599441.89</v>
          </cell>
        </row>
        <row r="122">
          <cell r="A122">
            <v>33200</v>
          </cell>
          <cell r="B122" t="str">
            <v>DURHAM PUBLIC SCHOOLS</v>
          </cell>
          <cell r="C122">
            <v>20835379.730000004</v>
          </cell>
        </row>
        <row r="123">
          <cell r="A123">
            <v>33202</v>
          </cell>
          <cell r="B123" t="str">
            <v>CENTRAL PARK SCH FOR CHILDREN</v>
          </cell>
          <cell r="C123">
            <v>270999.69</v>
          </cell>
        </row>
        <row r="124">
          <cell r="A124">
            <v>33203</v>
          </cell>
          <cell r="B124" t="str">
            <v>HEALTHY START ACADEMY</v>
          </cell>
          <cell r="C124">
            <v>157859.74000000002</v>
          </cell>
        </row>
        <row r="125">
          <cell r="A125">
            <v>33204</v>
          </cell>
          <cell r="B125" t="str">
            <v>VOYAGER ACADEMY</v>
          </cell>
          <cell r="C125">
            <v>535946.6</v>
          </cell>
        </row>
        <row r="126">
          <cell r="A126">
            <v>33205</v>
          </cell>
          <cell r="B126" t="str">
            <v>DURHAM TECHNICAL INSTITUTE</v>
          </cell>
          <cell r="C126">
            <v>1938174.0200000003</v>
          </cell>
        </row>
        <row r="127">
          <cell r="A127">
            <v>33206</v>
          </cell>
          <cell r="B127" t="str">
            <v>BEAR GRASS CHARTER SCHOOL</v>
          </cell>
          <cell r="C127">
            <v>155436.62</v>
          </cell>
        </row>
        <row r="128">
          <cell r="A128">
            <v>33207</v>
          </cell>
          <cell r="B128" t="str">
            <v>INVEST COLLEGIATE CHARTER (BUNCOMBE)</v>
          </cell>
          <cell r="C128">
            <v>310450.93000000005</v>
          </cell>
        </row>
        <row r="129">
          <cell r="A129">
            <v>33208</v>
          </cell>
          <cell r="B129" t="str">
            <v>KIPP HALIFAX COLLEGE PREP CHARTER</v>
          </cell>
          <cell r="C129">
            <v>11222.56</v>
          </cell>
        </row>
        <row r="130">
          <cell r="A130">
            <v>33209</v>
          </cell>
          <cell r="B130" t="str">
            <v>PIONEER SPRINGS COMMUNITY CHARTER</v>
          </cell>
          <cell r="C130">
            <v>97339.160000000018</v>
          </cell>
        </row>
        <row r="131">
          <cell r="A131">
            <v>33300</v>
          </cell>
          <cell r="B131" t="str">
            <v>EDGECOMBE COUNTY SCHOOLS</v>
          </cell>
          <cell r="C131">
            <v>3249564.4499999993</v>
          </cell>
        </row>
        <row r="132">
          <cell r="A132">
            <v>33305</v>
          </cell>
          <cell r="B132" t="str">
            <v>EDGECOMBE TECHNICAL COLLEGE</v>
          </cell>
          <cell r="C132">
            <v>955651.14999999991</v>
          </cell>
        </row>
        <row r="133">
          <cell r="A133">
            <v>33400</v>
          </cell>
          <cell r="B133" t="str">
            <v>WINSTON-SALEM-FORSYTH COUNTY SCHOOLS</v>
          </cell>
          <cell r="C133">
            <v>29076028.090000004</v>
          </cell>
        </row>
        <row r="134">
          <cell r="A134">
            <v>33402</v>
          </cell>
          <cell r="B134" t="str">
            <v>ARTS BASED ELEMENTARY CHARTER</v>
          </cell>
          <cell r="C134">
            <v>208317.66000000003</v>
          </cell>
        </row>
        <row r="135">
          <cell r="A135">
            <v>33405</v>
          </cell>
          <cell r="B135" t="str">
            <v>FORSYTH TECHNICAL INSTITUTE</v>
          </cell>
          <cell r="C135">
            <v>3030608.6100000003</v>
          </cell>
        </row>
        <row r="136">
          <cell r="A136">
            <v>33500</v>
          </cell>
          <cell r="B136" t="str">
            <v>FRANKLIN COUNTY SCHOOLS</v>
          </cell>
          <cell r="C136">
            <v>4330346.4799999995</v>
          </cell>
        </row>
        <row r="137">
          <cell r="A137">
            <v>33501</v>
          </cell>
          <cell r="B137" t="str">
            <v>A CHILDS GARDEN CHARTER (AKA CROSS CREEK CHARTER)</v>
          </cell>
          <cell r="C137">
            <v>96060.67</v>
          </cell>
        </row>
        <row r="138">
          <cell r="A138">
            <v>33600</v>
          </cell>
          <cell r="B138" t="str">
            <v>GASTON COUNTY SCHOOLS</v>
          </cell>
          <cell r="C138">
            <v>14965570.999999998</v>
          </cell>
        </row>
        <row r="139">
          <cell r="A139">
            <v>33605</v>
          </cell>
          <cell r="B139" t="str">
            <v>GASTON COLLEGE</v>
          </cell>
          <cell r="C139">
            <v>2299487.0799999996</v>
          </cell>
        </row>
        <row r="140">
          <cell r="A140">
            <v>33700</v>
          </cell>
          <cell r="B140" t="str">
            <v>GATES COUNTY SCHOOLS</v>
          </cell>
          <cell r="C140">
            <v>1080813.67</v>
          </cell>
        </row>
        <row r="141">
          <cell r="A141">
            <v>33800</v>
          </cell>
          <cell r="B141" t="str">
            <v>GRAHAM COUNTY SCHOOLS</v>
          </cell>
          <cell r="C141">
            <v>816940.55</v>
          </cell>
        </row>
        <row r="142">
          <cell r="A142">
            <v>33900</v>
          </cell>
          <cell r="B142" t="str">
            <v>GRANVILLE COUNTY SCHOOLS AND OXFORD ORPHANAGE</v>
          </cell>
          <cell r="C142">
            <v>4215172.28</v>
          </cell>
        </row>
        <row r="143">
          <cell r="A143">
            <v>34000</v>
          </cell>
          <cell r="B143" t="str">
            <v>GREENE COUNTY SCHOOLS</v>
          </cell>
          <cell r="C143">
            <v>1774935.9799999997</v>
          </cell>
        </row>
        <row r="144">
          <cell r="A144">
            <v>34100</v>
          </cell>
          <cell r="B144" t="str">
            <v>GUILFORD COUNTY SCHOOLS</v>
          </cell>
          <cell r="C144">
            <v>39704333.719999999</v>
          </cell>
        </row>
        <row r="145">
          <cell r="A145">
            <v>34105</v>
          </cell>
          <cell r="B145" t="str">
            <v>GUILFORD TECHNICAL COMMUNITY COLLEGE</v>
          </cell>
          <cell r="C145">
            <v>3859870.1399999997</v>
          </cell>
        </row>
        <row r="146">
          <cell r="A146">
            <v>34200</v>
          </cell>
          <cell r="B146" t="str">
            <v>HALIFAX COUNTY SCHOOLS</v>
          </cell>
          <cell r="C146">
            <v>1482102.38</v>
          </cell>
        </row>
        <row r="147">
          <cell r="A147">
            <v>34205</v>
          </cell>
          <cell r="B147" t="str">
            <v>HALIFAX COMMUNITY COLLEGE</v>
          </cell>
          <cell r="C147">
            <v>727583.19000000006</v>
          </cell>
        </row>
        <row r="148">
          <cell r="A148">
            <v>34220</v>
          </cell>
          <cell r="B148" t="str">
            <v>ROANOKE RAPIDS CITY SCHOOLS</v>
          </cell>
          <cell r="C148">
            <v>1615026.35</v>
          </cell>
        </row>
        <row r="149">
          <cell r="A149">
            <v>34230</v>
          </cell>
          <cell r="B149" t="str">
            <v>WELDON CITY SCHOOLS</v>
          </cell>
          <cell r="C149">
            <v>629955.59</v>
          </cell>
        </row>
        <row r="150">
          <cell r="A150">
            <v>34300</v>
          </cell>
          <cell r="B150" t="str">
            <v>HARNETT COUNTY SCHOOLS</v>
          </cell>
          <cell r="C150">
            <v>9548801.9399999976</v>
          </cell>
        </row>
        <row r="151">
          <cell r="A151">
            <v>34400</v>
          </cell>
          <cell r="B151" t="str">
            <v>HAYWOOD COUNTY SCHOOLS</v>
          </cell>
          <cell r="C151">
            <v>3864608.09</v>
          </cell>
        </row>
        <row r="152">
          <cell r="A152">
            <v>34405</v>
          </cell>
          <cell r="B152" t="str">
            <v>HAYWOOD TECHNICAL COLLEGE</v>
          </cell>
          <cell r="C152">
            <v>820413.16999999993</v>
          </cell>
        </row>
        <row r="153">
          <cell r="A153">
            <v>34500</v>
          </cell>
          <cell r="B153" t="str">
            <v>HENDERSON COUNTY SCHOOLS</v>
          </cell>
          <cell r="C153">
            <v>6998083.3399999999</v>
          </cell>
        </row>
        <row r="154">
          <cell r="A154">
            <v>34501</v>
          </cell>
          <cell r="B154" t="str">
            <v>MOUNTAIN COMMUNITY SCHOOL</v>
          </cell>
          <cell r="C154">
            <v>80343.94</v>
          </cell>
        </row>
        <row r="155">
          <cell r="A155">
            <v>34505</v>
          </cell>
          <cell r="B155" t="str">
            <v>BLUE RIDGE COMMUNITY COLLEGE</v>
          </cell>
          <cell r="C155">
            <v>1032685.25</v>
          </cell>
        </row>
        <row r="156">
          <cell r="A156">
            <v>34600</v>
          </cell>
          <cell r="B156" t="str">
            <v>HERTFORD COUNTY SCHOOLS</v>
          </cell>
          <cell r="C156">
            <v>1781310.69</v>
          </cell>
        </row>
        <row r="157">
          <cell r="A157">
            <v>34605</v>
          </cell>
          <cell r="B157" t="str">
            <v>ROANOKE-CHOWAN COMMUNITY COLLEGE</v>
          </cell>
          <cell r="C157">
            <v>382102.23</v>
          </cell>
        </row>
        <row r="158">
          <cell r="A158">
            <v>34700</v>
          </cell>
          <cell r="B158" t="str">
            <v>HOKE COUNTY SCHOOLS</v>
          </cell>
          <cell r="C158">
            <v>4239854.18</v>
          </cell>
        </row>
        <row r="159">
          <cell r="A159">
            <v>34800</v>
          </cell>
          <cell r="B159" t="str">
            <v>HYDE COUNTY SCHOOLS</v>
          </cell>
          <cell r="C159">
            <v>572771.71000000008</v>
          </cell>
        </row>
        <row r="160">
          <cell r="A160">
            <v>34900</v>
          </cell>
          <cell r="B160" t="str">
            <v>IREDELL-STATESVILLE SCHOOLS</v>
          </cell>
          <cell r="C160">
            <v>10227939.130000001</v>
          </cell>
        </row>
        <row r="161">
          <cell r="A161">
            <v>34901</v>
          </cell>
          <cell r="B161" t="str">
            <v>AMERICAN RENAISSANCE MID SCHOOL</v>
          </cell>
          <cell r="C161">
            <v>219076.46999999994</v>
          </cell>
        </row>
        <row r="162">
          <cell r="A162">
            <v>34903</v>
          </cell>
          <cell r="B162" t="str">
            <v>SUCCESS INSTITUTE</v>
          </cell>
          <cell r="C162">
            <v>25754.54</v>
          </cell>
        </row>
        <row r="163">
          <cell r="A163">
            <v>34905</v>
          </cell>
          <cell r="B163" t="str">
            <v>MITCHELL COMMUNITY COLLEGE</v>
          </cell>
          <cell r="C163">
            <v>1041661.7799999999</v>
          </cell>
        </row>
        <row r="164">
          <cell r="A164">
            <v>34910</v>
          </cell>
          <cell r="B164" t="str">
            <v>MOORESVILLE CITY SCHOOLS</v>
          </cell>
          <cell r="C164">
            <v>3016910.4699999997</v>
          </cell>
        </row>
        <row r="165">
          <cell r="A165">
            <v>35000</v>
          </cell>
          <cell r="B165" t="str">
            <v>JACKSON COUNTY SCHOOLS</v>
          </cell>
          <cell r="C165">
            <v>2042772.8100000003</v>
          </cell>
        </row>
        <row r="166">
          <cell r="A166">
            <v>35005</v>
          </cell>
          <cell r="B166" t="str">
            <v>SOUTHWESTERN COMMUNITY COLLEGE</v>
          </cell>
          <cell r="C166">
            <v>1031101.47</v>
          </cell>
        </row>
        <row r="167">
          <cell r="A167">
            <v>35100</v>
          </cell>
          <cell r="B167" t="str">
            <v>JOHNSTON COUNTY SCHOOLS</v>
          </cell>
          <cell r="C167">
            <v>17403240.620000001</v>
          </cell>
        </row>
        <row r="168">
          <cell r="A168">
            <v>35105</v>
          </cell>
          <cell r="B168" t="str">
            <v>JOHNSTON TECHNICAL COLLEGE</v>
          </cell>
          <cell r="C168">
            <v>1605837.62</v>
          </cell>
        </row>
        <row r="169">
          <cell r="A169">
            <v>35106</v>
          </cell>
          <cell r="B169" t="str">
            <v>NEUSE CHARTER SCHOOL</v>
          </cell>
          <cell r="C169">
            <v>343896.48000000004</v>
          </cell>
        </row>
        <row r="170">
          <cell r="A170">
            <v>35200</v>
          </cell>
          <cell r="B170" t="str">
            <v>JONES COUNTY SCHOOLS</v>
          </cell>
          <cell r="C170">
            <v>852815.27</v>
          </cell>
        </row>
        <row r="171">
          <cell r="A171">
            <v>35300</v>
          </cell>
          <cell r="B171" t="str">
            <v>SANFORD-LEE COUNTY BOARD OF EDUCATION</v>
          </cell>
          <cell r="C171">
            <v>5334538.33</v>
          </cell>
        </row>
        <row r="172">
          <cell r="A172">
            <v>35305</v>
          </cell>
          <cell r="B172" t="str">
            <v>CENTRAL CAROLINA COMMUNITY COLLEGE</v>
          </cell>
          <cell r="C172">
            <v>2067815.72</v>
          </cell>
        </row>
        <row r="173">
          <cell r="A173">
            <v>35400</v>
          </cell>
          <cell r="B173" t="str">
            <v>LENOIR COUNTY SCHOOLS</v>
          </cell>
          <cell r="C173">
            <v>4305422.7300000004</v>
          </cell>
        </row>
        <row r="174">
          <cell r="A174">
            <v>35401</v>
          </cell>
          <cell r="B174" t="str">
            <v>CHILDRENS VILLAGE ACADEMY</v>
          </cell>
          <cell r="C174">
            <v>45085.850000000006</v>
          </cell>
        </row>
        <row r="175">
          <cell r="A175">
            <v>35405</v>
          </cell>
          <cell r="B175" t="str">
            <v>LENOIR COUNTY COMMUNITY COLLEGE</v>
          </cell>
          <cell r="C175">
            <v>1447918.2499999998</v>
          </cell>
        </row>
        <row r="176">
          <cell r="A176">
            <v>35500</v>
          </cell>
          <cell r="B176" t="str">
            <v>LINCOLN COUNTY SCHOOLS</v>
          </cell>
          <cell r="C176">
            <v>5628920.5</v>
          </cell>
        </row>
        <row r="177">
          <cell r="A177">
            <v>35600</v>
          </cell>
          <cell r="B177" t="str">
            <v>MACON COUNTY SCHOOLS</v>
          </cell>
          <cell r="C177">
            <v>2430727.3199999998</v>
          </cell>
        </row>
        <row r="178">
          <cell r="A178">
            <v>35700</v>
          </cell>
          <cell r="B178" t="str">
            <v>MADISON COUNTY SCHOOLS</v>
          </cell>
          <cell r="C178">
            <v>1342107.1999999997</v>
          </cell>
        </row>
        <row r="179">
          <cell r="A179">
            <v>35800</v>
          </cell>
          <cell r="B179" t="str">
            <v>MARTIN COUNTY SCHOOLS</v>
          </cell>
          <cell r="C179">
            <v>2035094.46</v>
          </cell>
        </row>
        <row r="180">
          <cell r="A180">
            <v>35805</v>
          </cell>
          <cell r="B180" t="str">
            <v>MARTIN COMMUNITY COLLEGE</v>
          </cell>
          <cell r="C180">
            <v>397711.87</v>
          </cell>
        </row>
        <row r="181">
          <cell r="A181">
            <v>35900</v>
          </cell>
          <cell r="B181" t="str">
            <v>MCDOWELL COUNTY SCHOOLS</v>
          </cell>
          <cell r="C181">
            <v>3457052.5900000008</v>
          </cell>
        </row>
        <row r="182">
          <cell r="A182">
            <v>35905</v>
          </cell>
          <cell r="B182" t="str">
            <v>MCDOWELL TECHNICAL COLLEGE</v>
          </cell>
          <cell r="C182">
            <v>591159.85</v>
          </cell>
        </row>
        <row r="183">
          <cell r="A183">
            <v>36000</v>
          </cell>
          <cell r="B183" t="str">
            <v>CHARLOTTE-MECKLENBURG COUNTY SCHOOLS</v>
          </cell>
          <cell r="C183">
            <v>78132406.680000007</v>
          </cell>
        </row>
        <row r="184">
          <cell r="A184">
            <v>36001</v>
          </cell>
          <cell r="B184" t="str">
            <v>COMMUNITY CHARTER SCHOOL</v>
          </cell>
          <cell r="C184">
            <v>44350.73</v>
          </cell>
        </row>
        <row r="185">
          <cell r="A185">
            <v>36003</v>
          </cell>
          <cell r="B185" t="str">
            <v>COMMUNITY SCHOOL OF DAVIDSON</v>
          </cell>
          <cell r="C185">
            <v>512201.02999999997</v>
          </cell>
        </row>
        <row r="186">
          <cell r="A186">
            <v>36004</v>
          </cell>
          <cell r="B186" t="str">
            <v>CORVIAN COMMUNITY CHARTER SCHOOL</v>
          </cell>
          <cell r="C186">
            <v>270630.74</v>
          </cell>
        </row>
        <row r="187">
          <cell r="A187">
            <v>36005</v>
          </cell>
          <cell r="B187" t="str">
            <v>CENTRAL PIEDMONT COMMUNITY COLLEGE</v>
          </cell>
          <cell r="C187">
            <v>7296450.1700000018</v>
          </cell>
        </row>
        <row r="188">
          <cell r="A188">
            <v>36006</v>
          </cell>
          <cell r="B188" t="str">
            <v>LAKE NORMAN CHARTER SCHOOL</v>
          </cell>
          <cell r="C188">
            <v>664153.98</v>
          </cell>
        </row>
        <row r="189">
          <cell r="A189">
            <v>36007</v>
          </cell>
          <cell r="B189" t="str">
            <v>SOCRATES ACADEMY</v>
          </cell>
          <cell r="C189">
            <v>244210.78000000003</v>
          </cell>
        </row>
        <row r="190">
          <cell r="A190">
            <v>36008</v>
          </cell>
          <cell r="B190" t="str">
            <v>PINE LAKE PREP CHARTER</v>
          </cell>
          <cell r="C190">
            <v>687679.0199999999</v>
          </cell>
        </row>
        <row r="191">
          <cell r="A191">
            <v>36009</v>
          </cell>
          <cell r="B191" t="str">
            <v>CHARLOTTE SECONDARY CHARTER</v>
          </cell>
          <cell r="C191">
            <v>169828.71999999997</v>
          </cell>
        </row>
        <row r="192">
          <cell r="A192">
            <v>36100</v>
          </cell>
          <cell r="B192" t="str">
            <v>MITCHELL COUNTY SCHOOLS</v>
          </cell>
          <cell r="C192">
            <v>1122456.8299999998</v>
          </cell>
        </row>
        <row r="193">
          <cell r="A193">
            <v>36102</v>
          </cell>
          <cell r="B193" t="str">
            <v>KIPP CHARLOTTE CHARTER</v>
          </cell>
          <cell r="C193">
            <v>243574.52999999997</v>
          </cell>
        </row>
        <row r="194">
          <cell r="A194">
            <v>36105</v>
          </cell>
          <cell r="B194" t="str">
            <v>MAYLAND TECHNICAL COLLEGE</v>
          </cell>
          <cell r="C194">
            <v>630238.27000000014</v>
          </cell>
        </row>
        <row r="195">
          <cell r="A195">
            <v>36200</v>
          </cell>
          <cell r="B195" t="str">
            <v>MONTGOMERY COUNTY SCHOOLS</v>
          </cell>
          <cell r="C195">
            <v>2300464.58</v>
          </cell>
        </row>
        <row r="196">
          <cell r="A196">
            <v>36205</v>
          </cell>
          <cell r="B196" t="str">
            <v>MONTGOMERY COMMUNITY COLLEGE</v>
          </cell>
          <cell r="C196">
            <v>406918.12999999995</v>
          </cell>
        </row>
        <row r="197">
          <cell r="A197">
            <v>36300</v>
          </cell>
          <cell r="B197" t="str">
            <v>MOORE COUNTY SCHOOLS</v>
          </cell>
          <cell r="C197">
            <v>6899436.919999999</v>
          </cell>
        </row>
        <row r="198">
          <cell r="A198">
            <v>36301</v>
          </cell>
          <cell r="B198" t="str">
            <v>ACADEMY OF MOORE COUNTY</v>
          </cell>
          <cell r="C198">
            <v>91683.549999999988</v>
          </cell>
        </row>
        <row r="199">
          <cell r="A199">
            <v>36302</v>
          </cell>
          <cell r="B199" t="str">
            <v>STARS CHARTER SCHOOL</v>
          </cell>
          <cell r="C199">
            <v>143357.11000000002</v>
          </cell>
        </row>
        <row r="200">
          <cell r="A200">
            <v>36303</v>
          </cell>
          <cell r="B200" t="str">
            <v>THE NORTH CAROLINA LEADERSHIP ACADEMY</v>
          </cell>
          <cell r="C200">
            <v>63730.48</v>
          </cell>
        </row>
        <row r="201">
          <cell r="A201">
            <v>36305</v>
          </cell>
          <cell r="B201" t="str">
            <v>SANDHILLS COMMUNITY COLLEGE</v>
          </cell>
          <cell r="C201">
            <v>1523974.1900000002</v>
          </cell>
        </row>
        <row r="202">
          <cell r="A202">
            <v>36310</v>
          </cell>
          <cell r="B202" t="str">
            <v>FERNLEAF COMMUNITY CHARTER</v>
          </cell>
          <cell r="C202">
            <v>49219.649999999987</v>
          </cell>
        </row>
        <row r="203">
          <cell r="A203">
            <v>36400</v>
          </cell>
          <cell r="B203" t="str">
            <v>NASH-ROCKY MOUNT SCHOOLS</v>
          </cell>
          <cell r="C203">
            <v>8123351.6800000006</v>
          </cell>
        </row>
        <row r="204">
          <cell r="A204">
            <v>36405</v>
          </cell>
          <cell r="B204" t="str">
            <v>NASH COMMUNITY COLLEGE</v>
          </cell>
          <cell r="C204">
            <v>1333428.3599999999</v>
          </cell>
        </row>
        <row r="205">
          <cell r="A205">
            <v>36500</v>
          </cell>
          <cell r="B205" t="str">
            <v>NEW HANOVER COUNTY SCHOOLS</v>
          </cell>
          <cell r="C205">
            <v>15013988.010000004</v>
          </cell>
        </row>
        <row r="206">
          <cell r="A206">
            <v>36501</v>
          </cell>
          <cell r="B206" t="str">
            <v>CAPE FEAR CTR FOR INQUIRY</v>
          </cell>
          <cell r="C206">
            <v>170677.66</v>
          </cell>
        </row>
        <row r="207">
          <cell r="A207">
            <v>36502</v>
          </cell>
          <cell r="B207" t="str">
            <v>WILMINGTON PREP ACADEMY</v>
          </cell>
          <cell r="C207">
            <v>61164.210000000006</v>
          </cell>
        </row>
        <row r="208">
          <cell r="A208">
            <v>36505</v>
          </cell>
          <cell r="B208" t="str">
            <v>CAPE FEAR COMMUNITY COLLEGE</v>
          </cell>
          <cell r="C208">
            <v>3234987.98</v>
          </cell>
        </row>
        <row r="209">
          <cell r="A209">
            <v>36600</v>
          </cell>
          <cell r="B209" t="str">
            <v>NORTHAMPTON COUNTY SCHOOLS</v>
          </cell>
          <cell r="C209">
            <v>1237269.8400000003</v>
          </cell>
        </row>
        <row r="210">
          <cell r="A210">
            <v>36601</v>
          </cell>
          <cell r="B210" t="str">
            <v>GASTON COLLEGE PREPARATORY CHARTER</v>
          </cell>
          <cell r="C210">
            <v>529532.88</v>
          </cell>
        </row>
        <row r="211">
          <cell r="A211">
            <v>36700</v>
          </cell>
          <cell r="B211" t="str">
            <v>ONSLOW COUNTY SCHOOLS</v>
          </cell>
          <cell r="C211">
            <v>12459213.009999998</v>
          </cell>
        </row>
        <row r="212">
          <cell r="A212">
            <v>36701</v>
          </cell>
          <cell r="B212" t="str">
            <v>ZECA SCHOOL OF THE ARTS AND TECHNOLOGY</v>
          </cell>
          <cell r="C212">
            <v>34636.160000000003</v>
          </cell>
        </row>
        <row r="213">
          <cell r="A213">
            <v>36705</v>
          </cell>
          <cell r="B213" t="str">
            <v>COASTAL CAROLINA COMMUNITY COLLEGE</v>
          </cell>
          <cell r="C213">
            <v>1583552.23</v>
          </cell>
        </row>
        <row r="214">
          <cell r="A214">
            <v>36800</v>
          </cell>
          <cell r="B214" t="str">
            <v>ORANGE COUNTY SCHOOLS</v>
          </cell>
          <cell r="C214">
            <v>5008221.87</v>
          </cell>
        </row>
        <row r="215">
          <cell r="A215">
            <v>36802</v>
          </cell>
          <cell r="B215" t="str">
            <v>ORANGE CHARTER SCHOOL</v>
          </cell>
          <cell r="C215">
            <v>138916.84000000003</v>
          </cell>
        </row>
        <row r="216">
          <cell r="A216">
            <v>36810</v>
          </cell>
          <cell r="B216" t="str">
            <v>CHAPEL HILL - CARRBORO CITY SCHOOLS</v>
          </cell>
          <cell r="C216">
            <v>8961885.2800000012</v>
          </cell>
        </row>
        <row r="217">
          <cell r="A217">
            <v>36900</v>
          </cell>
          <cell r="B217" t="str">
            <v>PAMLICO COUNTY SCHOOLS</v>
          </cell>
          <cell r="C217">
            <v>923488.58000000007</v>
          </cell>
        </row>
        <row r="218">
          <cell r="A218">
            <v>36901</v>
          </cell>
          <cell r="B218" t="str">
            <v>ARAPAHOE CHARTER SCHOOL</v>
          </cell>
          <cell r="C218">
            <v>316088.78999999998</v>
          </cell>
        </row>
        <row r="219">
          <cell r="A219">
            <v>36905</v>
          </cell>
          <cell r="B219" t="str">
            <v>PAMLICO COMMUNITY COLLEGE</v>
          </cell>
          <cell r="C219">
            <v>356645.35000000003</v>
          </cell>
        </row>
        <row r="220">
          <cell r="A220">
            <v>37000</v>
          </cell>
          <cell r="B220" t="str">
            <v>ELIZABETH CITY AND PASQUOTANK COUNTY SCHOOLS</v>
          </cell>
          <cell r="C220">
            <v>3052554.3099999996</v>
          </cell>
        </row>
        <row r="221">
          <cell r="A221">
            <v>37001</v>
          </cell>
          <cell r="B221" t="str">
            <v>N.E. ACADEMY OF AEROSPACE &amp; ADV.TECH</v>
          </cell>
          <cell r="C221">
            <v>102760.54000000002</v>
          </cell>
        </row>
        <row r="222">
          <cell r="A222">
            <v>37005</v>
          </cell>
          <cell r="B222" t="str">
            <v>COLLEGE OF THE ALBEMARLE</v>
          </cell>
          <cell r="C222">
            <v>843611.50000000023</v>
          </cell>
        </row>
        <row r="223">
          <cell r="A223">
            <v>37100</v>
          </cell>
          <cell r="B223" t="str">
            <v>PENDER COUNTY SCHOOLS</v>
          </cell>
          <cell r="C223">
            <v>4383122.4400000004</v>
          </cell>
        </row>
        <row r="224">
          <cell r="A224">
            <v>37200</v>
          </cell>
          <cell r="B224" t="str">
            <v>PERQUIMANS COUNTY SCHOOLS</v>
          </cell>
          <cell r="C224">
            <v>1013602.2899999999</v>
          </cell>
        </row>
        <row r="225">
          <cell r="A225">
            <v>37300</v>
          </cell>
          <cell r="B225" t="str">
            <v>PERSON COUNTY SCHOOLS</v>
          </cell>
          <cell r="C225">
            <v>2592788.0599999996</v>
          </cell>
        </row>
        <row r="226">
          <cell r="A226">
            <v>37301</v>
          </cell>
          <cell r="B226" t="str">
            <v>ROXBORO COMMUNITY SCHOOL</v>
          </cell>
          <cell r="C226">
            <v>283479.43</v>
          </cell>
        </row>
        <row r="227">
          <cell r="A227">
            <v>37305</v>
          </cell>
          <cell r="B227" t="str">
            <v>PIEDMONT COMMUNITY COLLEGE</v>
          </cell>
          <cell r="C227">
            <v>895729.04999999993</v>
          </cell>
        </row>
        <row r="228">
          <cell r="A228">
            <v>37400</v>
          </cell>
          <cell r="B228" t="str">
            <v>PITT COUNTY SCHOOLS</v>
          </cell>
          <cell r="C228">
            <v>11914832.379999999</v>
          </cell>
        </row>
        <row r="229">
          <cell r="A229">
            <v>37405</v>
          </cell>
          <cell r="B229" t="str">
            <v>PITT COMMUNITY COLLEGE</v>
          </cell>
          <cell r="C229">
            <v>2900462.6799999997</v>
          </cell>
        </row>
        <row r="230">
          <cell r="A230">
            <v>37500</v>
          </cell>
          <cell r="B230" t="str">
            <v>POLK COUNTY SCHOOLS</v>
          </cell>
          <cell r="C230">
            <v>1476053.8399999999</v>
          </cell>
        </row>
        <row r="231">
          <cell r="A231">
            <v>37600</v>
          </cell>
          <cell r="B231" t="str">
            <v>RANDOLPH COUNTY SCHOOLS</v>
          </cell>
          <cell r="C231">
            <v>8602849.120000001</v>
          </cell>
        </row>
        <row r="232">
          <cell r="A232">
            <v>37601</v>
          </cell>
          <cell r="B232" t="str">
            <v>UWHARRIE CHARTER ACADEMY</v>
          </cell>
          <cell r="C232">
            <v>300479.86</v>
          </cell>
        </row>
        <row r="233">
          <cell r="A233">
            <v>37605</v>
          </cell>
          <cell r="B233" t="str">
            <v>RANDOLPH COMMUNITY COLLEGE</v>
          </cell>
          <cell r="C233">
            <v>1079835.8400000001</v>
          </cell>
        </row>
        <row r="234">
          <cell r="A234">
            <v>37610</v>
          </cell>
          <cell r="B234" t="str">
            <v>ASHEBORO CITY SCHOOLS</v>
          </cell>
          <cell r="C234">
            <v>2525679.9400000004</v>
          </cell>
        </row>
        <row r="235">
          <cell r="A235">
            <v>37700</v>
          </cell>
          <cell r="B235" t="str">
            <v>RICHMOND COUNTY SCHOOLS</v>
          </cell>
          <cell r="C235">
            <v>3779572.5699999994</v>
          </cell>
        </row>
        <row r="236">
          <cell r="A236">
            <v>37705</v>
          </cell>
          <cell r="B236" t="str">
            <v>RICHMOND TECHNICAL COLLEGE</v>
          </cell>
          <cell r="C236">
            <v>1166864.27</v>
          </cell>
        </row>
        <row r="237">
          <cell r="A237">
            <v>37800</v>
          </cell>
          <cell r="B237" t="str">
            <v>ROBESON COUNTY SCHOOLS</v>
          </cell>
          <cell r="C237">
            <v>11790388.75</v>
          </cell>
        </row>
        <row r="238">
          <cell r="A238">
            <v>37801</v>
          </cell>
          <cell r="B238" t="str">
            <v>SOUTHEASTERN ACADEMY CHARTER SCHOOL</v>
          </cell>
          <cell r="C238">
            <v>71719.600000000006</v>
          </cell>
        </row>
        <row r="239">
          <cell r="A239">
            <v>37805</v>
          </cell>
          <cell r="B239" t="str">
            <v>ROBESON COMMUNITY COLLEGE</v>
          </cell>
          <cell r="C239">
            <v>964457.7300000001</v>
          </cell>
        </row>
        <row r="240">
          <cell r="A240">
            <v>37900</v>
          </cell>
          <cell r="B240" t="str">
            <v>ROCKINGHAM COUNTY SCHOOLS</v>
          </cell>
          <cell r="C240">
            <v>6268610.2999999998</v>
          </cell>
        </row>
        <row r="241">
          <cell r="A241">
            <v>37901</v>
          </cell>
          <cell r="B241" t="str">
            <v>BETHANY COMMUNITY MIDDLE SCHOOL</v>
          </cell>
          <cell r="C241">
            <v>86750.98000000001</v>
          </cell>
        </row>
        <row r="242">
          <cell r="A242">
            <v>37905</v>
          </cell>
          <cell r="B242" t="str">
            <v>ROCKINGHAM COMMUNITY COLLEGE</v>
          </cell>
          <cell r="C242">
            <v>834157.75</v>
          </cell>
        </row>
        <row r="243">
          <cell r="A243">
            <v>38000</v>
          </cell>
          <cell r="B243" t="str">
            <v>ROWAN-SALISBURY SCHOOL SYSTEM</v>
          </cell>
          <cell r="C243">
            <v>10014489.33</v>
          </cell>
        </row>
        <row r="244">
          <cell r="A244">
            <v>38005</v>
          </cell>
          <cell r="B244" t="str">
            <v>ROWAN-CABARRUS COMMUNITY COLLEGE</v>
          </cell>
          <cell r="C244">
            <v>2009661.2499999998</v>
          </cell>
        </row>
        <row r="245">
          <cell r="A245">
            <v>38100</v>
          </cell>
          <cell r="B245" t="str">
            <v>RUTHERFORD COUNTY SCHOOLS</v>
          </cell>
          <cell r="C245">
            <v>4654330.59</v>
          </cell>
        </row>
        <row r="246">
          <cell r="A246">
            <v>38105</v>
          </cell>
          <cell r="B246" t="str">
            <v>ISOTHERMAL COMMUNITY COLLEGE</v>
          </cell>
          <cell r="C246">
            <v>942930.13</v>
          </cell>
        </row>
        <row r="247">
          <cell r="A247">
            <v>38200</v>
          </cell>
          <cell r="B247" t="str">
            <v>SAMPSON COUNTY SCHOOLS</v>
          </cell>
          <cell r="C247">
            <v>4275624.2299999995</v>
          </cell>
        </row>
        <row r="248">
          <cell r="A248">
            <v>38205</v>
          </cell>
          <cell r="B248" t="str">
            <v>SAMPSON COMMUNITY COLLEGE</v>
          </cell>
          <cell r="C248">
            <v>709040.92</v>
          </cell>
        </row>
        <row r="249">
          <cell r="A249">
            <v>38210</v>
          </cell>
          <cell r="B249" t="str">
            <v>CLINTON CITY SCHOOLS</v>
          </cell>
          <cell r="C249">
            <v>1608571.72</v>
          </cell>
        </row>
        <row r="250">
          <cell r="A250">
            <v>38300</v>
          </cell>
          <cell r="B250" t="str">
            <v>SCOTLAND COUNTY SCHOOLS</v>
          </cell>
          <cell r="C250">
            <v>3424378.4</v>
          </cell>
        </row>
        <row r="251">
          <cell r="A251">
            <v>38400</v>
          </cell>
          <cell r="B251" t="str">
            <v>STANLY COUNTY SCHOOLS</v>
          </cell>
          <cell r="C251">
            <v>4261269.2</v>
          </cell>
        </row>
        <row r="252">
          <cell r="A252">
            <v>38402</v>
          </cell>
          <cell r="B252" t="str">
            <v>GRAY STONE DAY SCHOOL</v>
          </cell>
          <cell r="C252">
            <v>155241.31</v>
          </cell>
        </row>
        <row r="253">
          <cell r="A253">
            <v>38405</v>
          </cell>
          <cell r="B253" t="str">
            <v>STANLY COMMUNITY COLLEGE</v>
          </cell>
          <cell r="C253">
            <v>1073554.3999999997</v>
          </cell>
        </row>
        <row r="254">
          <cell r="A254">
            <v>38500</v>
          </cell>
          <cell r="B254" t="str">
            <v>STOKES COUNTY SCHOOLS</v>
          </cell>
          <cell r="C254">
            <v>3336401.78</v>
          </cell>
        </row>
        <row r="255">
          <cell r="A255">
            <v>38600</v>
          </cell>
          <cell r="B255" t="str">
            <v>SURRY COUNTY SCHOOLS</v>
          </cell>
          <cell r="C255">
            <v>4235055.59</v>
          </cell>
        </row>
        <row r="256">
          <cell r="A256">
            <v>38601</v>
          </cell>
          <cell r="B256" t="str">
            <v>BRIDGES CHARTER SCHOOLS</v>
          </cell>
          <cell r="C256">
            <v>46119.86</v>
          </cell>
        </row>
        <row r="257">
          <cell r="A257">
            <v>38602</v>
          </cell>
          <cell r="B257" t="str">
            <v>MILLENNIUM CHARTER ACADEMY</v>
          </cell>
          <cell r="C257">
            <v>301498.39</v>
          </cell>
        </row>
        <row r="258">
          <cell r="A258">
            <v>38605</v>
          </cell>
          <cell r="B258" t="str">
            <v>SURRY COMMUNITY COLLEGE</v>
          </cell>
          <cell r="C258">
            <v>1192364.6099999999</v>
          </cell>
        </row>
        <row r="259">
          <cell r="A259">
            <v>38610</v>
          </cell>
          <cell r="B259" t="str">
            <v>MOUNT AIRY CITY SCHOOLS</v>
          </cell>
          <cell r="C259">
            <v>900463.33000000019</v>
          </cell>
        </row>
        <row r="260">
          <cell r="A260">
            <v>38620</v>
          </cell>
          <cell r="B260" t="str">
            <v>ELKIN CITY SCHOOLS</v>
          </cell>
          <cell r="C260">
            <v>709715.69</v>
          </cell>
        </row>
        <row r="261">
          <cell r="A261">
            <v>38700</v>
          </cell>
          <cell r="B261" t="str">
            <v>SWAIN COUNTY SCHOOLS</v>
          </cell>
          <cell r="C261">
            <v>1220317.7100000002</v>
          </cell>
        </row>
        <row r="262">
          <cell r="A262">
            <v>38701</v>
          </cell>
          <cell r="B262" t="str">
            <v>MTN DISCOVERY CHARTER</v>
          </cell>
          <cell r="C262">
            <v>81826.330000000016</v>
          </cell>
        </row>
        <row r="263">
          <cell r="A263">
            <v>38800</v>
          </cell>
          <cell r="B263" t="str">
            <v>TRANSYLVANIA COUNTY SCHOOLS</v>
          </cell>
          <cell r="C263">
            <v>2128018.98</v>
          </cell>
        </row>
        <row r="264">
          <cell r="A264">
            <v>38801</v>
          </cell>
          <cell r="B264" t="str">
            <v>BREVARD ACADEMY CHARTER SCHOOL</v>
          </cell>
          <cell r="C264">
            <v>150779.38</v>
          </cell>
        </row>
        <row r="265">
          <cell r="A265">
            <v>38900</v>
          </cell>
          <cell r="B265" t="str">
            <v>TYRRELL COUNTY SCHOOLS</v>
          </cell>
          <cell r="C265">
            <v>476882.9</v>
          </cell>
        </row>
        <row r="266">
          <cell r="A266">
            <v>39000</v>
          </cell>
          <cell r="B266" t="str">
            <v>UNION COUNTY SCHOOLS</v>
          </cell>
          <cell r="C266">
            <v>20871983.339999996</v>
          </cell>
        </row>
        <row r="267">
          <cell r="A267">
            <v>39100</v>
          </cell>
          <cell r="B267" t="str">
            <v>VANCE COUNTY SCHOOLS</v>
          </cell>
          <cell r="C267">
            <v>3530602.0300000003</v>
          </cell>
        </row>
        <row r="268">
          <cell r="A268">
            <v>39101</v>
          </cell>
          <cell r="B268" t="str">
            <v>VANCE CHARTER SCHOOL</v>
          </cell>
          <cell r="C268">
            <v>282346.37</v>
          </cell>
        </row>
        <row r="269">
          <cell r="A269">
            <v>39105</v>
          </cell>
          <cell r="B269" t="str">
            <v>VANCE-GRANVILLE COMMUNITY COLLEGE</v>
          </cell>
          <cell r="C269">
            <v>1406214.8199999998</v>
          </cell>
        </row>
        <row r="270">
          <cell r="A270">
            <v>39200</v>
          </cell>
          <cell r="B270" t="str">
            <v>WAKE COUNTY PUBLIC SCHOOLS SYSTEM</v>
          </cell>
          <cell r="C270">
            <v>87215438.190000013</v>
          </cell>
        </row>
        <row r="271">
          <cell r="A271">
            <v>39201</v>
          </cell>
          <cell r="B271" t="str">
            <v>ENDEAVOR CHARTER SCHOOL</v>
          </cell>
          <cell r="C271">
            <v>214021.94</v>
          </cell>
        </row>
        <row r="272">
          <cell r="A272">
            <v>39204</v>
          </cell>
          <cell r="B272" t="str">
            <v>SOUTHERN WAKE ACADEMY</v>
          </cell>
          <cell r="C272">
            <v>216940.32</v>
          </cell>
        </row>
        <row r="273">
          <cell r="A273">
            <v>39205</v>
          </cell>
          <cell r="B273" t="str">
            <v>WAKE TECHNICAL COLLEGE</v>
          </cell>
          <cell r="C273">
            <v>7736894.79</v>
          </cell>
        </row>
        <row r="274">
          <cell r="A274">
            <v>39208</v>
          </cell>
          <cell r="B274" t="str">
            <v>EAST WAKE FIRST ACADEMY</v>
          </cell>
          <cell r="C274">
            <v>462824.68</v>
          </cell>
        </row>
        <row r="275">
          <cell r="A275">
            <v>39209</v>
          </cell>
          <cell r="B275" t="str">
            <v>CASA ESPERANZA MONTESSORI</v>
          </cell>
          <cell r="C275">
            <v>241365.49000000005</v>
          </cell>
        </row>
        <row r="276">
          <cell r="A276">
            <v>39300</v>
          </cell>
          <cell r="B276" t="str">
            <v>WARREN COUNTY SCHOOLS</v>
          </cell>
          <cell r="C276">
            <v>1288530.95</v>
          </cell>
        </row>
        <row r="277">
          <cell r="A277">
            <v>39301</v>
          </cell>
          <cell r="B277" t="str">
            <v>HALIWA-SAPONI TRIBAL CHARTER</v>
          </cell>
          <cell r="C277">
            <v>80536.790000000008</v>
          </cell>
        </row>
        <row r="278">
          <cell r="A278">
            <v>39400</v>
          </cell>
          <cell r="B278" t="str">
            <v>WASHINGTON COUNTY SCHOOLS</v>
          </cell>
          <cell r="C278">
            <v>980162.27</v>
          </cell>
        </row>
        <row r="279">
          <cell r="A279">
            <v>39401</v>
          </cell>
          <cell r="B279" t="str">
            <v>HENDERSON COLLEGIATE CHARTER SCHOOL</v>
          </cell>
          <cell r="C279">
            <v>350218.44999999995</v>
          </cell>
        </row>
        <row r="280">
          <cell r="A280">
            <v>39500</v>
          </cell>
          <cell r="B280" t="str">
            <v>WATAUGA COUNTY SCHOOLS</v>
          </cell>
          <cell r="C280">
            <v>2743385.8299999996</v>
          </cell>
        </row>
        <row r="281">
          <cell r="A281">
            <v>39501</v>
          </cell>
          <cell r="B281" t="str">
            <v>TWO RIVERS COMM SCHOOL</v>
          </cell>
          <cell r="C281">
            <v>86172.920000000013</v>
          </cell>
        </row>
        <row r="282">
          <cell r="A282">
            <v>39600</v>
          </cell>
          <cell r="B282" t="str">
            <v>WAYNE COUNTY SCHOOLS</v>
          </cell>
          <cell r="C282">
            <v>9361507.9199999999</v>
          </cell>
        </row>
        <row r="283">
          <cell r="A283">
            <v>39605</v>
          </cell>
          <cell r="B283" t="str">
            <v>WAYNE COMMUNITY COLLEGE</v>
          </cell>
          <cell r="C283">
            <v>1388419.7600000002</v>
          </cell>
        </row>
        <row r="284">
          <cell r="A284">
            <v>39700</v>
          </cell>
          <cell r="B284" t="str">
            <v>WILKES COUNTY SCHOOLS</v>
          </cell>
          <cell r="C284">
            <v>5174962.8899999987</v>
          </cell>
        </row>
        <row r="285">
          <cell r="A285">
            <v>39703</v>
          </cell>
          <cell r="B285" t="str">
            <v>PINNACLE CLASSICAL ACADEMY</v>
          </cell>
          <cell r="C285">
            <v>176926.94</v>
          </cell>
        </row>
        <row r="286">
          <cell r="A286">
            <v>39705</v>
          </cell>
          <cell r="B286" t="str">
            <v>WILKES COMMUNITY COLLEGE</v>
          </cell>
          <cell r="C286">
            <v>1363369.1199999999</v>
          </cell>
        </row>
        <row r="287">
          <cell r="A287">
            <v>39800</v>
          </cell>
          <cell r="B287" t="str">
            <v>WILSON COUNTY SCHOOLS</v>
          </cell>
          <cell r="C287">
            <v>6020873</v>
          </cell>
        </row>
        <row r="288">
          <cell r="A288">
            <v>39805</v>
          </cell>
          <cell r="B288" t="str">
            <v>WILSON COMMUNITY COLLEGE</v>
          </cell>
          <cell r="C288">
            <v>763058.43</v>
          </cell>
        </row>
        <row r="289">
          <cell r="A289">
            <v>39900</v>
          </cell>
          <cell r="B289" t="str">
            <v>YADKIN COUNTY SCHOOLS</v>
          </cell>
          <cell r="C289">
            <v>3062723.3400000008</v>
          </cell>
        </row>
        <row r="290">
          <cell r="A290">
            <v>51000</v>
          </cell>
          <cell r="B290" t="str">
            <v>HIGHWAY - ADMINISTRATIVE</v>
          </cell>
          <cell r="C290">
            <v>52824372.349999994</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Kelley May" id="{96A73D2B-F483-4A64-AC35-F85FA7589950}" userId="S::LGC0075@nctreasurer.com::ac117681-6cb7-4684-97c3-4cbcf3cce71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M122" dT="2019-10-04T19:36:12.81" personId="{96A73D2B-F483-4A64-AC35-F85FA7589950}" id="{D3605992-DCD2-471B-A8AC-FAC48EDBF9E6}">
    <text>record beg. FB DIPNC 2018</text>
  </threadedComment>
</ThreadedComments>
</file>

<file path=xl/threadedComments/threadedComment2.xml><?xml version="1.0" encoding="utf-8"?>
<ThreadedComments xmlns="http://schemas.microsoft.com/office/spreadsheetml/2018/threadedcomments" xmlns:x="http://schemas.openxmlformats.org/spreadsheetml/2006/main">
  <threadedComment ref="E54" dT="2019-09-30T13:40:02.11" personId="{96A73D2B-F483-4A64-AC35-F85FA7589950}" id="{E0439CC6-F9C6-46A8-89FB-2D09EB5DE8CC}">
    <text>PY contribution amount (from info tab of the JE Template...on website)</text>
  </threadedComment>
</ThreadedComments>
</file>

<file path=xl/threadedComments/threadedComment3.xml><?xml version="1.0" encoding="utf-8"?>
<ThreadedComments xmlns="http://schemas.microsoft.com/office/spreadsheetml/2018/threadedcomments" xmlns:x="http://schemas.openxmlformats.org/spreadsheetml/2006/main">
  <threadedComment ref="D43" dT="2019-11-06T19:52:44.99" personId="{96A73D2B-F483-4A64-AC35-F85FA7589950}" id="{9CE55FF3-F71C-4597-9CDE-C938B41DBE0C}">
    <text>PY contribution amont (from info tab of the JE template on website)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6.bin"/><Relationship Id="rId4" Type="http://schemas.microsoft.com/office/2017/10/relationships/threadedComment" Target="../threadedComments/threadedComment2.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0.v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2.v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3.vml"/><Relationship Id="rId1" Type="http://schemas.openxmlformats.org/officeDocument/2006/relationships/printerSettings" Target="../printerSettings/printerSettings22.bin"/><Relationship Id="rId4" Type="http://schemas.microsoft.com/office/2017/10/relationships/threadedComment" Target="../threadedComments/threadedComment3.xml"/></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08"/>
  <sheetViews>
    <sheetView tabSelected="1" workbookViewId="0">
      <selection activeCell="A11" sqref="A11"/>
    </sheetView>
  </sheetViews>
  <sheetFormatPr defaultRowHeight="12.75" x14ac:dyDescent="0.2"/>
  <cols>
    <col min="1" max="1" width="4.28515625" customWidth="1"/>
    <col min="11" max="11" width="17.42578125" customWidth="1"/>
    <col min="12" max="12" width="3.42578125" customWidth="1"/>
  </cols>
  <sheetData>
    <row r="1" spans="1:11" ht="7.5" customHeight="1" x14ac:dyDescent="0.2"/>
    <row r="2" spans="1:11" x14ac:dyDescent="0.2">
      <c r="A2" s="1016" t="s">
        <v>700</v>
      </c>
      <c r="B2" s="1017"/>
      <c r="C2" s="1017"/>
      <c r="D2" s="1017"/>
      <c r="E2" s="1017"/>
      <c r="F2" s="1017"/>
      <c r="G2" s="1017"/>
      <c r="H2" s="1017"/>
      <c r="I2" s="1017"/>
      <c r="J2" s="1017"/>
      <c r="K2" s="1018"/>
    </row>
    <row r="3" spans="1:11" ht="21" customHeight="1" x14ac:dyDescent="0.2">
      <c r="A3" s="1019"/>
      <c r="B3" s="1020"/>
      <c r="C3" s="1020"/>
      <c r="D3" s="1020"/>
      <c r="E3" s="1020"/>
      <c r="F3" s="1020"/>
      <c r="G3" s="1020"/>
      <c r="H3" s="1020"/>
      <c r="I3" s="1020"/>
      <c r="J3" s="1020"/>
      <c r="K3" s="1021"/>
    </row>
    <row r="4" spans="1:11" ht="8.25" customHeight="1" x14ac:dyDescent="0.2"/>
    <row r="5" spans="1:11" x14ac:dyDescent="0.2">
      <c r="A5" s="1011" t="s">
        <v>669</v>
      </c>
      <c r="B5" s="1011"/>
      <c r="C5" s="1011"/>
      <c r="D5" s="1011"/>
      <c r="E5" s="1011"/>
      <c r="F5" s="1011"/>
      <c r="G5" s="1011"/>
      <c r="H5" s="1011"/>
      <c r="I5" s="1011"/>
      <c r="J5" s="1011"/>
      <c r="K5" s="1011"/>
    </row>
    <row r="6" spans="1:11" x14ac:dyDescent="0.2">
      <c r="A6" s="1011"/>
      <c r="B6" s="1011"/>
      <c r="C6" s="1011"/>
      <c r="D6" s="1011"/>
      <c r="E6" s="1011"/>
      <c r="F6" s="1011"/>
      <c r="G6" s="1011"/>
      <c r="H6" s="1011"/>
      <c r="I6" s="1011"/>
      <c r="J6" s="1011"/>
      <c r="K6" s="1011"/>
    </row>
    <row r="7" spans="1:11" ht="24.75" customHeight="1" x14ac:dyDescent="0.2">
      <c r="A7" s="1011"/>
      <c r="B7" s="1011"/>
      <c r="C7" s="1011"/>
      <c r="D7" s="1011"/>
      <c r="E7" s="1011"/>
      <c r="F7" s="1011"/>
      <c r="G7" s="1011"/>
      <c r="H7" s="1011"/>
      <c r="I7" s="1011"/>
      <c r="J7" s="1011"/>
      <c r="K7" s="1011"/>
    </row>
    <row r="8" spans="1:11" ht="9.75" customHeight="1" x14ac:dyDescent="0.2"/>
    <row r="9" spans="1:11" ht="12.75" customHeight="1" x14ac:dyDescent="0.2">
      <c r="A9" s="1011" t="s">
        <v>543</v>
      </c>
      <c r="B9" s="1011"/>
      <c r="C9" s="1011"/>
      <c r="D9" s="1011"/>
      <c r="E9" s="1011"/>
      <c r="F9" s="1011"/>
      <c r="G9" s="1011"/>
      <c r="H9" s="1011"/>
      <c r="I9" s="1011"/>
      <c r="J9" s="1011"/>
      <c r="K9" s="1011"/>
    </row>
    <row r="10" spans="1:11" ht="36.75" customHeight="1" x14ac:dyDescent="0.2">
      <c r="A10" s="1011"/>
      <c r="B10" s="1011"/>
      <c r="C10" s="1011"/>
      <c r="D10" s="1011"/>
      <c r="E10" s="1011"/>
      <c r="F10" s="1011"/>
      <c r="G10" s="1011"/>
      <c r="H10" s="1011"/>
      <c r="I10" s="1011"/>
      <c r="J10" s="1011"/>
      <c r="K10" s="1011"/>
    </row>
    <row r="11" spans="1:11" ht="9.75" customHeight="1" x14ac:dyDescent="0.2"/>
    <row r="12" spans="1:11" x14ac:dyDescent="0.2">
      <c r="A12" s="1011" t="s">
        <v>544</v>
      </c>
      <c r="B12" s="1011"/>
      <c r="C12" s="1011"/>
      <c r="D12" s="1011"/>
      <c r="E12" s="1011"/>
      <c r="F12" s="1011"/>
      <c r="G12" s="1011"/>
      <c r="H12" s="1011"/>
      <c r="I12" s="1011"/>
      <c r="J12" s="1011"/>
      <c r="K12" s="1011"/>
    </row>
    <row r="13" spans="1:11" x14ac:dyDescent="0.2">
      <c r="A13" s="1011"/>
      <c r="B13" s="1011"/>
      <c r="C13" s="1011"/>
      <c r="D13" s="1011"/>
      <c r="E13" s="1011"/>
      <c r="F13" s="1011"/>
      <c r="G13" s="1011"/>
      <c r="H13" s="1011"/>
      <c r="I13" s="1011"/>
      <c r="J13" s="1011"/>
      <c r="K13" s="1011"/>
    </row>
    <row r="14" spans="1:11" x14ac:dyDescent="0.2">
      <c r="A14" s="1011"/>
      <c r="B14" s="1011"/>
      <c r="C14" s="1011"/>
      <c r="D14" s="1011"/>
      <c r="E14" s="1011"/>
      <c r="F14" s="1011"/>
      <c r="G14" s="1011"/>
      <c r="H14" s="1011"/>
      <c r="I14" s="1011"/>
      <c r="J14" s="1011"/>
      <c r="K14" s="1011"/>
    </row>
    <row r="15" spans="1:11" s="546" customFormat="1" x14ac:dyDescent="0.2">
      <c r="A15" s="545"/>
      <c r="B15" s="545"/>
      <c r="C15" s="545"/>
      <c r="D15" s="545"/>
      <c r="E15" s="545"/>
      <c r="F15" s="545"/>
      <c r="G15" s="545"/>
      <c r="H15" s="545"/>
      <c r="I15" s="545"/>
      <c r="J15" s="545"/>
      <c r="K15" s="545"/>
    </row>
    <row r="16" spans="1:11" s="546" customFormat="1" ht="12.75" customHeight="1" x14ac:dyDescent="0.2">
      <c r="A16" s="1022" t="s">
        <v>1162</v>
      </c>
      <c r="B16" s="1022"/>
      <c r="C16" s="1022"/>
      <c r="D16" s="1022"/>
      <c r="E16" s="1022"/>
      <c r="F16" s="1022"/>
      <c r="G16" s="1022"/>
      <c r="H16" s="1022"/>
      <c r="I16" s="1022"/>
      <c r="J16" s="1022"/>
      <c r="K16" s="1022"/>
    </row>
    <row r="17" spans="1:11" s="546" customFormat="1" x14ac:dyDescent="0.2">
      <c r="A17" s="1022"/>
      <c r="B17" s="1022"/>
      <c r="C17" s="1022"/>
      <c r="D17" s="1022"/>
      <c r="E17" s="1022"/>
      <c r="F17" s="1022"/>
      <c r="G17" s="1022"/>
      <c r="H17" s="1022"/>
      <c r="I17" s="1022"/>
      <c r="J17" s="1022"/>
      <c r="K17" s="1022"/>
    </row>
    <row r="18" spans="1:11" ht="56.25" customHeight="1" x14ac:dyDescent="0.2">
      <c r="A18" s="1022"/>
      <c r="B18" s="1022"/>
      <c r="C18" s="1022"/>
      <c r="D18" s="1022"/>
      <c r="E18" s="1022"/>
      <c r="F18" s="1022"/>
      <c r="G18" s="1022"/>
      <c r="H18" s="1022"/>
      <c r="I18" s="1022"/>
      <c r="J18" s="1022"/>
      <c r="K18" s="1022"/>
    </row>
    <row r="19" spans="1:11" s="546" customFormat="1" ht="9.75" customHeight="1" x14ac:dyDescent="0.2"/>
    <row r="20" spans="1:11" x14ac:dyDescent="0.2">
      <c r="A20" s="1011" t="s">
        <v>617</v>
      </c>
      <c r="B20" s="1011"/>
      <c r="C20" s="1011"/>
      <c r="D20" s="1011"/>
      <c r="E20" s="1011"/>
      <c r="F20" s="1011"/>
      <c r="G20" s="1011"/>
      <c r="H20" s="1011"/>
      <c r="I20" s="1011"/>
      <c r="J20" s="1011"/>
      <c r="K20" s="1011"/>
    </row>
    <row r="21" spans="1:11" x14ac:dyDescent="0.2">
      <c r="A21" s="1011"/>
      <c r="B21" s="1011"/>
      <c r="C21" s="1011"/>
      <c r="D21" s="1011"/>
      <c r="E21" s="1011"/>
      <c r="F21" s="1011"/>
      <c r="G21" s="1011"/>
      <c r="H21" s="1011"/>
      <c r="I21" s="1011"/>
      <c r="J21" s="1011"/>
      <c r="K21" s="1011"/>
    </row>
    <row r="22" spans="1:11" ht="26.25" customHeight="1" x14ac:dyDescent="0.2">
      <c r="A22" s="1011"/>
      <c r="B22" s="1011"/>
      <c r="C22" s="1011"/>
      <c r="D22" s="1011"/>
      <c r="E22" s="1011"/>
      <c r="F22" s="1011"/>
      <c r="G22" s="1011"/>
      <c r="H22" s="1011"/>
      <c r="I22" s="1011"/>
      <c r="J22" s="1011"/>
      <c r="K22" s="1011"/>
    </row>
    <row r="23" spans="1:11" ht="9.75" customHeight="1" x14ac:dyDescent="0.2">
      <c r="A23" s="1011"/>
      <c r="B23" s="1011"/>
      <c r="C23" s="1011"/>
      <c r="D23" s="1011"/>
      <c r="E23" s="1011"/>
      <c r="F23" s="1011"/>
      <c r="G23" s="1011"/>
      <c r="H23" s="1011"/>
      <c r="I23" s="1011"/>
      <c r="J23" s="1011"/>
      <c r="K23" s="1011"/>
    </row>
    <row r="24" spans="1:11" x14ac:dyDescent="0.2">
      <c r="A24" s="1011" t="s">
        <v>618</v>
      </c>
      <c r="B24" s="1011"/>
      <c r="C24" s="1011"/>
      <c r="D24" s="1011"/>
      <c r="E24" s="1011"/>
      <c r="F24" s="1011"/>
      <c r="G24" s="1011"/>
      <c r="H24" s="1011"/>
      <c r="I24" s="1011"/>
      <c r="J24" s="1011"/>
      <c r="K24" s="1011"/>
    </row>
    <row r="25" spans="1:11" x14ac:dyDescent="0.2">
      <c r="A25" s="1011"/>
      <c r="B25" s="1011"/>
      <c r="C25" s="1011"/>
      <c r="D25" s="1011"/>
      <c r="E25" s="1011"/>
      <c r="F25" s="1011"/>
      <c r="G25" s="1011"/>
      <c r="H25" s="1011"/>
      <c r="I25" s="1011"/>
      <c r="J25" s="1011"/>
      <c r="K25" s="1011"/>
    </row>
    <row r="26" spans="1:11" ht="38.25" customHeight="1" x14ac:dyDescent="0.2">
      <c r="A26" s="1011"/>
      <c r="B26" s="1011"/>
      <c r="C26" s="1011"/>
      <c r="D26" s="1011"/>
      <c r="E26" s="1011"/>
      <c r="F26" s="1011"/>
      <c r="G26" s="1011"/>
      <c r="H26" s="1011"/>
      <c r="I26" s="1011"/>
      <c r="J26" s="1011"/>
      <c r="K26" s="1011"/>
    </row>
    <row r="27" spans="1:11" ht="9.75" customHeight="1" x14ac:dyDescent="0.2"/>
    <row r="28" spans="1:11" x14ac:dyDescent="0.2">
      <c r="A28" s="1012" t="s">
        <v>13</v>
      </c>
      <c r="B28" s="1012"/>
      <c r="C28" s="1012"/>
      <c r="D28" s="1012"/>
      <c r="E28" s="1012"/>
      <c r="F28" s="1012"/>
      <c r="G28" s="1012"/>
      <c r="H28" s="1012"/>
      <c r="I28" s="1012"/>
      <c r="J28" s="1012"/>
      <c r="K28" s="1012"/>
    </row>
    <row r="29" spans="1:11" x14ac:dyDescent="0.2">
      <c r="A29" s="1012"/>
      <c r="B29" s="1012"/>
      <c r="C29" s="1012"/>
      <c r="D29" s="1012"/>
      <c r="E29" s="1012"/>
      <c r="F29" s="1012"/>
      <c r="G29" s="1012"/>
      <c r="H29" s="1012"/>
      <c r="I29" s="1012"/>
      <c r="J29" s="1012"/>
      <c r="K29" s="1012"/>
    </row>
    <row r="30" spans="1:11" x14ac:dyDescent="0.2">
      <c r="A30" s="1012"/>
      <c r="B30" s="1012"/>
      <c r="C30" s="1012"/>
      <c r="D30" s="1012"/>
      <c r="E30" s="1012"/>
      <c r="F30" s="1012"/>
      <c r="G30" s="1012"/>
      <c r="H30" s="1012"/>
      <c r="I30" s="1012"/>
      <c r="J30" s="1012"/>
      <c r="K30" s="1012"/>
    </row>
    <row r="31" spans="1:11" x14ac:dyDescent="0.2">
      <c r="A31" s="1012"/>
      <c r="B31" s="1012"/>
      <c r="C31" s="1012"/>
      <c r="D31" s="1012"/>
      <c r="E31" s="1012"/>
      <c r="F31" s="1012"/>
      <c r="G31" s="1012"/>
      <c r="H31" s="1012"/>
      <c r="I31" s="1012"/>
      <c r="J31" s="1012"/>
      <c r="K31" s="1012"/>
    </row>
    <row r="32" spans="1:11" x14ac:dyDescent="0.2">
      <c r="A32" s="1012"/>
      <c r="B32" s="1012"/>
      <c r="C32" s="1012"/>
      <c r="D32" s="1012"/>
      <c r="E32" s="1012"/>
      <c r="F32" s="1012"/>
      <c r="G32" s="1012"/>
      <c r="H32" s="1012"/>
      <c r="I32" s="1012"/>
      <c r="J32" s="1012"/>
      <c r="K32" s="1012"/>
    </row>
    <row r="33" spans="1:11" hidden="1" x14ac:dyDescent="0.2">
      <c r="A33" s="1012"/>
      <c r="B33" s="1012"/>
      <c r="C33" s="1012"/>
      <c r="D33" s="1012"/>
      <c r="E33" s="1012"/>
      <c r="F33" s="1012"/>
      <c r="G33" s="1012"/>
      <c r="H33" s="1012"/>
      <c r="I33" s="1012"/>
      <c r="J33" s="1012"/>
      <c r="K33" s="1012"/>
    </row>
    <row r="34" spans="1:11" ht="9.75" customHeight="1" x14ac:dyDescent="0.2"/>
    <row r="35" spans="1:11" x14ac:dyDescent="0.2">
      <c r="A35" s="1011" t="s">
        <v>739</v>
      </c>
      <c r="B35" s="1011"/>
      <c r="C35" s="1011"/>
      <c r="D35" s="1011"/>
      <c r="E35" s="1011"/>
      <c r="F35" s="1011"/>
      <c r="G35" s="1011"/>
      <c r="H35" s="1011"/>
      <c r="I35" s="1011"/>
      <c r="J35" s="1011"/>
      <c r="K35" s="1011"/>
    </row>
    <row r="36" spans="1:11" x14ac:dyDescent="0.2">
      <c r="A36" s="1011"/>
      <c r="B36" s="1011"/>
      <c r="C36" s="1011"/>
      <c r="D36" s="1011"/>
      <c r="E36" s="1011"/>
      <c r="F36" s="1011"/>
      <c r="G36" s="1011"/>
      <c r="H36" s="1011"/>
      <c r="I36" s="1011"/>
      <c r="J36" s="1011"/>
      <c r="K36" s="1011"/>
    </row>
    <row r="37" spans="1:11" x14ac:dyDescent="0.2">
      <c r="A37" s="1011"/>
      <c r="B37" s="1011"/>
      <c r="C37" s="1011"/>
      <c r="D37" s="1011"/>
      <c r="E37" s="1011"/>
      <c r="F37" s="1011"/>
      <c r="G37" s="1011"/>
      <c r="H37" s="1011"/>
      <c r="I37" s="1011"/>
      <c r="J37" s="1011"/>
      <c r="K37" s="1011"/>
    </row>
    <row r="38" spans="1:11" ht="9.75" customHeight="1" x14ac:dyDescent="0.2"/>
    <row r="39" spans="1:11" x14ac:dyDescent="0.2">
      <c r="A39" s="1011" t="s">
        <v>214</v>
      </c>
      <c r="B39" s="1011"/>
      <c r="C39" s="1011"/>
      <c r="D39" s="1011"/>
      <c r="E39" s="1011"/>
      <c r="F39" s="1011"/>
      <c r="G39" s="1011"/>
      <c r="H39" s="1011"/>
      <c r="I39" s="1011"/>
      <c r="J39" s="1011"/>
      <c r="K39" s="1011"/>
    </row>
    <row r="40" spans="1:11" ht="36.75" customHeight="1" x14ac:dyDescent="0.2">
      <c r="A40" s="1011"/>
      <c r="B40" s="1011"/>
      <c r="C40" s="1011"/>
      <c r="D40" s="1011"/>
      <c r="E40" s="1011"/>
      <c r="F40" s="1011"/>
      <c r="G40" s="1011"/>
      <c r="H40" s="1011"/>
      <c r="I40" s="1011"/>
      <c r="J40" s="1011"/>
      <c r="K40" s="1011"/>
    </row>
    <row r="41" spans="1:11" ht="18.75" customHeight="1" x14ac:dyDescent="0.2"/>
    <row r="42" spans="1:11" x14ac:dyDescent="0.2">
      <c r="A42" s="4" t="s">
        <v>215</v>
      </c>
    </row>
    <row r="43" spans="1:11" ht="8.25" customHeight="1" x14ac:dyDescent="0.2">
      <c r="A43" s="4"/>
    </row>
    <row r="44" spans="1:11" ht="15.6" customHeight="1" x14ac:dyDescent="0.2">
      <c r="A44" s="1011" t="s">
        <v>410</v>
      </c>
      <c r="B44" s="1011"/>
      <c r="C44" s="1011"/>
      <c r="D44" s="1011"/>
      <c r="E44" s="1011"/>
      <c r="F44" s="1011"/>
      <c r="G44" s="1011"/>
      <c r="H44" s="1011"/>
      <c r="I44" s="1011"/>
      <c r="J44" s="1011"/>
      <c r="K44" s="1011"/>
    </row>
    <row r="45" spans="1:11" x14ac:dyDescent="0.2">
      <c r="A45" s="1011"/>
      <c r="B45" s="1011"/>
      <c r="C45" s="1011"/>
      <c r="D45" s="1011"/>
      <c r="E45" s="1011"/>
      <c r="F45" s="1011"/>
      <c r="G45" s="1011"/>
      <c r="H45" s="1011"/>
      <c r="I45" s="1011"/>
      <c r="J45" s="1011"/>
      <c r="K45" s="1011"/>
    </row>
    <row r="46" spans="1:11" x14ac:dyDescent="0.2">
      <c r="A46" s="1011"/>
      <c r="B46" s="1011"/>
      <c r="C46" s="1011"/>
      <c r="D46" s="1011"/>
      <c r="E46" s="1011"/>
      <c r="F46" s="1011"/>
      <c r="G46" s="1011"/>
      <c r="H46" s="1011"/>
      <c r="I46" s="1011"/>
      <c r="J46" s="1011"/>
      <c r="K46" s="1011"/>
    </row>
    <row r="47" spans="1:11" x14ac:dyDescent="0.2">
      <c r="A47" s="1011"/>
      <c r="B47" s="1011"/>
      <c r="C47" s="1011"/>
      <c r="D47" s="1011"/>
      <c r="E47" s="1011"/>
      <c r="F47" s="1011"/>
      <c r="G47" s="1011"/>
      <c r="H47" s="1011"/>
      <c r="I47" s="1011"/>
      <c r="J47" s="1011"/>
      <c r="K47" s="1011"/>
    </row>
    <row r="48" spans="1:11" ht="26.25" customHeight="1" x14ac:dyDescent="0.2">
      <c r="A48" s="1011"/>
      <c r="B48" s="1011"/>
      <c r="C48" s="1011"/>
      <c r="D48" s="1011"/>
      <c r="E48" s="1011"/>
      <c r="F48" s="1011"/>
      <c r="G48" s="1011"/>
      <c r="H48" s="1011"/>
      <c r="I48" s="1011"/>
      <c r="J48" s="1011"/>
      <c r="K48" s="1011"/>
    </row>
    <row r="49" spans="1:11" ht="36.75" customHeight="1" x14ac:dyDescent="0.2">
      <c r="A49" s="1011"/>
      <c r="B49" s="1011"/>
      <c r="C49" s="1011"/>
      <c r="D49" s="1011"/>
      <c r="E49" s="1011"/>
      <c r="F49" s="1011"/>
      <c r="G49" s="1011"/>
      <c r="H49" s="1011"/>
      <c r="I49" s="1011"/>
      <c r="J49" s="1011"/>
      <c r="K49" s="1011"/>
    </row>
    <row r="50" spans="1:11" ht="9.75" customHeight="1" x14ac:dyDescent="0.2">
      <c r="A50" s="34"/>
      <c r="B50" s="34"/>
      <c r="C50" s="34"/>
      <c r="D50" s="34"/>
      <c r="E50" s="34"/>
      <c r="F50" s="34"/>
      <c r="G50" s="34"/>
      <c r="H50" s="34"/>
      <c r="I50" s="34"/>
      <c r="J50" s="34"/>
      <c r="K50" s="34"/>
    </row>
    <row r="51" spans="1:11" x14ac:dyDescent="0.2">
      <c r="A51" s="1011" t="s">
        <v>480</v>
      </c>
      <c r="B51" s="1011"/>
      <c r="C51" s="1011"/>
      <c r="D51" s="1011"/>
      <c r="E51" s="1011"/>
      <c r="F51" s="1011"/>
      <c r="G51" s="1011"/>
      <c r="H51" s="1011"/>
      <c r="I51" s="1011"/>
      <c r="J51" s="1011"/>
      <c r="K51" s="1011"/>
    </row>
    <row r="52" spans="1:11" x14ac:dyDescent="0.2">
      <c r="A52" s="1011"/>
      <c r="B52" s="1011"/>
      <c r="C52" s="1011"/>
      <c r="D52" s="1011"/>
      <c r="E52" s="1011"/>
      <c r="F52" s="1011"/>
      <c r="G52" s="1011"/>
      <c r="H52" s="1011"/>
      <c r="I52" s="1011"/>
      <c r="J52" s="1011"/>
      <c r="K52" s="1011"/>
    </row>
    <row r="53" spans="1:11" x14ac:dyDescent="0.2">
      <c r="A53" s="1011"/>
      <c r="B53" s="1011"/>
      <c r="C53" s="1011"/>
      <c r="D53" s="1011"/>
      <c r="E53" s="1011"/>
      <c r="F53" s="1011"/>
      <c r="G53" s="1011"/>
      <c r="H53" s="1011"/>
      <c r="I53" s="1011"/>
      <c r="J53" s="1011"/>
      <c r="K53" s="1011"/>
    </row>
    <row r="54" spans="1:11" ht="13.5" customHeight="1" x14ac:dyDescent="0.2">
      <c r="A54" s="1011"/>
      <c r="B54" s="1011"/>
      <c r="C54" s="1011"/>
      <c r="D54" s="1011"/>
      <c r="E54" s="1011"/>
      <c r="F54" s="1011"/>
      <c r="G54" s="1011"/>
      <c r="H54" s="1011"/>
      <c r="I54" s="1011"/>
      <c r="J54" s="1011"/>
      <c r="K54" s="1011"/>
    </row>
    <row r="55" spans="1:11" ht="15.75" customHeight="1" x14ac:dyDescent="0.2">
      <c r="A55" s="1011"/>
      <c r="B55" s="1011"/>
      <c r="C55" s="1011"/>
      <c r="D55" s="1011"/>
      <c r="E55" s="1011"/>
      <c r="F55" s="1011"/>
      <c r="G55" s="1011"/>
      <c r="H55" s="1011"/>
      <c r="I55" s="1011"/>
      <c r="J55" s="1011"/>
      <c r="K55" s="1011"/>
    </row>
    <row r="56" spans="1:11" x14ac:dyDescent="0.2">
      <c r="A56" s="34"/>
      <c r="B56" s="34"/>
      <c r="C56" s="34"/>
      <c r="D56" s="34"/>
      <c r="E56" s="34"/>
      <c r="F56" s="34"/>
      <c r="G56" s="34"/>
      <c r="H56" s="34"/>
      <c r="I56" s="34"/>
      <c r="J56" s="34"/>
      <c r="K56" s="34"/>
    </row>
    <row r="57" spans="1:11" x14ac:dyDescent="0.2">
      <c r="A57" s="99" t="s">
        <v>412</v>
      </c>
      <c r="B57" s="34"/>
      <c r="C57" s="34"/>
      <c r="D57" s="34"/>
      <c r="E57" s="34"/>
      <c r="F57" s="34"/>
      <c r="G57" s="34"/>
      <c r="H57" s="34"/>
      <c r="I57" s="34"/>
      <c r="J57" s="34"/>
      <c r="K57" s="34"/>
    </row>
    <row r="58" spans="1:11" x14ac:dyDescent="0.2">
      <c r="A58" s="34"/>
      <c r="B58" s="34"/>
      <c r="C58" s="34"/>
      <c r="D58" s="34"/>
      <c r="E58" s="34"/>
      <c r="F58" s="34"/>
      <c r="G58" s="34"/>
      <c r="H58" s="34"/>
      <c r="I58" s="34"/>
      <c r="J58" s="34"/>
      <c r="K58" s="34"/>
    </row>
    <row r="59" spans="1:11" ht="12.75" customHeight="1" x14ac:dyDescent="0.2">
      <c r="A59" s="1012" t="s">
        <v>740</v>
      </c>
      <c r="B59" s="1012"/>
      <c r="C59" s="1012"/>
      <c r="D59" s="1012"/>
      <c r="E59" s="1012"/>
      <c r="F59" s="1012"/>
      <c r="G59" s="1012"/>
      <c r="H59" s="1012"/>
      <c r="I59" s="1012"/>
      <c r="J59" s="1012"/>
      <c r="K59" s="1012"/>
    </row>
    <row r="60" spans="1:11" x14ac:dyDescent="0.2">
      <c r="A60" s="1012"/>
      <c r="B60" s="1012"/>
      <c r="C60" s="1012"/>
      <c r="D60" s="1012"/>
      <c r="E60" s="1012"/>
      <c r="F60" s="1012"/>
      <c r="G60" s="1012"/>
      <c r="H60" s="1012"/>
      <c r="I60" s="1012"/>
      <c r="J60" s="1012"/>
      <c r="K60" s="1012"/>
    </row>
    <row r="61" spans="1:11" x14ac:dyDescent="0.2">
      <c r="A61" s="1012"/>
      <c r="B61" s="1012"/>
      <c r="C61" s="1012"/>
      <c r="D61" s="1012"/>
      <c r="E61" s="1012"/>
      <c r="F61" s="1012"/>
      <c r="G61" s="1012"/>
      <c r="H61" s="1012"/>
      <c r="I61" s="1012"/>
      <c r="J61" s="1012"/>
      <c r="K61" s="1012"/>
    </row>
    <row r="62" spans="1:11" x14ac:dyDescent="0.2">
      <c r="A62" s="1012"/>
      <c r="B62" s="1012"/>
      <c r="C62" s="1012"/>
      <c r="D62" s="1012"/>
      <c r="E62" s="1012"/>
      <c r="F62" s="1012"/>
      <c r="G62" s="1012"/>
      <c r="H62" s="1012"/>
      <c r="I62" s="1012"/>
      <c r="J62" s="1012"/>
      <c r="K62" s="1012"/>
    </row>
    <row r="63" spans="1:11" ht="12.75" customHeight="1" x14ac:dyDescent="0.2">
      <c r="A63" s="1012"/>
      <c r="B63" s="1012"/>
      <c r="C63" s="1012"/>
      <c r="D63" s="1012"/>
      <c r="E63" s="1012"/>
      <c r="F63" s="1012"/>
      <c r="G63" s="1012"/>
      <c r="H63" s="1012"/>
      <c r="I63" s="1012"/>
      <c r="J63" s="1012"/>
      <c r="K63" s="1012"/>
    </row>
    <row r="64" spans="1:11" ht="15" customHeight="1" x14ac:dyDescent="0.2">
      <c r="A64" s="1012"/>
      <c r="B64" s="1012"/>
      <c r="C64" s="1012"/>
      <c r="D64" s="1012"/>
      <c r="E64" s="1012"/>
      <c r="F64" s="1012"/>
      <c r="G64" s="1012"/>
      <c r="H64" s="1012"/>
      <c r="I64" s="1012"/>
      <c r="J64" s="1012"/>
      <c r="K64" s="1012"/>
    </row>
    <row r="65" spans="1:11" ht="18" customHeight="1" x14ac:dyDescent="0.2">
      <c r="A65" s="34"/>
      <c r="B65" s="34"/>
      <c r="C65" s="34"/>
      <c r="D65" s="34"/>
      <c r="E65" s="34"/>
      <c r="F65" s="34"/>
      <c r="G65" s="34"/>
      <c r="H65" s="34"/>
      <c r="I65" s="34"/>
      <c r="J65" s="34"/>
      <c r="K65" s="34"/>
    </row>
    <row r="66" spans="1:11" x14ac:dyDescent="0.2">
      <c r="A66" s="4" t="s">
        <v>413</v>
      </c>
    </row>
    <row r="67" spans="1:11" ht="6" customHeight="1" x14ac:dyDescent="0.2"/>
    <row r="68" spans="1:11" ht="12.75" customHeight="1" x14ac:dyDescent="0.2">
      <c r="A68" s="1011" t="s">
        <v>227</v>
      </c>
      <c r="B68" s="1011"/>
      <c r="C68" s="1011"/>
      <c r="D68" s="1011"/>
      <c r="E68" s="1011"/>
      <c r="F68" s="1011"/>
      <c r="G68" s="1011"/>
      <c r="H68" s="1011"/>
      <c r="I68" s="1011"/>
      <c r="J68" s="1011"/>
      <c r="K68" s="1011"/>
    </row>
    <row r="69" spans="1:11" ht="12.75" customHeight="1" x14ac:dyDescent="0.2">
      <c r="A69" s="1011"/>
      <c r="B69" s="1011"/>
      <c r="C69" s="1011"/>
      <c r="D69" s="1011"/>
      <c r="E69" s="1011"/>
      <c r="F69" s="1011"/>
      <c r="G69" s="1011"/>
      <c r="H69" s="1011"/>
      <c r="I69" s="1011"/>
      <c r="J69" s="1011"/>
      <c r="K69" s="1011"/>
    </row>
    <row r="70" spans="1:11" ht="12.75" customHeight="1" x14ac:dyDescent="0.2"/>
    <row r="71" spans="1:11" ht="12.75" customHeight="1" x14ac:dyDescent="0.2">
      <c r="B71" s="4" t="s">
        <v>228</v>
      </c>
    </row>
    <row r="72" spans="1:11" ht="12.75" customHeight="1" x14ac:dyDescent="0.2">
      <c r="A72" s="1015"/>
      <c r="B72" s="1014" t="s">
        <v>230</v>
      </c>
      <c r="C72" s="1014"/>
      <c r="D72" s="1014"/>
      <c r="E72" s="1014"/>
      <c r="F72" s="1014"/>
      <c r="G72" s="1014"/>
      <c r="H72" s="1014"/>
      <c r="I72" s="1014"/>
      <c r="J72" s="1014"/>
      <c r="K72" s="1014"/>
    </row>
    <row r="73" spans="1:11" ht="26.25" customHeight="1" x14ac:dyDescent="0.2">
      <c r="A73" s="1015"/>
      <c r="B73" s="1014"/>
      <c r="C73" s="1014"/>
      <c r="D73" s="1014"/>
      <c r="E73" s="1014"/>
      <c r="F73" s="1014"/>
      <c r="G73" s="1014"/>
      <c r="H73" s="1014"/>
      <c r="I73" s="1014"/>
      <c r="J73" s="1014"/>
      <c r="K73" s="1014"/>
    </row>
    <row r="74" spans="1:11" ht="12.75" customHeight="1" x14ac:dyDescent="0.2">
      <c r="A74" s="1013"/>
      <c r="B74" s="1014" t="s">
        <v>229</v>
      </c>
      <c r="C74" s="1014"/>
      <c r="D74" s="1014"/>
      <c r="E74" s="1014"/>
      <c r="F74" s="1014"/>
      <c r="G74" s="1014"/>
      <c r="H74" s="1014"/>
      <c r="I74" s="1014"/>
      <c r="J74" s="1014"/>
      <c r="K74" s="1014"/>
    </row>
    <row r="75" spans="1:11" ht="39.75" customHeight="1" x14ac:dyDescent="0.2">
      <c r="A75" s="1013"/>
      <c r="B75" s="1014"/>
      <c r="C75" s="1014"/>
      <c r="D75" s="1014"/>
      <c r="E75" s="1014"/>
      <c r="F75" s="1014"/>
      <c r="G75" s="1014"/>
      <c r="H75" s="1014"/>
      <c r="I75" s="1014"/>
      <c r="J75" s="1014"/>
      <c r="K75" s="1014"/>
    </row>
    <row r="76" spans="1:11" x14ac:dyDescent="0.2">
      <c r="A76" s="382" t="s">
        <v>341</v>
      </c>
      <c r="B76" s="1014" t="s">
        <v>231</v>
      </c>
      <c r="C76" s="1014"/>
      <c r="D76" s="1014"/>
      <c r="E76" s="1014"/>
      <c r="F76" s="1014"/>
      <c r="G76" s="1014"/>
      <c r="H76" s="1014"/>
      <c r="I76" s="1014"/>
      <c r="J76" s="1014"/>
      <c r="K76" s="1014"/>
    </row>
    <row r="77" spans="1:11" ht="24.75" customHeight="1" x14ac:dyDescent="0.2">
      <c r="A77" s="37"/>
      <c r="B77" s="1014"/>
      <c r="C77" s="1014"/>
      <c r="D77" s="1014"/>
      <c r="E77" s="1014"/>
      <c r="F77" s="1014"/>
      <c r="G77" s="1014"/>
      <c r="H77" s="1014"/>
      <c r="I77" s="1014"/>
      <c r="J77" s="1014"/>
      <c r="K77" s="1014"/>
    </row>
    <row r="78" spans="1:11" x14ac:dyDescent="0.2">
      <c r="A78" s="37" t="s">
        <v>342</v>
      </c>
      <c r="B78" s="1024" t="s">
        <v>225</v>
      </c>
      <c r="C78" s="1024"/>
      <c r="D78" s="1024"/>
      <c r="E78" s="1024"/>
      <c r="F78" s="1024"/>
      <c r="G78" s="1024"/>
      <c r="H78" s="1024"/>
      <c r="I78" s="1024"/>
      <c r="J78" s="1024"/>
      <c r="K78" s="1024"/>
    </row>
    <row r="79" spans="1:11" x14ac:dyDescent="0.2">
      <c r="A79" s="37" t="s">
        <v>527</v>
      </c>
      <c r="B79" s="1014" t="s">
        <v>481</v>
      </c>
      <c r="C79" s="1014"/>
      <c r="D79" s="1014"/>
      <c r="E79" s="1014"/>
      <c r="F79" s="1014"/>
      <c r="G79" s="1014"/>
      <c r="H79" s="1014"/>
      <c r="I79" s="1014"/>
      <c r="J79" s="1014"/>
      <c r="K79" s="1014"/>
    </row>
    <row r="80" spans="1:11" ht="24.75" customHeight="1" x14ac:dyDescent="0.2">
      <c r="A80" s="37"/>
      <c r="B80" s="1014"/>
      <c r="C80" s="1014"/>
      <c r="D80" s="1014"/>
      <c r="E80" s="1014"/>
      <c r="F80" s="1014"/>
      <c r="G80" s="1014"/>
      <c r="H80" s="1014"/>
      <c r="I80" s="1014"/>
      <c r="J80" s="1014"/>
      <c r="K80" s="1014"/>
    </row>
    <row r="81" spans="1:11" x14ac:dyDescent="0.2">
      <c r="A81" s="37" t="s">
        <v>529</v>
      </c>
      <c r="B81" s="1014" t="s">
        <v>232</v>
      </c>
      <c r="C81" s="1014"/>
      <c r="D81" s="1014"/>
      <c r="E81" s="1014"/>
      <c r="F81" s="1014"/>
      <c r="G81" s="1014"/>
      <c r="H81" s="1014"/>
      <c r="I81" s="1014"/>
      <c r="J81" s="1014"/>
      <c r="K81" s="1014"/>
    </row>
    <row r="82" spans="1:11" x14ac:dyDescent="0.2">
      <c r="A82" s="37"/>
      <c r="B82" s="1014"/>
      <c r="C82" s="1014"/>
      <c r="D82" s="1014"/>
      <c r="E82" s="1014"/>
      <c r="F82" s="1014"/>
      <c r="G82" s="1014"/>
      <c r="H82" s="1014"/>
      <c r="I82" s="1014"/>
      <c r="J82" s="1014"/>
      <c r="K82" s="1014"/>
    </row>
    <row r="83" spans="1:11" x14ac:dyDescent="0.2">
      <c r="A83" s="37" t="s">
        <v>534</v>
      </c>
      <c r="B83" s="4" t="s">
        <v>684</v>
      </c>
    </row>
    <row r="84" spans="1:11" x14ac:dyDescent="0.2">
      <c r="A84" s="37" t="s">
        <v>591</v>
      </c>
      <c r="B84" s="4" t="s">
        <v>685</v>
      </c>
    </row>
    <row r="85" spans="1:11" x14ac:dyDescent="0.2">
      <c r="A85" s="37" t="s">
        <v>592</v>
      </c>
      <c r="B85" s="1014" t="s">
        <v>686</v>
      </c>
      <c r="C85" s="1014"/>
      <c r="D85" s="1014"/>
      <c r="E85" s="1014"/>
      <c r="F85" s="1014"/>
      <c r="G85" s="1014"/>
      <c r="H85" s="1014"/>
      <c r="I85" s="1014"/>
      <c r="J85" s="1014"/>
      <c r="K85" s="1014"/>
    </row>
    <row r="86" spans="1:11" x14ac:dyDescent="0.2">
      <c r="A86" s="37"/>
      <c r="B86" s="1014"/>
      <c r="C86" s="1014"/>
      <c r="D86" s="1014"/>
      <c r="E86" s="1014"/>
      <c r="F86" s="1014"/>
      <c r="G86" s="1014"/>
      <c r="H86" s="1014"/>
      <c r="I86" s="1014"/>
      <c r="J86" s="1014"/>
      <c r="K86" s="1014"/>
    </row>
    <row r="87" spans="1:11" x14ac:dyDescent="0.2">
      <c r="A87" s="37" t="s">
        <v>648</v>
      </c>
      <c r="B87" s="1014" t="s">
        <v>640</v>
      </c>
      <c r="C87" s="1014"/>
      <c r="D87" s="1014"/>
      <c r="E87" s="1014"/>
      <c r="F87" s="1014"/>
      <c r="G87" s="1014"/>
      <c r="H87" s="1014"/>
      <c r="I87" s="1014"/>
      <c r="J87" s="1014"/>
      <c r="K87" s="1014"/>
    </row>
    <row r="88" spans="1:11" x14ac:dyDescent="0.2">
      <c r="A88" s="37"/>
      <c r="B88" s="1014"/>
      <c r="C88" s="1014"/>
      <c r="D88" s="1014"/>
      <c r="E88" s="1014"/>
      <c r="F88" s="1014"/>
      <c r="G88" s="1014"/>
      <c r="H88" s="1014"/>
      <c r="I88" s="1014"/>
      <c r="J88" s="1014"/>
      <c r="K88" s="1014"/>
    </row>
    <row r="89" spans="1:11" x14ac:dyDescent="0.2">
      <c r="A89" s="37" t="s">
        <v>112</v>
      </c>
      <c r="B89" s="1014" t="s">
        <v>770</v>
      </c>
      <c r="C89" s="1014"/>
      <c r="D89" s="1014"/>
      <c r="E89" s="1014"/>
      <c r="F89" s="1014"/>
      <c r="G89" s="1014"/>
      <c r="H89" s="1014"/>
      <c r="I89" s="1014"/>
      <c r="J89" s="1014"/>
      <c r="K89" s="1014"/>
    </row>
    <row r="90" spans="1:11" ht="37.5" customHeight="1" x14ac:dyDescent="0.2">
      <c r="A90" s="37"/>
      <c r="B90" s="1014"/>
      <c r="C90" s="1014"/>
      <c r="D90" s="1014"/>
      <c r="E90" s="1014"/>
      <c r="F90" s="1014"/>
      <c r="G90" s="1014"/>
      <c r="H90" s="1014"/>
      <c r="I90" s="1014"/>
      <c r="J90" s="1014"/>
      <c r="K90" s="1014"/>
    </row>
    <row r="91" spans="1:11" x14ac:dyDescent="0.2">
      <c r="A91" s="4"/>
    </row>
    <row r="92" spans="1:11" ht="12.75" customHeight="1" x14ac:dyDescent="0.2">
      <c r="A92" s="4"/>
      <c r="B92" s="1023" t="s">
        <v>687</v>
      </c>
      <c r="C92" s="1023"/>
      <c r="D92" s="1023"/>
      <c r="E92" s="1023"/>
      <c r="F92" s="1023"/>
      <c r="G92" s="1023"/>
      <c r="H92" s="1023"/>
      <c r="I92" s="1023"/>
      <c r="J92" s="1023"/>
      <c r="K92" s="1023"/>
    </row>
    <row r="93" spans="1:11" x14ac:dyDescent="0.2">
      <c r="A93" s="4"/>
      <c r="B93" s="1023"/>
      <c r="C93" s="1023"/>
      <c r="D93" s="1023"/>
      <c r="E93" s="1023"/>
      <c r="F93" s="1023"/>
      <c r="G93" s="1023"/>
      <c r="H93" s="1023"/>
      <c r="I93" s="1023"/>
      <c r="J93" s="1023"/>
      <c r="K93" s="1023"/>
    </row>
    <row r="94" spans="1:11" x14ac:dyDescent="0.2">
      <c r="A94" s="4"/>
    </row>
    <row r="95" spans="1:11" x14ac:dyDescent="0.2">
      <c r="A95" s="4" t="s">
        <v>688</v>
      </c>
    </row>
    <row r="97" spans="2:11" x14ac:dyDescent="0.2">
      <c r="B97" s="165"/>
      <c r="C97" s="165"/>
      <c r="D97" s="165"/>
      <c r="E97" s="165"/>
      <c r="F97" s="165"/>
      <c r="G97" s="165"/>
      <c r="H97" s="165"/>
      <c r="I97" s="165"/>
      <c r="J97" s="165"/>
      <c r="K97" s="165"/>
    </row>
    <row r="98" spans="2:11" x14ac:dyDescent="0.2">
      <c r="B98" s="165"/>
      <c r="C98" s="165"/>
      <c r="D98" s="165"/>
      <c r="E98" s="165"/>
      <c r="F98" s="165"/>
      <c r="G98" s="165"/>
      <c r="H98" s="165"/>
      <c r="I98" s="165"/>
      <c r="J98" s="165"/>
      <c r="K98" s="165"/>
    </row>
    <row r="99" spans="2:11" x14ac:dyDescent="0.2">
      <c r="B99" s="165"/>
      <c r="C99" s="165"/>
      <c r="D99" s="165"/>
      <c r="E99" s="165"/>
      <c r="F99" s="165"/>
      <c r="G99" s="165"/>
      <c r="H99" s="165"/>
      <c r="I99" s="165"/>
      <c r="J99" s="165"/>
      <c r="K99" s="165"/>
    </row>
    <row r="100" spans="2:11" x14ac:dyDescent="0.2">
      <c r="B100" s="165"/>
      <c r="C100" s="165"/>
      <c r="D100" s="165"/>
      <c r="E100" s="165"/>
      <c r="F100" s="165"/>
      <c r="G100" s="165"/>
      <c r="H100" s="165"/>
      <c r="I100" s="165"/>
      <c r="J100" s="165"/>
      <c r="K100" s="165"/>
    </row>
    <row r="101" spans="2:11" x14ac:dyDescent="0.2">
      <c r="B101" s="165"/>
      <c r="C101" s="165"/>
      <c r="D101" s="165"/>
      <c r="E101" s="165"/>
      <c r="F101" s="165"/>
      <c r="G101" s="165"/>
      <c r="H101" s="165"/>
      <c r="I101" s="165"/>
      <c r="J101" s="165"/>
      <c r="K101" s="165"/>
    </row>
    <row r="102" spans="2:11" x14ac:dyDescent="0.2">
      <c r="B102" s="165"/>
      <c r="C102" s="165"/>
      <c r="D102" s="165"/>
      <c r="E102" s="165"/>
      <c r="F102" s="165"/>
      <c r="G102" s="165"/>
      <c r="H102" s="165"/>
      <c r="I102" s="165"/>
      <c r="J102" s="165"/>
      <c r="K102" s="165"/>
    </row>
    <row r="103" spans="2:11" x14ac:dyDescent="0.2">
      <c r="B103" s="165"/>
      <c r="C103" s="165"/>
      <c r="D103" s="165"/>
      <c r="E103" s="165"/>
      <c r="F103" s="165"/>
      <c r="G103" s="165"/>
      <c r="H103" s="165"/>
      <c r="I103" s="165"/>
      <c r="J103" s="165"/>
      <c r="K103" s="165"/>
    </row>
    <row r="104" spans="2:11" x14ac:dyDescent="0.2">
      <c r="B104" s="165"/>
      <c r="C104" s="165"/>
      <c r="D104" s="165"/>
      <c r="E104" s="165"/>
      <c r="F104" s="165"/>
      <c r="G104" s="165"/>
      <c r="H104" s="165"/>
      <c r="I104" s="165"/>
      <c r="J104" s="165"/>
      <c r="K104" s="165"/>
    </row>
    <row r="105" spans="2:11" x14ac:dyDescent="0.2">
      <c r="B105" s="165"/>
      <c r="C105" s="165"/>
      <c r="D105" s="165"/>
      <c r="E105" s="165"/>
      <c r="F105" s="165"/>
      <c r="G105" s="165"/>
      <c r="H105" s="165"/>
      <c r="I105" s="165"/>
      <c r="J105" s="165"/>
      <c r="K105" s="165"/>
    </row>
    <row r="106" spans="2:11" x14ac:dyDescent="0.2">
      <c r="B106" s="165"/>
      <c r="C106" s="165"/>
      <c r="D106" s="165"/>
      <c r="E106" s="165"/>
      <c r="F106" s="165"/>
      <c r="G106" s="165"/>
      <c r="H106" s="165"/>
      <c r="I106" s="165"/>
      <c r="J106" s="165"/>
      <c r="K106" s="165"/>
    </row>
    <row r="107" spans="2:11" x14ac:dyDescent="0.2">
      <c r="B107" s="165"/>
      <c r="C107" s="165"/>
      <c r="D107" s="165"/>
      <c r="E107" s="165"/>
      <c r="F107" s="165"/>
      <c r="G107" s="165"/>
      <c r="H107" s="165"/>
      <c r="I107" s="165"/>
      <c r="J107" s="165"/>
      <c r="K107" s="165"/>
    </row>
    <row r="108" spans="2:11" x14ac:dyDescent="0.2">
      <c r="B108" s="165"/>
      <c r="C108" s="165"/>
      <c r="D108" s="165"/>
      <c r="E108" s="165"/>
      <c r="F108" s="165"/>
      <c r="G108" s="165"/>
      <c r="H108" s="165"/>
      <c r="I108" s="165"/>
      <c r="J108" s="165"/>
      <c r="K108" s="165"/>
    </row>
  </sheetData>
  <mergeCells count="27">
    <mergeCell ref="B92:K93"/>
    <mergeCell ref="B85:K86"/>
    <mergeCell ref="B87:K88"/>
    <mergeCell ref="B89:K90"/>
    <mergeCell ref="B76:K77"/>
    <mergeCell ref="B78:K78"/>
    <mergeCell ref="B79:K80"/>
    <mergeCell ref="B81:K82"/>
    <mergeCell ref="A2:K3"/>
    <mergeCell ref="A5:K7"/>
    <mergeCell ref="A9:K10"/>
    <mergeCell ref="A12:K14"/>
    <mergeCell ref="A20:K22"/>
    <mergeCell ref="A16:K18"/>
    <mergeCell ref="A23:K23"/>
    <mergeCell ref="A24:K26"/>
    <mergeCell ref="A28:K33"/>
    <mergeCell ref="A74:A75"/>
    <mergeCell ref="B74:K75"/>
    <mergeCell ref="A72:A73"/>
    <mergeCell ref="B72:K73"/>
    <mergeCell ref="A59:K64"/>
    <mergeCell ref="A68:K69"/>
    <mergeCell ref="A35:K37"/>
    <mergeCell ref="A39:K40"/>
    <mergeCell ref="A44:K49"/>
    <mergeCell ref="A51:K55"/>
  </mergeCells>
  <phoneticPr fontId="0" type="noConversion"/>
  <pageMargins left="0.51" right="0.5" top="0.73" bottom="0.64" header="0.5" footer="0.5"/>
  <pageSetup scale="90" orientation="portrait" r:id="rId1"/>
  <headerFooter alignWithMargins="0">
    <oddFooter>&amp;L&amp;F</oddFooter>
  </headerFooter>
  <rowBreaks count="1" manualBreakCount="1">
    <brk id="56" max="16383"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O137"/>
  <sheetViews>
    <sheetView workbookViewId="0">
      <selection activeCell="A11" sqref="A1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0.42578125" style="1" customWidth="1"/>
    <col min="10" max="10" width="4" customWidth="1"/>
    <col min="11" max="11" width="11.28515625" customWidth="1"/>
    <col min="12" max="12" width="12.5703125" customWidth="1"/>
    <col min="13" max="13" width="0.7109375" customWidth="1"/>
    <col min="14" max="14" width="12.7109375" customWidth="1"/>
    <col min="15" max="15" width="10.42578125" bestFit="1" customWidth="1"/>
  </cols>
  <sheetData>
    <row r="1" spans="1:15" ht="3" customHeight="1" x14ac:dyDescent="0.2"/>
    <row r="2" spans="1:15" ht="33.75" customHeight="1" x14ac:dyDescent="0.25">
      <c r="A2" s="1107" t="s">
        <v>625</v>
      </c>
      <c r="B2" s="1108"/>
      <c r="C2" s="1108"/>
      <c r="D2" s="1108"/>
      <c r="E2" s="1108"/>
      <c r="F2" s="1108"/>
      <c r="G2" s="1108"/>
      <c r="H2" s="1108"/>
      <c r="I2" s="1108"/>
      <c r="J2" s="1108"/>
      <c r="K2" s="1108"/>
      <c r="L2" s="1108"/>
      <c r="M2" s="1108"/>
      <c r="N2" s="1108"/>
      <c r="O2" s="1108"/>
    </row>
    <row r="3" spans="1:15" ht="3.75" customHeight="1" x14ac:dyDescent="0.2"/>
    <row r="4" spans="1:15" ht="76.5" customHeight="1" x14ac:dyDescent="0.2">
      <c r="A4" s="1196" t="s">
        <v>542</v>
      </c>
      <c r="B4" s="1196"/>
      <c r="C4" s="1196"/>
      <c r="D4" s="1196"/>
      <c r="E4" s="1196"/>
      <c r="F4" s="1196"/>
      <c r="G4" s="1196"/>
      <c r="H4" s="1196"/>
      <c r="I4" s="1196"/>
      <c r="J4" s="1196"/>
      <c r="K4" s="1196"/>
      <c r="L4" s="1196"/>
      <c r="M4" s="1196"/>
      <c r="N4" s="1196"/>
      <c r="O4" s="1196"/>
    </row>
    <row r="5" spans="1:15" ht="5.25" customHeight="1" x14ac:dyDescent="0.2"/>
    <row r="6" spans="1:15" ht="12.75" customHeight="1" x14ac:dyDescent="0.2">
      <c r="B6" s="38" t="s">
        <v>662</v>
      </c>
      <c r="C6" s="1011" t="s">
        <v>701</v>
      </c>
      <c r="D6" s="1011"/>
      <c r="E6" s="1011"/>
      <c r="F6" s="1011"/>
      <c r="G6" s="1011"/>
      <c r="H6" s="1011"/>
      <c r="I6" s="1011"/>
      <c r="J6" s="1011"/>
      <c r="K6" s="1011"/>
      <c r="L6" s="1011"/>
      <c r="M6" s="1011"/>
      <c r="N6" s="1011"/>
      <c r="O6" s="1011"/>
    </row>
    <row r="7" spans="1:15" ht="38.25" customHeight="1" x14ac:dyDescent="0.2">
      <c r="B7" s="38"/>
      <c r="C7" s="1011"/>
      <c r="D7" s="1011"/>
      <c r="E7" s="1011"/>
      <c r="F7" s="1011"/>
      <c r="G7" s="1011"/>
      <c r="H7" s="1011"/>
      <c r="I7" s="1011"/>
      <c r="J7" s="1011"/>
      <c r="K7" s="1011"/>
      <c r="L7" s="1011"/>
      <c r="M7" s="1011"/>
      <c r="N7" s="1011"/>
      <c r="O7" s="1011"/>
    </row>
    <row r="8" spans="1:15" ht="5.25" customHeight="1" x14ac:dyDescent="0.2">
      <c r="B8" s="38"/>
    </row>
    <row r="9" spans="1:15" ht="12.75" customHeight="1" x14ac:dyDescent="0.2">
      <c r="B9" s="38" t="s">
        <v>106</v>
      </c>
      <c r="C9" s="1011" t="s">
        <v>41</v>
      </c>
      <c r="D9" s="1011"/>
      <c r="E9" s="1011"/>
      <c r="F9" s="1011"/>
      <c r="G9" s="1011"/>
      <c r="H9" s="1011"/>
      <c r="I9" s="1011"/>
      <c r="J9" s="1011"/>
      <c r="K9" s="1011"/>
      <c r="L9" s="1011"/>
      <c r="M9" s="1011"/>
      <c r="N9" s="1011"/>
      <c r="O9" s="1011"/>
    </row>
    <row r="10" spans="1:15" ht="24.75" customHeight="1" x14ac:dyDescent="0.2">
      <c r="B10" s="38"/>
      <c r="C10" s="1011"/>
      <c r="D10" s="1011"/>
      <c r="E10" s="1011"/>
      <c r="F10" s="1011"/>
      <c r="G10" s="1011"/>
      <c r="H10" s="1011"/>
      <c r="I10" s="1011"/>
      <c r="J10" s="1011"/>
      <c r="K10" s="1011"/>
      <c r="L10" s="1011"/>
      <c r="M10" s="1011"/>
      <c r="N10" s="1011"/>
      <c r="O10" s="1011"/>
    </row>
    <row r="11" spans="1:15" ht="7.5" customHeight="1" x14ac:dyDescent="0.2">
      <c r="C11" s="34"/>
      <c r="D11" s="34"/>
      <c r="E11" s="34"/>
      <c r="F11" s="34"/>
      <c r="G11" s="34"/>
      <c r="H11" s="34"/>
      <c r="I11" s="34"/>
      <c r="J11" s="34"/>
      <c r="K11" s="34"/>
      <c r="L11" s="34"/>
      <c r="M11" s="34"/>
      <c r="N11" s="34"/>
      <c r="O11" s="34"/>
    </row>
    <row r="12" spans="1:15" ht="25.5" customHeight="1" x14ac:dyDescent="0.2">
      <c r="A12" s="4" t="s">
        <v>341</v>
      </c>
      <c r="B12" s="1115" t="s">
        <v>163</v>
      </c>
      <c r="C12" s="1116"/>
      <c r="D12" s="1116"/>
      <c r="E12" s="1116"/>
      <c r="F12" s="1116"/>
      <c r="G12" s="1116"/>
      <c r="H12" s="1116"/>
      <c r="I12" s="1116"/>
      <c r="J12" s="1116"/>
      <c r="K12" s="1116"/>
      <c r="L12" s="1116"/>
      <c r="M12" s="1116"/>
      <c r="N12" s="1116"/>
      <c r="O12" s="1117"/>
    </row>
    <row r="13" spans="1:15" ht="3.75" customHeight="1" x14ac:dyDescent="0.2">
      <c r="B13" s="41"/>
      <c r="C13" s="32"/>
      <c r="D13" s="32"/>
      <c r="E13" s="32"/>
      <c r="F13" s="32"/>
      <c r="G13" s="32"/>
      <c r="H13" s="31"/>
      <c r="I13" s="32"/>
      <c r="J13" s="32"/>
      <c r="K13" s="32"/>
      <c r="L13" s="32"/>
      <c r="M13" s="32"/>
      <c r="N13" s="32"/>
      <c r="O13" s="32"/>
    </row>
    <row r="14" spans="1:15" x14ac:dyDescent="0.2">
      <c r="B14" s="1202"/>
      <c r="C14" s="1202"/>
      <c r="D14" s="1202"/>
      <c r="E14" s="1202"/>
      <c r="F14" s="1202"/>
      <c r="G14" s="1202"/>
      <c r="H14" s="1202"/>
      <c r="I14" s="1202"/>
      <c r="J14" s="9"/>
      <c r="K14" s="112" t="s">
        <v>657</v>
      </c>
      <c r="L14" s="9"/>
      <c r="M14" s="9"/>
      <c r="O14" s="9"/>
    </row>
    <row r="15" spans="1:15" ht="12.75" customHeight="1" x14ac:dyDescent="0.2">
      <c r="B15" s="38" t="s">
        <v>662</v>
      </c>
      <c r="C15" s="1011" t="s">
        <v>81</v>
      </c>
      <c r="D15" s="1011"/>
      <c r="E15" s="1011"/>
      <c r="F15" s="1011"/>
      <c r="G15" s="1011"/>
      <c r="H15" s="1011"/>
      <c r="I15" s="1011"/>
      <c r="K15" s="1141"/>
      <c r="L15" s="9"/>
      <c r="M15" s="9"/>
      <c r="O15" s="9"/>
    </row>
    <row r="16" spans="1:15" ht="12.75" customHeight="1" x14ac:dyDescent="0.2">
      <c r="B16" s="38"/>
      <c r="C16" s="1011"/>
      <c r="D16" s="1011"/>
      <c r="E16" s="1011"/>
      <c r="F16" s="1011"/>
      <c r="G16" s="1011"/>
      <c r="H16" s="1011"/>
      <c r="I16" s="1011"/>
      <c r="K16" s="1141"/>
      <c r="M16" s="9"/>
      <c r="O16" s="9"/>
    </row>
    <row r="17" spans="1:15" ht="7.5" customHeight="1" x14ac:dyDescent="0.2">
      <c r="H17"/>
      <c r="K17" s="36"/>
      <c r="L17" s="9"/>
      <c r="M17" s="9"/>
      <c r="O17" s="9"/>
    </row>
    <row r="18" spans="1:15" ht="12.75" customHeight="1" x14ac:dyDescent="0.2">
      <c r="B18" s="38" t="s">
        <v>663</v>
      </c>
      <c r="C18" s="1011" t="s">
        <v>693</v>
      </c>
      <c r="D18" s="1011"/>
      <c r="E18" s="1011"/>
      <c r="F18" s="1011"/>
      <c r="G18" s="1011"/>
      <c r="H18" s="1011"/>
      <c r="I18" s="1011"/>
      <c r="K18" s="1145"/>
      <c r="L18" s="9"/>
      <c r="M18" s="9"/>
      <c r="O18" s="9"/>
    </row>
    <row r="19" spans="1:15" ht="12.75" customHeight="1" x14ac:dyDescent="0.2">
      <c r="A19"/>
      <c r="C19" s="1011"/>
      <c r="D19" s="1011"/>
      <c r="E19" s="1011"/>
      <c r="F19" s="1011"/>
      <c r="G19" s="1011"/>
      <c r="H19" s="1011"/>
      <c r="I19" s="1011"/>
      <c r="K19" s="1145"/>
      <c r="L19" s="127"/>
    </row>
    <row r="20" spans="1:15" ht="17.25" customHeight="1" thickBot="1" x14ac:dyDescent="0.25">
      <c r="G20" t="s">
        <v>78</v>
      </c>
      <c r="H20"/>
      <c r="K20" s="62">
        <f>K18-K15</f>
        <v>0</v>
      </c>
      <c r="L20" s="127" t="s">
        <v>144</v>
      </c>
      <c r="M20" s="9"/>
      <c r="O20" s="9"/>
    </row>
    <row r="21" spans="1:15" ht="5.25" customHeight="1" thickTop="1" x14ac:dyDescent="0.2">
      <c r="H21"/>
      <c r="K21" s="44"/>
      <c r="L21" s="127"/>
      <c r="M21" s="9"/>
      <c r="O21" s="9"/>
    </row>
    <row r="22" spans="1:15" ht="12.75" customHeight="1" x14ac:dyDescent="0.2">
      <c r="B22" s="38" t="s">
        <v>664</v>
      </c>
      <c r="C22" s="1011" t="s">
        <v>604</v>
      </c>
      <c r="D22" s="1011"/>
      <c r="E22" s="1011"/>
      <c r="F22" s="1011"/>
      <c r="G22" s="1011"/>
      <c r="H22" s="1011"/>
      <c r="I22" s="1011"/>
      <c r="J22" s="1011"/>
      <c r="K22" s="36"/>
      <c r="L22" s="9"/>
      <c r="M22" s="9"/>
    </row>
    <row r="23" spans="1:15" ht="13.5" customHeight="1" x14ac:dyDescent="0.2">
      <c r="B23" s="38"/>
      <c r="C23" s="1011"/>
      <c r="D23" s="1011"/>
      <c r="E23" s="1011"/>
      <c r="F23" s="1011"/>
      <c r="G23" s="1011"/>
      <c r="H23" s="1011"/>
      <c r="I23" s="1011"/>
      <c r="J23" s="1011"/>
      <c r="K23" s="1201" t="s">
        <v>80</v>
      </c>
      <c r="L23" s="9"/>
      <c r="M23" s="9"/>
    </row>
    <row r="24" spans="1:15" ht="12" customHeight="1" x14ac:dyDescent="0.2">
      <c r="B24" s="38"/>
      <c r="C24" s="34"/>
      <c r="D24" s="34"/>
      <c r="E24" s="34"/>
      <c r="F24" s="34"/>
      <c r="G24" s="34"/>
      <c r="H24"/>
      <c r="I24" s="34"/>
      <c r="J24" s="34"/>
      <c r="K24" s="1157"/>
      <c r="L24" s="9"/>
      <c r="M24" s="9"/>
    </row>
    <row r="25" spans="1:15" x14ac:dyDescent="0.2">
      <c r="F25" t="s">
        <v>269</v>
      </c>
      <c r="H25"/>
      <c r="K25" s="228"/>
      <c r="L25" s="9"/>
      <c r="M25" s="9"/>
    </row>
    <row r="26" spans="1:15" x14ac:dyDescent="0.2">
      <c r="F26" t="s">
        <v>270</v>
      </c>
      <c r="H26"/>
      <c r="K26" s="228"/>
      <c r="L26" s="9"/>
      <c r="M26" s="9"/>
    </row>
    <row r="27" spans="1:15" x14ac:dyDescent="0.2">
      <c r="F27" t="s">
        <v>271</v>
      </c>
      <c r="H27"/>
      <c r="K27" s="228"/>
      <c r="L27" s="9"/>
      <c r="M27" s="9"/>
    </row>
    <row r="28" spans="1:15" x14ac:dyDescent="0.2">
      <c r="F28" t="s">
        <v>272</v>
      </c>
      <c r="H28"/>
      <c r="K28" s="228"/>
      <c r="L28" s="9"/>
      <c r="M28" s="9"/>
    </row>
    <row r="29" spans="1:15" x14ac:dyDescent="0.2">
      <c r="F29" t="s">
        <v>273</v>
      </c>
      <c r="H29"/>
      <c r="K29" s="228"/>
      <c r="L29" s="9"/>
      <c r="M29" s="9"/>
    </row>
    <row r="30" spans="1:15" x14ac:dyDescent="0.2">
      <c r="F30" t="s">
        <v>274</v>
      </c>
      <c r="H30"/>
      <c r="K30" s="228"/>
      <c r="L30" s="9"/>
      <c r="M30" s="9"/>
    </row>
    <row r="31" spans="1:15" x14ac:dyDescent="0.2">
      <c r="F31" t="s">
        <v>275</v>
      </c>
      <c r="H31"/>
      <c r="K31" s="228"/>
      <c r="L31" s="9"/>
      <c r="M31" s="9"/>
    </row>
    <row r="32" spans="1:15" x14ac:dyDescent="0.2">
      <c r="F32" t="s">
        <v>386</v>
      </c>
      <c r="H32"/>
      <c r="K32" s="228"/>
      <c r="L32" s="9"/>
      <c r="M32" s="9"/>
    </row>
    <row r="33" spans="1:15" x14ac:dyDescent="0.2">
      <c r="F33" t="s">
        <v>449</v>
      </c>
      <c r="H33"/>
      <c r="K33" s="228"/>
      <c r="L33" s="9"/>
      <c r="M33" s="9"/>
    </row>
    <row r="34" spans="1:15" x14ac:dyDescent="0.2">
      <c r="F34" t="s">
        <v>243</v>
      </c>
      <c r="H34"/>
      <c r="K34" s="228"/>
      <c r="L34" s="9"/>
      <c r="M34" s="9"/>
    </row>
    <row r="35" spans="1:15" x14ac:dyDescent="0.2">
      <c r="F35" t="s">
        <v>244</v>
      </c>
      <c r="H35"/>
      <c r="K35" s="228"/>
      <c r="L35" s="9"/>
      <c r="M35" s="9"/>
    </row>
    <row r="36" spans="1:15" x14ac:dyDescent="0.2">
      <c r="F36" t="s">
        <v>277</v>
      </c>
      <c r="H36"/>
      <c r="K36" s="228"/>
      <c r="L36" s="9"/>
      <c r="M36" s="9"/>
    </row>
    <row r="37" spans="1:15" x14ac:dyDescent="0.2">
      <c r="F37" t="s">
        <v>279</v>
      </c>
      <c r="H37"/>
      <c r="K37" s="228"/>
      <c r="L37" s="9"/>
      <c r="M37" s="9"/>
    </row>
    <row r="38" spans="1:15" x14ac:dyDescent="0.2">
      <c r="F38" t="s">
        <v>280</v>
      </c>
      <c r="H38"/>
      <c r="K38" s="228"/>
      <c r="L38" s="9"/>
      <c r="M38" s="9"/>
    </row>
    <row r="39" spans="1:15" x14ac:dyDescent="0.2">
      <c r="F39" t="s">
        <v>278</v>
      </c>
      <c r="H39"/>
      <c r="K39" s="228"/>
      <c r="L39" s="9"/>
      <c r="M39" s="9"/>
    </row>
    <row r="40" spans="1:15" x14ac:dyDescent="0.2">
      <c r="F40" t="s">
        <v>263</v>
      </c>
      <c r="H40"/>
      <c r="K40" s="228"/>
      <c r="L40" s="9"/>
      <c r="M40" s="9"/>
    </row>
    <row r="41" spans="1:15" x14ac:dyDescent="0.2">
      <c r="F41" t="s">
        <v>55</v>
      </c>
      <c r="H41"/>
      <c r="K41" s="228"/>
      <c r="L41" s="9"/>
      <c r="M41" s="9"/>
    </row>
    <row r="42" spans="1:15" ht="20.25" customHeight="1" thickBot="1" x14ac:dyDescent="0.25">
      <c r="H42"/>
      <c r="I42" s="164"/>
      <c r="J42" s="141" t="s">
        <v>144</v>
      </c>
      <c r="K42" s="62">
        <f>SUM(K25:K41)</f>
        <v>0</v>
      </c>
      <c r="L42" s="1144" t="str">
        <f>IF(K20=K42," ","Recheck numbers. Entry is out of balance.")</f>
        <v xml:space="preserve"> </v>
      </c>
      <c r="M42" s="140"/>
    </row>
    <row r="43" spans="1:15" ht="13.5" thickTop="1" x14ac:dyDescent="0.2">
      <c r="H43"/>
      <c r="L43" s="1144"/>
      <c r="M43" s="9"/>
    </row>
    <row r="44" spans="1:15" ht="25.5" customHeight="1" x14ac:dyDescent="0.2">
      <c r="A44" s="4" t="s">
        <v>342</v>
      </c>
      <c r="B44" s="1115" t="s">
        <v>137</v>
      </c>
      <c r="C44" s="1116"/>
      <c r="D44" s="1116"/>
      <c r="E44" s="1116"/>
      <c r="F44" s="1116"/>
      <c r="G44" s="1116"/>
      <c r="H44" s="1116"/>
      <c r="I44" s="1116"/>
      <c r="J44" s="1116"/>
      <c r="K44" s="1116"/>
      <c r="L44" s="1116"/>
      <c r="M44" s="1116"/>
      <c r="N44" s="1116"/>
      <c r="O44" s="1117"/>
    </row>
    <row r="45" spans="1:15" ht="5.25" customHeight="1" x14ac:dyDescent="0.2">
      <c r="H45"/>
      <c r="L45" s="9"/>
      <c r="M45" s="9"/>
    </row>
    <row r="46" spans="1:15" x14ac:dyDescent="0.2">
      <c r="B46" s="1205" t="s">
        <v>697</v>
      </c>
      <c r="C46" s="1205"/>
      <c r="D46" s="1205"/>
      <c r="E46" s="1205"/>
      <c r="H46"/>
      <c r="L46" s="9"/>
      <c r="M46" s="9"/>
    </row>
    <row r="47" spans="1:15" ht="6.75" customHeight="1" x14ac:dyDescent="0.2">
      <c r="H47"/>
      <c r="L47" s="9"/>
      <c r="M47" s="9"/>
    </row>
    <row r="48" spans="1:15" ht="12.75" customHeight="1" x14ac:dyDescent="0.2">
      <c r="B48" s="38" t="s">
        <v>662</v>
      </c>
      <c r="C48" s="1011" t="s">
        <v>382</v>
      </c>
      <c r="D48" s="1011"/>
      <c r="E48" s="1011"/>
      <c r="F48" s="1011"/>
      <c r="G48" s="1011"/>
      <c r="H48" s="1011"/>
      <c r="I48" s="1011"/>
      <c r="K48" s="228">
        <v>0</v>
      </c>
      <c r="L48" s="9"/>
      <c r="M48" s="9"/>
    </row>
    <row r="49" spans="2:13" ht="5.25" customHeight="1" x14ac:dyDescent="0.2">
      <c r="H49"/>
      <c r="K49" s="36"/>
      <c r="L49" s="9"/>
      <c r="M49" s="9"/>
    </row>
    <row r="50" spans="2:13" x14ac:dyDescent="0.2">
      <c r="B50" s="38" t="s">
        <v>663</v>
      </c>
      <c r="C50" s="1011" t="s">
        <v>696</v>
      </c>
      <c r="D50" s="1011"/>
      <c r="E50" s="1011"/>
      <c r="F50" s="1011"/>
      <c r="G50" s="1011"/>
      <c r="H50" s="1011"/>
      <c r="I50" s="1011"/>
      <c r="K50" s="228">
        <v>0</v>
      </c>
      <c r="L50" s="9"/>
      <c r="M50" s="9"/>
    </row>
    <row r="51" spans="2:13" ht="18" customHeight="1" thickBot="1" x14ac:dyDescent="0.25">
      <c r="G51" t="s">
        <v>78</v>
      </c>
      <c r="H51"/>
      <c r="K51" s="62">
        <f>K50-K48</f>
        <v>0</v>
      </c>
      <c r="L51" s="127" t="s">
        <v>145</v>
      </c>
      <c r="M51" s="9"/>
    </row>
    <row r="52" spans="2:13" ht="4.5" customHeight="1" thickTop="1" x14ac:dyDescent="0.2">
      <c r="H52"/>
      <c r="K52" s="36"/>
      <c r="L52" s="9"/>
      <c r="M52" s="9"/>
    </row>
    <row r="53" spans="2:13" ht="4.5" customHeight="1" x14ac:dyDescent="0.2">
      <c r="H53"/>
      <c r="K53" s="36"/>
      <c r="L53" s="9"/>
      <c r="M53" s="9"/>
    </row>
    <row r="54" spans="2:13" ht="18.95" customHeight="1" x14ac:dyDescent="0.2">
      <c r="B54" s="38" t="s">
        <v>664</v>
      </c>
      <c r="C54" s="1012" t="s">
        <v>605</v>
      </c>
      <c r="D54" s="1012"/>
      <c r="E54" s="1012"/>
      <c r="F54" s="1012"/>
      <c r="G54" s="1012"/>
      <c r="H54" s="1012"/>
      <c r="I54" s="1012"/>
      <c r="J54" s="1110"/>
      <c r="K54" s="36"/>
      <c r="L54" s="9"/>
      <c r="M54" s="9"/>
    </row>
    <row r="55" spans="2:13" ht="11.25" customHeight="1" x14ac:dyDescent="0.2">
      <c r="C55" s="1012"/>
      <c r="D55" s="1012"/>
      <c r="E55" s="1012"/>
      <c r="F55" s="1012"/>
      <c r="G55" s="1012"/>
      <c r="H55" s="1012"/>
      <c r="I55" s="1012"/>
      <c r="J55" s="1110"/>
      <c r="L55" s="9"/>
      <c r="M55" s="9"/>
    </row>
    <row r="56" spans="2:13" ht="24.75" customHeight="1" x14ac:dyDescent="0.2">
      <c r="H56"/>
      <c r="K56" s="73" t="s">
        <v>79</v>
      </c>
      <c r="L56" s="9"/>
      <c r="M56" s="9"/>
    </row>
    <row r="57" spans="2:13" x14ac:dyDescent="0.2">
      <c r="F57" t="s">
        <v>269</v>
      </c>
      <c r="H57"/>
      <c r="K57" s="228">
        <v>0</v>
      </c>
      <c r="L57" s="9"/>
      <c r="M57" s="9"/>
    </row>
    <row r="58" spans="2:13" x14ac:dyDescent="0.2">
      <c r="F58" t="s">
        <v>270</v>
      </c>
      <c r="H58"/>
      <c r="K58" s="228">
        <v>0</v>
      </c>
    </row>
    <row r="59" spans="2:13" x14ac:dyDescent="0.2">
      <c r="F59" t="s">
        <v>271</v>
      </c>
      <c r="H59"/>
      <c r="K59" s="228"/>
    </row>
    <row r="60" spans="2:13" x14ac:dyDescent="0.2">
      <c r="F60" t="s">
        <v>272</v>
      </c>
      <c r="H60"/>
      <c r="K60" s="228"/>
    </row>
    <row r="61" spans="2:13" x14ac:dyDescent="0.2">
      <c r="F61" t="s">
        <v>273</v>
      </c>
      <c r="H61"/>
      <c r="K61" s="228"/>
    </row>
    <row r="62" spans="2:13" x14ac:dyDescent="0.2">
      <c r="F62" t="s">
        <v>274</v>
      </c>
      <c r="H62"/>
      <c r="K62" s="228"/>
    </row>
    <row r="63" spans="2:13" x14ac:dyDescent="0.2">
      <c r="F63" t="s">
        <v>275</v>
      </c>
      <c r="H63"/>
      <c r="K63" s="228"/>
    </row>
    <row r="64" spans="2:13" x14ac:dyDescent="0.2">
      <c r="F64" t="s">
        <v>386</v>
      </c>
      <c r="H64"/>
      <c r="K64" s="228"/>
    </row>
    <row r="65" spans="1:15" x14ac:dyDescent="0.2">
      <c r="F65" t="s">
        <v>449</v>
      </c>
      <c r="H65"/>
      <c r="K65" s="228"/>
    </row>
    <row r="66" spans="1:15" x14ac:dyDescent="0.2">
      <c r="F66" t="s">
        <v>243</v>
      </c>
      <c r="H66"/>
      <c r="K66" s="228"/>
    </row>
    <row r="67" spans="1:15" x14ac:dyDescent="0.2">
      <c r="F67" t="s">
        <v>244</v>
      </c>
      <c r="H67"/>
      <c r="K67" s="228"/>
    </row>
    <row r="68" spans="1:15" x14ac:dyDescent="0.2">
      <c r="F68" t="s">
        <v>277</v>
      </c>
      <c r="H68"/>
      <c r="K68" s="228"/>
    </row>
    <row r="69" spans="1:15" x14ac:dyDescent="0.2">
      <c r="F69" t="s">
        <v>279</v>
      </c>
      <c r="H69"/>
      <c r="K69" s="228"/>
    </row>
    <row r="70" spans="1:15" x14ac:dyDescent="0.2">
      <c r="F70" t="s">
        <v>280</v>
      </c>
      <c r="H70"/>
      <c r="K70" s="228">
        <v>0</v>
      </c>
    </row>
    <row r="71" spans="1:15" x14ac:dyDescent="0.2">
      <c r="F71" t="s">
        <v>278</v>
      </c>
      <c r="H71"/>
      <c r="K71" s="228"/>
    </row>
    <row r="72" spans="1:15" x14ac:dyDescent="0.2">
      <c r="F72" t="s">
        <v>263</v>
      </c>
      <c r="H72"/>
      <c r="K72" s="228"/>
    </row>
    <row r="73" spans="1:15" ht="12.75" customHeight="1" x14ac:dyDescent="0.2">
      <c r="F73" t="s">
        <v>55</v>
      </c>
      <c r="H73"/>
      <c r="K73" s="228"/>
      <c r="L73" s="1023" t="str">
        <f>IF(K74=K51," ","Recheck numbers. Entry is out of balance.")</f>
        <v xml:space="preserve"> </v>
      </c>
    </row>
    <row r="74" spans="1:15" ht="15.75" thickBot="1" x14ac:dyDescent="0.25">
      <c r="G74" s="128"/>
      <c r="H74"/>
      <c r="J74" s="127" t="s">
        <v>145</v>
      </c>
      <c r="K74" s="62">
        <f>SUM(K57:K73)</f>
        <v>0</v>
      </c>
      <c r="L74" s="1023"/>
    </row>
    <row r="75" spans="1:15" ht="13.5" thickTop="1" x14ac:dyDescent="0.2">
      <c r="H75"/>
      <c r="K75" s="36"/>
      <c r="L75" s="9"/>
      <c r="M75" s="9"/>
    </row>
    <row r="76" spans="1:15" ht="25.5" customHeight="1" x14ac:dyDescent="0.2">
      <c r="A76" s="4" t="s">
        <v>527</v>
      </c>
      <c r="B76" s="1115" t="s">
        <v>469</v>
      </c>
      <c r="C76" s="1203"/>
      <c r="D76" s="1203"/>
      <c r="E76" s="1203"/>
      <c r="F76" s="1203"/>
      <c r="G76" s="1203"/>
      <c r="H76" s="1203"/>
      <c r="I76" s="1203"/>
      <c r="J76" s="1203"/>
      <c r="K76" s="1203"/>
      <c r="L76" s="1203"/>
      <c r="M76" s="1203"/>
      <c r="N76" s="1203"/>
      <c r="O76" s="1204"/>
    </row>
    <row r="77" spans="1:15" x14ac:dyDescent="0.2">
      <c r="H77"/>
      <c r="L77" s="9"/>
      <c r="M77" s="9"/>
    </row>
    <row r="78" spans="1:15" x14ac:dyDescent="0.2">
      <c r="H78"/>
      <c r="L78" s="9"/>
      <c r="M78" s="9"/>
      <c r="N78" s="247"/>
    </row>
    <row r="79" spans="1:15" ht="15" customHeight="1" x14ac:dyDescent="0.2">
      <c r="B79" s="38" t="s">
        <v>662</v>
      </c>
      <c r="C79" s="1012" t="s">
        <v>594</v>
      </c>
      <c r="D79" s="1012"/>
      <c r="E79" s="1012"/>
      <c r="F79" s="1012"/>
      <c r="G79" s="1012"/>
      <c r="H79" s="1012"/>
      <c r="I79" s="1012"/>
      <c r="J79" s="1012"/>
      <c r="K79" s="1012"/>
      <c r="L79" s="166"/>
      <c r="M79" s="9"/>
      <c r="N79" s="237">
        <v>0</v>
      </c>
    </row>
    <row r="80" spans="1:15" ht="12.75" customHeight="1" x14ac:dyDescent="0.2">
      <c r="C80" s="166"/>
      <c r="D80" s="166"/>
      <c r="E80" s="166"/>
      <c r="F80" s="166"/>
      <c r="G80" s="166"/>
      <c r="H80" s="166"/>
      <c r="I80" s="166"/>
      <c r="J80" s="166"/>
      <c r="K80" s="166"/>
      <c r="L80" s="166"/>
      <c r="M80" s="9"/>
      <c r="N80" s="169"/>
    </row>
    <row r="81" spans="1:15" ht="12.75" customHeight="1" x14ac:dyDescent="0.2">
      <c r="B81" s="38" t="s">
        <v>663</v>
      </c>
      <c r="C81" s="1011" t="s">
        <v>595</v>
      </c>
      <c r="D81" s="1011"/>
      <c r="E81" s="1011"/>
      <c r="F81" s="1011"/>
      <c r="G81" s="1011"/>
      <c r="H81" s="1011"/>
      <c r="I81" s="1011"/>
      <c r="J81" s="1011"/>
      <c r="K81" s="1011"/>
      <c r="L81" s="34"/>
      <c r="M81" s="9"/>
      <c r="N81" s="237">
        <v>0</v>
      </c>
    </row>
    <row r="82" spans="1:15" x14ac:dyDescent="0.2">
      <c r="N82" s="169"/>
    </row>
    <row r="83" spans="1:15" ht="12.75" customHeight="1" x14ac:dyDescent="0.2">
      <c r="C83" s="34"/>
      <c r="D83" s="34"/>
      <c r="E83" s="34"/>
      <c r="F83" s="34"/>
      <c r="G83" s="34"/>
      <c r="H83" s="34"/>
      <c r="I83" s="34"/>
      <c r="J83" s="34"/>
      <c r="K83" s="34"/>
      <c r="L83" s="34"/>
      <c r="M83" s="9"/>
      <c r="N83" s="169"/>
    </row>
    <row r="84" spans="1:15" ht="13.5" customHeight="1" x14ac:dyDescent="0.25">
      <c r="B84" s="38"/>
      <c r="C84" t="s">
        <v>40</v>
      </c>
      <c r="H84"/>
      <c r="I84" s="32"/>
      <c r="J84" s="32"/>
      <c r="M84" s="31"/>
      <c r="N84" s="36"/>
    </row>
    <row r="85" spans="1:15" x14ac:dyDescent="0.2">
      <c r="B85" s="38"/>
      <c r="H85"/>
      <c r="I85" s="32"/>
      <c r="J85" s="32"/>
      <c r="M85" s="31"/>
    </row>
    <row r="86" spans="1:15" ht="25.5" customHeight="1" x14ac:dyDescent="0.2">
      <c r="A86" s="4" t="s">
        <v>529</v>
      </c>
      <c r="B86" s="1115" t="s">
        <v>33</v>
      </c>
      <c r="C86" s="1203"/>
      <c r="D86" s="1203"/>
      <c r="E86" s="1203"/>
      <c r="F86" s="1203"/>
      <c r="G86" s="1203"/>
      <c r="H86" s="1203"/>
      <c r="I86" s="1203"/>
      <c r="J86" s="1203"/>
      <c r="K86" s="1203"/>
      <c r="L86" s="1203"/>
      <c r="M86" s="1203"/>
      <c r="N86" s="1203"/>
      <c r="O86" s="1204"/>
    </row>
    <row r="87" spans="1:15" x14ac:dyDescent="0.2">
      <c r="H87"/>
      <c r="I87" s="32"/>
      <c r="J87" s="32"/>
      <c r="K87" s="9"/>
      <c r="L87" s="9"/>
      <c r="M87" s="31"/>
      <c r="N87" s="31"/>
      <c r="O87" s="108"/>
    </row>
    <row r="88" spans="1:15" x14ac:dyDescent="0.2">
      <c r="H88"/>
      <c r="I88" s="32"/>
      <c r="J88" s="32"/>
      <c r="K88" s="9"/>
      <c r="L88" s="112" t="s">
        <v>658</v>
      </c>
      <c r="M88" s="110"/>
      <c r="N88" s="113" t="s">
        <v>659</v>
      </c>
      <c r="O88" s="108"/>
    </row>
    <row r="89" spans="1:15" ht="6.75" customHeight="1" x14ac:dyDescent="0.2">
      <c r="H89"/>
      <c r="I89" s="32"/>
      <c r="J89" s="32"/>
      <c r="K89" s="9"/>
      <c r="L89" s="109"/>
      <c r="M89" s="110"/>
      <c r="N89" s="111"/>
      <c r="O89" s="108"/>
    </row>
    <row r="90" spans="1:15" x14ac:dyDescent="0.2">
      <c r="B90" s="126" t="s">
        <v>166</v>
      </c>
      <c r="E90" t="s">
        <v>107</v>
      </c>
      <c r="L90" s="69">
        <f>N81</f>
        <v>0</v>
      </c>
      <c r="M90" s="78"/>
      <c r="N90" s="69"/>
    </row>
    <row r="91" spans="1:15" ht="13.5" customHeight="1" x14ac:dyDescent="0.2">
      <c r="B91" s="114"/>
      <c r="E91" t="s">
        <v>698</v>
      </c>
      <c r="L91" s="69">
        <f>K20</f>
        <v>0</v>
      </c>
      <c r="M91" s="78"/>
      <c r="N91" s="69"/>
    </row>
    <row r="92" spans="1:15" ht="13.5" customHeight="1" x14ac:dyDescent="0.2">
      <c r="B92" s="114"/>
      <c r="E92" t="s">
        <v>383</v>
      </c>
      <c r="L92" s="69">
        <f>K51</f>
        <v>0</v>
      </c>
      <c r="M92" s="78"/>
      <c r="N92" s="69"/>
    </row>
    <row r="93" spans="1:15" ht="13.5" customHeight="1" x14ac:dyDescent="0.2">
      <c r="B93" s="114"/>
      <c r="E93" t="s">
        <v>32</v>
      </c>
      <c r="L93" s="69">
        <f>N79</f>
        <v>0</v>
      </c>
      <c r="M93" s="78"/>
      <c r="N93" s="69">
        <f>N81</f>
        <v>0</v>
      </c>
    </row>
    <row r="94" spans="1:15" ht="12.75" customHeight="1" x14ac:dyDescent="0.2">
      <c r="B94" s="114"/>
      <c r="F94" t="s">
        <v>269</v>
      </c>
      <c r="L94" s="69"/>
      <c r="M94" s="78"/>
      <c r="N94" s="69">
        <f>K25+K57</f>
        <v>0</v>
      </c>
    </row>
    <row r="95" spans="1:15" x14ac:dyDescent="0.2">
      <c r="B95" s="114"/>
      <c r="F95" t="s">
        <v>270</v>
      </c>
      <c r="L95" s="69"/>
      <c r="M95" s="78"/>
      <c r="N95" s="69">
        <f t="shared" ref="N95:N110" si="0">K26+K58</f>
        <v>0</v>
      </c>
    </row>
    <row r="96" spans="1:15" x14ac:dyDescent="0.2">
      <c r="B96" s="114"/>
      <c r="F96" t="s">
        <v>271</v>
      </c>
      <c r="L96" s="69"/>
      <c r="M96" s="78"/>
      <c r="N96" s="69">
        <f t="shared" si="0"/>
        <v>0</v>
      </c>
    </row>
    <row r="97" spans="2:14" x14ac:dyDescent="0.2">
      <c r="B97" s="114"/>
      <c r="F97" t="s">
        <v>272</v>
      </c>
      <c r="L97" s="69"/>
      <c r="M97" s="78"/>
      <c r="N97" s="69">
        <f t="shared" si="0"/>
        <v>0</v>
      </c>
    </row>
    <row r="98" spans="2:14" x14ac:dyDescent="0.2">
      <c r="B98" s="114"/>
      <c r="F98" t="s">
        <v>273</v>
      </c>
      <c r="L98" s="69"/>
      <c r="M98" s="78"/>
      <c r="N98" s="69">
        <f t="shared" si="0"/>
        <v>0</v>
      </c>
    </row>
    <row r="99" spans="2:14" x14ac:dyDescent="0.2">
      <c r="F99" t="s">
        <v>274</v>
      </c>
      <c r="L99" s="69"/>
      <c r="M99" s="78"/>
      <c r="N99" s="69">
        <f t="shared" si="0"/>
        <v>0</v>
      </c>
    </row>
    <row r="100" spans="2:14" x14ac:dyDescent="0.2">
      <c r="F100" t="s">
        <v>275</v>
      </c>
      <c r="L100" s="69"/>
      <c r="M100" s="78"/>
      <c r="N100" s="69">
        <f t="shared" si="0"/>
        <v>0</v>
      </c>
    </row>
    <row r="101" spans="2:14" x14ac:dyDescent="0.2">
      <c r="F101" t="s">
        <v>386</v>
      </c>
      <c r="L101" s="69"/>
      <c r="M101" s="78"/>
      <c r="N101" s="69">
        <f t="shared" si="0"/>
        <v>0</v>
      </c>
    </row>
    <row r="102" spans="2:14" x14ac:dyDescent="0.2">
      <c r="F102" t="s">
        <v>449</v>
      </c>
      <c r="L102" s="69"/>
      <c r="M102" s="78"/>
      <c r="N102" s="69">
        <f t="shared" si="0"/>
        <v>0</v>
      </c>
    </row>
    <row r="103" spans="2:14" x14ac:dyDescent="0.2">
      <c r="F103" t="s">
        <v>243</v>
      </c>
      <c r="L103" s="69"/>
      <c r="M103" s="78"/>
      <c r="N103" s="69">
        <f t="shared" si="0"/>
        <v>0</v>
      </c>
    </row>
    <row r="104" spans="2:14" x14ac:dyDescent="0.2">
      <c r="F104" t="s">
        <v>244</v>
      </c>
      <c r="L104" s="69"/>
      <c r="M104" s="78"/>
      <c r="N104" s="69">
        <f t="shared" si="0"/>
        <v>0</v>
      </c>
    </row>
    <row r="105" spans="2:14" x14ac:dyDescent="0.2">
      <c r="F105" t="s">
        <v>277</v>
      </c>
      <c r="L105" s="69"/>
      <c r="M105" s="78"/>
      <c r="N105" s="69">
        <f t="shared" si="0"/>
        <v>0</v>
      </c>
    </row>
    <row r="106" spans="2:14" x14ac:dyDescent="0.2">
      <c r="F106" t="s">
        <v>279</v>
      </c>
      <c r="L106" s="69"/>
      <c r="M106" s="78"/>
      <c r="N106" s="69">
        <f t="shared" si="0"/>
        <v>0</v>
      </c>
    </row>
    <row r="107" spans="2:14" x14ac:dyDescent="0.2">
      <c r="F107" t="s">
        <v>280</v>
      </c>
      <c r="L107" s="69"/>
      <c r="M107" s="78"/>
      <c r="N107" s="69">
        <f t="shared" si="0"/>
        <v>0</v>
      </c>
    </row>
    <row r="108" spans="2:14" x14ac:dyDescent="0.2">
      <c r="F108" t="s">
        <v>278</v>
      </c>
      <c r="L108" s="69"/>
      <c r="M108" s="78"/>
      <c r="N108" s="69">
        <f t="shared" si="0"/>
        <v>0</v>
      </c>
    </row>
    <row r="109" spans="2:14" x14ac:dyDescent="0.2">
      <c r="F109" t="s">
        <v>263</v>
      </c>
      <c r="L109" s="69"/>
      <c r="M109" s="78"/>
      <c r="N109" s="69">
        <f t="shared" si="0"/>
        <v>0</v>
      </c>
    </row>
    <row r="110" spans="2:14" x14ac:dyDescent="0.2">
      <c r="F110" t="s">
        <v>55</v>
      </c>
      <c r="L110" s="69"/>
      <c r="M110" s="78"/>
      <c r="N110" s="69">
        <f t="shared" si="0"/>
        <v>0</v>
      </c>
    </row>
    <row r="111" spans="2:14" x14ac:dyDescent="0.2">
      <c r="F111" t="s">
        <v>602</v>
      </c>
      <c r="L111" s="69"/>
      <c r="M111" s="78"/>
      <c r="N111" s="69">
        <f>N79</f>
        <v>0</v>
      </c>
    </row>
    <row r="112" spans="2:14" ht="13.5" thickBot="1" x14ac:dyDescent="0.25">
      <c r="L112" s="62">
        <f>SUM(L90:L111)</f>
        <v>0</v>
      </c>
      <c r="M112" s="44"/>
      <c r="N112" s="62">
        <f>SUM(N90:N111)</f>
        <v>0</v>
      </c>
    </row>
    <row r="113" spans="1:14" ht="13.5" thickTop="1" x14ac:dyDescent="0.2">
      <c r="L113" s="36"/>
      <c r="M113" s="36"/>
      <c r="N113" s="36"/>
    </row>
    <row r="114" spans="1:14" x14ac:dyDescent="0.2">
      <c r="H114"/>
      <c r="L114" s="36"/>
      <c r="M114" s="36"/>
      <c r="N114" s="36"/>
    </row>
    <row r="115" spans="1:14" x14ac:dyDescent="0.2">
      <c r="H115"/>
      <c r="L115" s="36"/>
      <c r="M115" s="36"/>
      <c r="N115" s="36"/>
    </row>
    <row r="116" spans="1:14" x14ac:dyDescent="0.2">
      <c r="H116"/>
      <c r="L116" s="36"/>
      <c r="M116" s="36"/>
      <c r="N116" s="36"/>
    </row>
    <row r="117" spans="1:14" x14ac:dyDescent="0.2">
      <c r="H117"/>
      <c r="L117" s="36"/>
      <c r="M117" s="36"/>
      <c r="N117" s="36"/>
    </row>
    <row r="118" spans="1:14" x14ac:dyDescent="0.2">
      <c r="H118"/>
    </row>
    <row r="119" spans="1:14" x14ac:dyDescent="0.2">
      <c r="A119"/>
      <c r="H119"/>
    </row>
    <row r="120" spans="1:14" x14ac:dyDescent="0.2">
      <c r="A120"/>
      <c r="H120"/>
    </row>
    <row r="121" spans="1:14" x14ac:dyDescent="0.2">
      <c r="A121"/>
      <c r="H121"/>
    </row>
    <row r="122" spans="1:14" x14ac:dyDescent="0.2">
      <c r="A122"/>
      <c r="H122"/>
    </row>
    <row r="123" spans="1:14" x14ac:dyDescent="0.2">
      <c r="A123"/>
      <c r="H123"/>
    </row>
    <row r="124" spans="1:14" x14ac:dyDescent="0.2">
      <c r="H124"/>
    </row>
    <row r="125" spans="1:14" x14ac:dyDescent="0.2">
      <c r="H125"/>
    </row>
    <row r="126" spans="1:14" x14ac:dyDescent="0.2">
      <c r="H126"/>
    </row>
    <row r="127" spans="1:14" x14ac:dyDescent="0.2">
      <c r="H127"/>
    </row>
    <row r="128" spans="1:14" x14ac:dyDescent="0.2">
      <c r="H128"/>
    </row>
    <row r="129" spans="8:8" x14ac:dyDescent="0.2">
      <c r="H129"/>
    </row>
    <row r="130" spans="8:8" x14ac:dyDescent="0.2">
      <c r="H130"/>
    </row>
    <row r="131" spans="8:8" x14ac:dyDescent="0.2">
      <c r="H131"/>
    </row>
    <row r="132" spans="8:8" x14ac:dyDescent="0.2">
      <c r="H132"/>
    </row>
    <row r="133" spans="8:8" x14ac:dyDescent="0.2">
      <c r="H133"/>
    </row>
    <row r="134" spans="8:8" x14ac:dyDescent="0.2">
      <c r="H134"/>
    </row>
    <row r="135" spans="8:8" x14ac:dyDescent="0.2">
      <c r="H135"/>
    </row>
    <row r="136" spans="8:8" x14ac:dyDescent="0.2">
      <c r="H136"/>
    </row>
    <row r="137" spans="8:8" x14ac:dyDescent="0.2">
      <c r="H137"/>
    </row>
  </sheetData>
  <sheetProtection algorithmName="SHA-512" hashValue="d6/Qu1qhRenJCCRtEq4+ThoXenXjwXz6e+CoQFTMnPnxqPlv96+LE0CcyZfdt6Wzpu77VvUhAF8MbSZ/Hnyd8w==" saltValue="xbv6kGC1LVq7bqzFrx8EQw==" spinCount="100000" sheet="1" objects="1" scenarios="1"/>
  <mergeCells count="23">
    <mergeCell ref="B44:O44"/>
    <mergeCell ref="C48:I48"/>
    <mergeCell ref="C81:K81"/>
    <mergeCell ref="C79:K79"/>
    <mergeCell ref="C54:J55"/>
    <mergeCell ref="B86:O86"/>
    <mergeCell ref="B46:E46"/>
    <mergeCell ref="L73:L74"/>
    <mergeCell ref="B76:O76"/>
    <mergeCell ref="C50:I50"/>
    <mergeCell ref="K23:K24"/>
    <mergeCell ref="L42:L43"/>
    <mergeCell ref="C22:J23"/>
    <mergeCell ref="A2:O2"/>
    <mergeCell ref="A4:O4"/>
    <mergeCell ref="C6:O7"/>
    <mergeCell ref="C9:O10"/>
    <mergeCell ref="K18:K19"/>
    <mergeCell ref="C15:I16"/>
    <mergeCell ref="B14:I14"/>
    <mergeCell ref="B12:O12"/>
    <mergeCell ref="C18:I19"/>
    <mergeCell ref="K15:K16"/>
  </mergeCells>
  <phoneticPr fontId="0" type="noConversion"/>
  <printOptions horizontalCentered="1"/>
  <pageMargins left="0.36" right="0.37" top="0.71" bottom="0.5" header="0.5" footer="0.5"/>
  <pageSetup scale="70" orientation="portrait" r:id="rId1"/>
  <headerFooter alignWithMargins="0">
    <oddHeader>&amp;R&amp;"Arial,Bold"&amp;12Entry&amp;"Times New Roman,Bold" G</oddHeader>
    <oddFooter>&amp;R&amp;P</oddFooter>
  </headerFooter>
  <rowBreaks count="1" manualBreakCount="1">
    <brk id="74" max="16" man="1"/>
  </rowBreaks>
  <ignoredErrors>
    <ignoredError sqref="B6 B9 B15 B18 B22 B48 B50 B54 B79 B81" numberStoredAsText="1"/>
  </ignoredError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F296"/>
  <sheetViews>
    <sheetView topLeftCell="A182" workbookViewId="0">
      <selection activeCell="A11" sqref="A11"/>
    </sheetView>
  </sheetViews>
  <sheetFormatPr defaultRowHeight="12.75" x14ac:dyDescent="0.2"/>
  <cols>
    <col min="1" max="1" width="3.140625" style="4" customWidth="1"/>
    <col min="2" max="2" width="4" customWidth="1"/>
    <col min="4" max="4" width="9.28515625" customWidth="1"/>
    <col min="5" max="5" width="7.140625" customWidth="1"/>
    <col min="6" max="6" width="12.42578125" customWidth="1"/>
    <col min="7" max="7" width="11.7109375" customWidth="1"/>
    <col min="8" max="8" width="12.42578125" customWidth="1"/>
    <col min="9" max="9" width="0.7109375" style="32" customWidth="1"/>
    <col min="10" max="10" width="11.85546875" style="1" customWidth="1"/>
    <col min="11" max="11" width="1.85546875" style="1" customWidth="1"/>
    <col min="12" max="12" width="12" customWidth="1"/>
    <col min="13" max="13" width="0.7109375" style="32" customWidth="1"/>
    <col min="14" max="14" width="13.28515625" customWidth="1"/>
    <col min="15" max="15" width="14" customWidth="1"/>
    <col min="16" max="16" width="5.28515625" customWidth="1"/>
    <col min="17" max="17" width="10.7109375" customWidth="1"/>
    <col min="18" max="18" width="12.85546875" customWidth="1"/>
    <col min="19" max="19" width="3.7109375" customWidth="1"/>
    <col min="20" max="20" width="9.42578125" bestFit="1" customWidth="1"/>
    <col min="21" max="21" width="12.5703125" style="468" customWidth="1"/>
    <col min="22" max="22" width="3.140625" style="468" customWidth="1"/>
    <col min="23" max="23" width="13" style="468" customWidth="1"/>
    <col min="24" max="24" width="9.28515625" bestFit="1" customWidth="1"/>
    <col min="25" max="25" width="10" customWidth="1"/>
  </cols>
  <sheetData>
    <row r="1" spans="1:17" ht="7.5" customHeight="1" x14ac:dyDescent="0.2"/>
    <row r="2" spans="1:17" ht="33.75" customHeight="1" x14ac:dyDescent="0.25">
      <c r="A2" s="1107" t="s">
        <v>167</v>
      </c>
      <c r="B2" s="1108"/>
      <c r="C2" s="1108"/>
      <c r="D2" s="1108"/>
      <c r="E2" s="1108"/>
      <c r="F2" s="1108"/>
      <c r="G2" s="1108"/>
      <c r="H2" s="1108"/>
      <c r="I2" s="1108"/>
      <c r="J2" s="1108"/>
      <c r="K2" s="1108"/>
      <c r="L2" s="1108"/>
      <c r="M2" s="1108"/>
      <c r="N2" s="1108"/>
      <c r="O2" s="1108"/>
      <c r="P2" s="1108"/>
      <c r="Q2" s="1109"/>
    </row>
    <row r="3" spans="1:17" ht="3" customHeight="1" x14ac:dyDescent="0.2"/>
    <row r="4" spans="1:17" ht="39.75" customHeight="1" x14ac:dyDescent="0.2">
      <c r="A4" s="1196" t="s">
        <v>10</v>
      </c>
      <c r="B4" s="1196"/>
      <c r="C4" s="1196"/>
      <c r="D4" s="1196"/>
      <c r="E4" s="1196"/>
      <c r="F4" s="1196"/>
      <c r="G4" s="1196"/>
      <c r="H4" s="1196"/>
      <c r="I4" s="1196"/>
      <c r="J4" s="1196"/>
      <c r="K4" s="1196"/>
      <c r="L4" s="1196"/>
      <c r="M4" s="1196"/>
      <c r="N4" s="1196"/>
      <c r="O4" s="1196"/>
      <c r="P4" s="1196"/>
      <c r="Q4" s="1196"/>
    </row>
    <row r="5" spans="1:17" ht="3" customHeight="1" x14ac:dyDescent="0.2"/>
    <row r="6" spans="1:17" ht="12.75" customHeight="1" x14ac:dyDescent="0.2">
      <c r="A6" s="38" t="s">
        <v>662</v>
      </c>
      <c r="B6" s="1012" t="s">
        <v>102</v>
      </c>
      <c r="C6" s="1012"/>
      <c r="D6" s="1012"/>
      <c r="E6" s="1012"/>
      <c r="F6" s="1012"/>
      <c r="G6" s="1012"/>
      <c r="H6" s="1012"/>
      <c r="I6" s="1012"/>
      <c r="J6" s="1012"/>
      <c r="K6" s="1012"/>
      <c r="L6" s="1012"/>
      <c r="M6" s="1012"/>
      <c r="N6" s="1012"/>
      <c r="O6" s="1012"/>
      <c r="P6" s="1012"/>
      <c r="Q6" s="1012"/>
    </row>
    <row r="7" spans="1:17" ht="70.150000000000006" customHeight="1" x14ac:dyDescent="0.2">
      <c r="A7" s="38"/>
      <c r="B7" s="1012"/>
      <c r="C7" s="1012"/>
      <c r="D7" s="1012"/>
      <c r="E7" s="1012"/>
      <c r="F7" s="1012"/>
      <c r="G7" s="1012"/>
      <c r="H7" s="1012"/>
      <c r="I7" s="1012"/>
      <c r="J7" s="1012"/>
      <c r="K7" s="1012"/>
      <c r="L7" s="1012"/>
      <c r="M7" s="1012"/>
      <c r="N7" s="1012"/>
      <c r="O7" s="1012"/>
      <c r="P7" s="1012"/>
      <c r="Q7" s="1012"/>
    </row>
    <row r="8" spans="1:17" ht="3" customHeight="1" x14ac:dyDescent="0.2">
      <c r="A8" s="38"/>
      <c r="C8" s="34"/>
      <c r="D8" s="34"/>
      <c r="E8" s="34"/>
      <c r="F8" s="34"/>
      <c r="G8" s="34"/>
      <c r="H8" s="34"/>
      <c r="I8" s="82"/>
      <c r="J8" s="34"/>
      <c r="K8" s="34"/>
      <c r="L8" s="34"/>
      <c r="M8" s="82"/>
      <c r="N8" s="34"/>
      <c r="O8" s="34"/>
      <c r="P8" s="34"/>
    </row>
    <row r="9" spans="1:17" ht="13.5" customHeight="1" x14ac:dyDescent="0.2">
      <c r="A9" s="38" t="s">
        <v>663</v>
      </c>
      <c r="B9" s="1011" t="s">
        <v>396</v>
      </c>
      <c r="C9" s="1011"/>
      <c r="D9" s="1011"/>
      <c r="E9" s="1011"/>
      <c r="F9" s="1011"/>
      <c r="G9" s="1011"/>
      <c r="H9" s="1011"/>
      <c r="I9" s="1011"/>
      <c r="J9" s="1011"/>
      <c r="K9" s="1011"/>
      <c r="L9" s="1011"/>
      <c r="M9" s="1011"/>
      <c r="N9" s="1011"/>
      <c r="O9" s="1011"/>
      <c r="P9" s="1011"/>
      <c r="Q9" s="1011"/>
    </row>
    <row r="10" spans="1:17" ht="24" customHeight="1" x14ac:dyDescent="0.2">
      <c r="A10" s="38"/>
      <c r="B10" s="1011"/>
      <c r="C10" s="1011"/>
      <c r="D10" s="1011"/>
      <c r="E10" s="1011"/>
      <c r="F10" s="1011"/>
      <c r="G10" s="1011"/>
      <c r="H10" s="1011"/>
      <c r="I10" s="1011"/>
      <c r="J10" s="1011"/>
      <c r="K10" s="1011"/>
      <c r="L10" s="1011"/>
      <c r="M10" s="1011"/>
      <c r="N10" s="1011"/>
      <c r="O10" s="1011"/>
      <c r="P10" s="1011"/>
      <c r="Q10" s="1011"/>
    </row>
    <row r="11" spans="1:17" ht="3" customHeight="1" x14ac:dyDescent="0.2">
      <c r="A11" s="38"/>
    </row>
    <row r="12" spans="1:17" x14ac:dyDescent="0.2">
      <c r="A12" s="38" t="s">
        <v>528</v>
      </c>
      <c r="B12" s="1011" t="s">
        <v>155</v>
      </c>
      <c r="C12" s="1011"/>
      <c r="D12" s="1011"/>
      <c r="E12" s="1011"/>
      <c r="F12" s="1011"/>
      <c r="G12" s="1011"/>
      <c r="H12" s="1011"/>
      <c r="I12" s="1011"/>
      <c r="J12" s="1011"/>
      <c r="K12" s="1011"/>
      <c r="L12" s="1011"/>
      <c r="M12" s="1011"/>
      <c r="N12" s="1011"/>
      <c r="O12" s="1011"/>
    </row>
    <row r="13" spans="1:17" ht="3" customHeight="1" x14ac:dyDescent="0.2">
      <c r="B13" s="38"/>
      <c r="C13" s="34"/>
      <c r="D13" s="34"/>
      <c r="E13" s="34"/>
      <c r="F13" s="34"/>
      <c r="G13" s="34"/>
      <c r="H13" s="34"/>
      <c r="I13" s="34"/>
      <c r="J13" s="34"/>
      <c r="K13" s="34"/>
      <c r="L13" s="34"/>
      <c r="M13" s="34"/>
      <c r="N13" s="34"/>
      <c r="O13" s="34"/>
    </row>
    <row r="14" spans="1:17" ht="24" customHeight="1" x14ac:dyDescent="0.2">
      <c r="A14" s="38" t="s">
        <v>337</v>
      </c>
      <c r="B14" s="1011" t="s">
        <v>11</v>
      </c>
      <c r="C14" s="1011"/>
      <c r="D14" s="1011"/>
      <c r="E14" s="1011"/>
      <c r="F14" s="1011"/>
      <c r="G14" s="1011"/>
      <c r="H14" s="1011"/>
      <c r="I14" s="1011"/>
      <c r="J14" s="1011"/>
      <c r="K14" s="1011"/>
      <c r="L14" s="1011"/>
      <c r="M14" s="1011"/>
      <c r="N14" s="1011"/>
      <c r="O14" s="1011"/>
    </row>
    <row r="15" spans="1:17" s="534" customFormat="1" ht="3" customHeight="1" x14ac:dyDescent="0.2">
      <c r="A15" s="532"/>
      <c r="B15" s="38"/>
      <c r="C15" s="533"/>
      <c r="D15" s="533"/>
      <c r="E15" s="533"/>
      <c r="F15" s="533"/>
      <c r="G15" s="533"/>
      <c r="H15" s="533"/>
      <c r="I15" s="533"/>
      <c r="J15" s="533"/>
      <c r="K15" s="533"/>
      <c r="L15" s="533"/>
      <c r="M15" s="533"/>
      <c r="N15" s="533"/>
      <c r="O15" s="533"/>
    </row>
    <row r="16" spans="1:17" s="534" customFormat="1" ht="39.6" customHeight="1" x14ac:dyDescent="0.2">
      <c r="A16" s="536" t="s">
        <v>344</v>
      </c>
      <c r="B16" s="1230" t="s">
        <v>1124</v>
      </c>
      <c r="C16" s="1230"/>
      <c r="D16" s="1230"/>
      <c r="E16" s="1230"/>
      <c r="F16" s="1230"/>
      <c r="G16" s="1230"/>
      <c r="H16" s="1230"/>
      <c r="I16" s="1230"/>
      <c r="J16" s="1230"/>
      <c r="K16" s="1230"/>
      <c r="L16" s="1230"/>
      <c r="M16" s="1230"/>
      <c r="N16" s="1230"/>
      <c r="O16" s="533"/>
    </row>
    <row r="17" spans="1:16" ht="5.25" customHeight="1" x14ac:dyDescent="0.2">
      <c r="B17" s="38"/>
      <c r="C17" s="34"/>
      <c r="D17" s="34"/>
      <c r="E17" s="34"/>
      <c r="F17" s="34"/>
      <c r="G17" s="34"/>
      <c r="H17" s="34"/>
      <c r="I17" s="34"/>
      <c r="J17" s="34"/>
      <c r="K17" s="34"/>
      <c r="L17" s="34"/>
      <c r="M17" s="34"/>
      <c r="N17" s="34"/>
      <c r="O17" s="34"/>
    </row>
    <row r="18" spans="1:16" ht="3" hidden="1" customHeight="1" x14ac:dyDescent="0.2"/>
    <row r="19" spans="1:16" ht="23.25" customHeight="1" x14ac:dyDescent="0.2">
      <c r="A19" s="4" t="s">
        <v>341</v>
      </c>
      <c r="B19" s="1119" t="s">
        <v>340</v>
      </c>
      <c r="C19" s="1123"/>
      <c r="D19" s="1123"/>
      <c r="E19" s="1123"/>
      <c r="F19" s="1123"/>
      <c r="G19" s="1123"/>
      <c r="H19" s="1123"/>
      <c r="I19" s="1123"/>
      <c r="J19" s="1123"/>
      <c r="K19" s="1123"/>
      <c r="L19" s="1123"/>
      <c r="M19" s="1123"/>
      <c r="N19" s="1123"/>
      <c r="O19" s="1123"/>
      <c r="P19" s="1124"/>
    </row>
    <row r="20" spans="1:16" ht="6.75" customHeight="1" x14ac:dyDescent="0.2">
      <c r="B20" s="41"/>
      <c r="C20" s="32"/>
      <c r="D20" s="32"/>
      <c r="E20" s="32"/>
      <c r="F20" s="32"/>
      <c r="G20" s="32"/>
      <c r="H20" s="133"/>
      <c r="I20" s="133"/>
      <c r="J20" s="367"/>
      <c r="K20" s="367"/>
      <c r="L20" s="133"/>
      <c r="M20" s="133"/>
      <c r="N20" s="133"/>
    </row>
    <row r="21" spans="1:16" x14ac:dyDescent="0.2">
      <c r="B21" s="88" t="s">
        <v>42</v>
      </c>
      <c r="H21" s="134" t="s">
        <v>626</v>
      </c>
      <c r="I21" s="83"/>
      <c r="J21" s="1206" t="s">
        <v>628</v>
      </c>
      <c r="K21" s="1207"/>
      <c r="L21" s="1208"/>
      <c r="M21" s="83"/>
      <c r="N21" s="134" t="s">
        <v>631</v>
      </c>
    </row>
    <row r="22" spans="1:16" ht="12.75" customHeight="1" x14ac:dyDescent="0.2">
      <c r="H22" s="79" t="s">
        <v>627</v>
      </c>
      <c r="I22" s="83"/>
      <c r="J22" s="80" t="s">
        <v>629</v>
      </c>
      <c r="K22" s="81"/>
      <c r="L22" s="85" t="s">
        <v>97</v>
      </c>
      <c r="M22" s="83"/>
      <c r="N22" s="79" t="s">
        <v>627</v>
      </c>
    </row>
    <row r="23" spans="1:16" ht="2.25" customHeight="1" x14ac:dyDescent="0.2">
      <c r="B23" s="38"/>
      <c r="I23"/>
      <c r="J23"/>
      <c r="K23"/>
      <c r="M23"/>
    </row>
    <row r="24" spans="1:16" ht="12.75" customHeight="1" x14ac:dyDescent="0.2">
      <c r="B24" s="38"/>
      <c r="C24" t="s">
        <v>269</v>
      </c>
      <c r="G24" s="12"/>
      <c r="H24" s="544">
        <v>0</v>
      </c>
      <c r="I24" s="44"/>
      <c r="J24" s="544">
        <v>0</v>
      </c>
      <c r="K24" s="44"/>
      <c r="L24" s="192">
        <v>0</v>
      </c>
      <c r="M24" s="44">
        <v>0</v>
      </c>
      <c r="N24" s="544">
        <v>0</v>
      </c>
      <c r="O24" s="12"/>
    </row>
    <row r="25" spans="1:16" x14ac:dyDescent="0.2">
      <c r="C25" t="s">
        <v>270</v>
      </c>
      <c r="G25" s="12"/>
      <c r="H25" s="544">
        <v>0</v>
      </c>
      <c r="I25" s="44"/>
      <c r="J25" s="544">
        <v>0</v>
      </c>
      <c r="K25" s="44"/>
      <c r="L25" s="192">
        <v>0</v>
      </c>
      <c r="M25" s="44"/>
      <c r="N25" s="544">
        <v>0</v>
      </c>
      <c r="O25" s="12"/>
    </row>
    <row r="26" spans="1:16" x14ac:dyDescent="0.2">
      <c r="C26" t="s">
        <v>271</v>
      </c>
      <c r="G26" s="12"/>
      <c r="H26" s="544">
        <v>0</v>
      </c>
      <c r="I26" s="44"/>
      <c r="J26" s="544">
        <v>0</v>
      </c>
      <c r="K26" s="44"/>
      <c r="L26" s="192">
        <v>0</v>
      </c>
      <c r="M26" s="44"/>
      <c r="N26" s="544">
        <v>0</v>
      </c>
      <c r="O26" s="12"/>
    </row>
    <row r="27" spans="1:16" x14ac:dyDescent="0.2">
      <c r="C27" t="s">
        <v>272</v>
      </c>
      <c r="G27" s="12"/>
      <c r="H27" s="544">
        <v>0</v>
      </c>
      <c r="I27" s="44"/>
      <c r="J27" s="544">
        <v>0</v>
      </c>
      <c r="K27" s="44"/>
      <c r="L27" s="192">
        <v>0</v>
      </c>
      <c r="M27" s="44"/>
      <c r="N27" s="544">
        <v>0</v>
      </c>
      <c r="O27" s="12"/>
    </row>
    <row r="28" spans="1:16" x14ac:dyDescent="0.2">
      <c r="C28" t="s">
        <v>273</v>
      </c>
      <c r="G28" s="12"/>
      <c r="H28" s="544"/>
      <c r="I28" s="44"/>
      <c r="J28" s="544"/>
      <c r="K28" s="44"/>
      <c r="L28" s="192">
        <f t="shared" ref="L28:L40" si="0">H28+J28-N28</f>
        <v>0</v>
      </c>
      <c r="M28" s="44"/>
      <c r="N28" s="544"/>
      <c r="O28" s="12"/>
    </row>
    <row r="29" spans="1:16" x14ac:dyDescent="0.2">
      <c r="C29" t="s">
        <v>274</v>
      </c>
      <c r="G29" s="12"/>
      <c r="H29" s="544"/>
      <c r="I29" s="44"/>
      <c r="J29" s="544"/>
      <c r="K29" s="44"/>
      <c r="L29" s="192">
        <f t="shared" si="0"/>
        <v>0</v>
      </c>
      <c r="M29" s="44"/>
      <c r="N29" s="544"/>
      <c r="O29" s="12"/>
    </row>
    <row r="30" spans="1:16" x14ac:dyDescent="0.2">
      <c r="C30" t="s">
        <v>275</v>
      </c>
      <c r="G30" s="12"/>
      <c r="H30" s="544">
        <v>0</v>
      </c>
      <c r="I30" s="44"/>
      <c r="J30" s="544">
        <v>0</v>
      </c>
      <c r="K30" s="44"/>
      <c r="L30" s="192">
        <v>0</v>
      </c>
      <c r="M30" s="44"/>
      <c r="N30" s="544">
        <v>0</v>
      </c>
      <c r="O30" s="12"/>
    </row>
    <row r="31" spans="1:16" x14ac:dyDescent="0.2">
      <c r="C31" t="s">
        <v>386</v>
      </c>
      <c r="G31" s="12"/>
      <c r="H31" s="544">
        <v>0</v>
      </c>
      <c r="I31" s="44"/>
      <c r="J31" s="544">
        <v>0</v>
      </c>
      <c r="K31" s="44"/>
      <c r="L31" s="192">
        <v>0</v>
      </c>
      <c r="M31" s="44"/>
      <c r="N31" s="544">
        <v>0</v>
      </c>
      <c r="O31" s="12"/>
    </row>
    <row r="32" spans="1:16" x14ac:dyDescent="0.2">
      <c r="C32" t="s">
        <v>449</v>
      </c>
      <c r="G32" s="12"/>
      <c r="H32" s="544"/>
      <c r="I32" s="44"/>
      <c r="J32" s="544"/>
      <c r="K32" s="44"/>
      <c r="L32" s="192">
        <f t="shared" si="0"/>
        <v>0</v>
      </c>
      <c r="M32" s="44"/>
      <c r="N32" s="544"/>
      <c r="O32" s="12"/>
    </row>
    <row r="33" spans="2:18" x14ac:dyDescent="0.2">
      <c r="C33" t="s">
        <v>243</v>
      </c>
      <c r="G33" s="12"/>
      <c r="H33" s="544"/>
      <c r="I33" s="44"/>
      <c r="J33" s="544"/>
      <c r="K33" s="44"/>
      <c r="L33" s="192">
        <f t="shared" si="0"/>
        <v>0</v>
      </c>
      <c r="M33" s="44"/>
      <c r="N33" s="544"/>
      <c r="O33" s="12"/>
    </row>
    <row r="34" spans="2:18" x14ac:dyDescent="0.2">
      <c r="C34" t="s">
        <v>244</v>
      </c>
      <c r="G34" s="12"/>
      <c r="H34" s="544">
        <v>0</v>
      </c>
      <c r="I34" s="44"/>
      <c r="J34" s="544">
        <v>0</v>
      </c>
      <c r="K34" s="44"/>
      <c r="L34" s="192">
        <v>0</v>
      </c>
      <c r="M34" s="44"/>
      <c r="N34" s="544">
        <v>0</v>
      </c>
      <c r="O34" s="12"/>
    </row>
    <row r="35" spans="2:18" x14ac:dyDescent="0.2">
      <c r="C35" t="s">
        <v>277</v>
      </c>
      <c r="G35" s="12"/>
      <c r="H35" s="544">
        <v>0</v>
      </c>
      <c r="I35" s="44"/>
      <c r="J35" s="544">
        <v>0</v>
      </c>
      <c r="K35" s="44"/>
      <c r="L35" s="192">
        <v>0</v>
      </c>
      <c r="M35" s="44"/>
      <c r="N35" s="544">
        <v>0</v>
      </c>
      <c r="O35" s="12"/>
      <c r="R35" t="s">
        <v>359</v>
      </c>
    </row>
    <row r="36" spans="2:18" x14ac:dyDescent="0.2">
      <c r="C36" t="s">
        <v>279</v>
      </c>
      <c r="G36" s="12"/>
      <c r="H36" s="544">
        <v>0</v>
      </c>
      <c r="I36" s="44"/>
      <c r="J36" s="544">
        <v>0</v>
      </c>
      <c r="K36" s="44"/>
      <c r="L36" s="192">
        <v>0</v>
      </c>
      <c r="M36" s="44"/>
      <c r="N36" s="544">
        <v>0</v>
      </c>
      <c r="O36" s="12"/>
    </row>
    <row r="37" spans="2:18" x14ac:dyDescent="0.2">
      <c r="C37" t="s">
        <v>280</v>
      </c>
      <c r="G37" s="12"/>
      <c r="H37" s="544">
        <v>0</v>
      </c>
      <c r="I37" s="44"/>
      <c r="J37" s="544">
        <v>0</v>
      </c>
      <c r="K37" s="44"/>
      <c r="L37" s="192">
        <v>0</v>
      </c>
      <c r="M37" s="44"/>
      <c r="N37" s="544">
        <v>0</v>
      </c>
      <c r="O37" s="12"/>
    </row>
    <row r="38" spans="2:18" ht="12.75" customHeight="1" x14ac:dyDescent="0.2">
      <c r="C38" t="s">
        <v>278</v>
      </c>
      <c r="G38" s="12"/>
      <c r="H38" s="544"/>
      <c r="I38" s="44"/>
      <c r="J38" s="544"/>
      <c r="K38" s="44"/>
      <c r="L38" s="192">
        <f t="shared" si="0"/>
        <v>0</v>
      </c>
      <c r="M38" s="44"/>
      <c r="N38" s="544"/>
      <c r="O38" s="12"/>
    </row>
    <row r="39" spans="2:18" ht="12.75" customHeight="1" x14ac:dyDescent="0.2">
      <c r="C39" t="s">
        <v>263</v>
      </c>
      <c r="G39" s="12"/>
      <c r="H39" s="544"/>
      <c r="I39" s="44"/>
      <c r="J39" s="544"/>
      <c r="K39" s="44"/>
      <c r="L39" s="192">
        <f t="shared" si="0"/>
        <v>0</v>
      </c>
      <c r="M39" s="44"/>
      <c r="N39" s="544"/>
      <c r="O39" s="12"/>
    </row>
    <row r="40" spans="2:18" ht="12.75" customHeight="1" x14ac:dyDescent="0.2">
      <c r="C40" t="s">
        <v>55</v>
      </c>
      <c r="G40" s="12"/>
      <c r="H40" s="249"/>
      <c r="I40" s="250"/>
      <c r="J40" s="232"/>
      <c r="K40" s="250"/>
      <c r="L40" s="251">
        <f t="shared" si="0"/>
        <v>0</v>
      </c>
      <c r="M40" s="250"/>
      <c r="N40" s="544"/>
      <c r="O40" s="12"/>
    </row>
    <row r="41" spans="2:18" ht="13.5" thickBot="1" x14ac:dyDescent="0.25">
      <c r="C41" t="s">
        <v>466</v>
      </c>
      <c r="H41" s="252">
        <f>SUM(H24:H40)</f>
        <v>0</v>
      </c>
      <c r="I41" s="44"/>
      <c r="J41" s="71">
        <f>SUM(J24:J40)</f>
        <v>0</v>
      </c>
      <c r="K41" s="36"/>
      <c r="L41" s="71">
        <f>SUM(L24:L40)</f>
        <v>0</v>
      </c>
      <c r="M41" s="44"/>
      <c r="N41" s="253">
        <f>SUM(N24:N40)</f>
        <v>0</v>
      </c>
    </row>
    <row r="42" spans="2:18" ht="12.75" customHeight="1" thickTop="1" x14ac:dyDescent="0.2">
      <c r="H42" s="7"/>
      <c r="I42" s="133"/>
      <c r="J42" s="7"/>
      <c r="K42" s="7"/>
      <c r="L42" s="7"/>
      <c r="M42" s="133"/>
      <c r="N42" s="7"/>
    </row>
    <row r="43" spans="2:18" x14ac:dyDescent="0.2">
      <c r="B43" s="47" t="s">
        <v>43</v>
      </c>
      <c r="H43" s="134" t="s">
        <v>626</v>
      </c>
      <c r="I43" s="83"/>
      <c r="J43" s="1206" t="s">
        <v>628</v>
      </c>
      <c r="K43" s="1207"/>
      <c r="L43" s="1208"/>
      <c r="M43" s="83"/>
      <c r="N43" s="134" t="s">
        <v>631</v>
      </c>
    </row>
    <row r="44" spans="2:18" x14ac:dyDescent="0.2">
      <c r="H44" s="79" t="s">
        <v>627</v>
      </c>
      <c r="I44" s="83"/>
      <c r="J44" s="87" t="s">
        <v>98</v>
      </c>
      <c r="K44" s="81"/>
      <c r="L44" s="86" t="s">
        <v>630</v>
      </c>
      <c r="M44" s="83"/>
      <c r="N44" s="79" t="s">
        <v>627</v>
      </c>
    </row>
    <row r="45" spans="2:18" ht="2.25" customHeight="1" x14ac:dyDescent="0.2">
      <c r="I45"/>
      <c r="J45"/>
      <c r="K45"/>
      <c r="M45"/>
    </row>
    <row r="46" spans="2:18" x14ac:dyDescent="0.2">
      <c r="C46" t="s">
        <v>269</v>
      </c>
      <c r="H46" s="290"/>
      <c r="I46" s="44"/>
      <c r="J46" s="69">
        <f>N46+L46-H46</f>
        <v>0</v>
      </c>
      <c r="K46" s="78"/>
      <c r="L46" s="291"/>
      <c r="M46" s="44"/>
      <c r="N46" s="291"/>
      <c r="O46" s="12"/>
    </row>
    <row r="47" spans="2:18" x14ac:dyDescent="0.2">
      <c r="C47" t="s">
        <v>270</v>
      </c>
      <c r="H47" s="290"/>
      <c r="I47" s="44"/>
      <c r="J47" s="69">
        <f t="shared" ref="J47:J52" si="1">N47+L47-H47</f>
        <v>0</v>
      </c>
      <c r="K47" s="78"/>
      <c r="L47" s="291"/>
      <c r="M47" s="44"/>
      <c r="N47" s="291"/>
      <c r="O47" s="12"/>
    </row>
    <row r="48" spans="2:18" x14ac:dyDescent="0.2">
      <c r="C48" t="s">
        <v>271</v>
      </c>
      <c r="H48" s="290"/>
      <c r="I48" s="44"/>
      <c r="J48" s="69">
        <f t="shared" si="1"/>
        <v>0</v>
      </c>
      <c r="K48" s="78"/>
      <c r="L48" s="291"/>
      <c r="M48" s="44"/>
      <c r="N48" s="291"/>
      <c r="O48" s="12"/>
    </row>
    <row r="49" spans="2:15" x14ac:dyDescent="0.2">
      <c r="C49" t="s">
        <v>272</v>
      </c>
      <c r="H49" s="290"/>
      <c r="I49" s="44"/>
      <c r="J49" s="69">
        <f t="shared" si="1"/>
        <v>0</v>
      </c>
      <c r="K49" s="78"/>
      <c r="L49" s="291"/>
      <c r="M49" s="44"/>
      <c r="N49" s="291"/>
      <c r="O49" s="12"/>
    </row>
    <row r="50" spans="2:15" x14ac:dyDescent="0.2">
      <c r="C50" t="s">
        <v>273</v>
      </c>
      <c r="H50" s="290"/>
      <c r="I50" s="44"/>
      <c r="J50" s="69">
        <f t="shared" si="1"/>
        <v>0</v>
      </c>
      <c r="K50" s="78"/>
      <c r="L50" s="291"/>
      <c r="M50" s="44"/>
      <c r="N50" s="291"/>
      <c r="O50" s="12"/>
    </row>
    <row r="51" spans="2:15" x14ac:dyDescent="0.2">
      <c r="C51" t="s">
        <v>274</v>
      </c>
      <c r="H51" s="290"/>
      <c r="I51" s="44"/>
      <c r="J51" s="69">
        <f t="shared" si="1"/>
        <v>0</v>
      </c>
      <c r="K51" s="78"/>
      <c r="L51" s="291"/>
      <c r="M51" s="44"/>
      <c r="N51" s="291"/>
      <c r="O51" s="12"/>
    </row>
    <row r="52" spans="2:15" x14ac:dyDescent="0.2">
      <c r="C52" t="s">
        <v>275</v>
      </c>
      <c r="H52" s="290"/>
      <c r="I52" s="44"/>
      <c r="J52" s="69">
        <f t="shared" si="1"/>
        <v>0</v>
      </c>
      <c r="K52" s="78"/>
      <c r="L52" s="291"/>
      <c r="M52" s="44"/>
      <c r="N52" s="291"/>
      <c r="O52" s="12"/>
    </row>
    <row r="53" spans="2:15" x14ac:dyDescent="0.2">
      <c r="C53" t="s">
        <v>386</v>
      </c>
      <c r="H53" s="290"/>
      <c r="I53" s="44"/>
      <c r="J53" s="69">
        <f t="shared" ref="J53:J62" si="2">N53+L53-H53</f>
        <v>0</v>
      </c>
      <c r="K53" s="78"/>
      <c r="L53" s="291"/>
      <c r="M53" s="44"/>
      <c r="N53" s="291"/>
      <c r="O53" s="12"/>
    </row>
    <row r="54" spans="2:15" x14ac:dyDescent="0.2">
      <c r="C54" t="s">
        <v>449</v>
      </c>
      <c r="H54" s="290"/>
      <c r="I54" s="44"/>
      <c r="J54" s="69">
        <f t="shared" si="2"/>
        <v>0</v>
      </c>
      <c r="K54" s="78"/>
      <c r="L54" s="291"/>
      <c r="M54" s="44"/>
      <c r="N54" s="291"/>
      <c r="O54" s="12"/>
    </row>
    <row r="55" spans="2:15" x14ac:dyDescent="0.2">
      <c r="C55" t="s">
        <v>243</v>
      </c>
      <c r="H55" s="290"/>
      <c r="I55" s="44"/>
      <c r="J55" s="69">
        <f t="shared" si="2"/>
        <v>0</v>
      </c>
      <c r="K55" s="78"/>
      <c r="L55" s="291"/>
      <c r="M55" s="44"/>
      <c r="N55" s="291"/>
      <c r="O55" s="12"/>
    </row>
    <row r="56" spans="2:15" x14ac:dyDescent="0.2">
      <c r="C56" t="s">
        <v>244</v>
      </c>
      <c r="H56" s="290"/>
      <c r="I56" s="44"/>
      <c r="J56" s="69">
        <f t="shared" si="2"/>
        <v>0</v>
      </c>
      <c r="K56" s="78"/>
      <c r="L56" s="291"/>
      <c r="M56" s="44"/>
      <c r="N56" s="291"/>
      <c r="O56" s="12"/>
    </row>
    <row r="57" spans="2:15" x14ac:dyDescent="0.2">
      <c r="C57" t="s">
        <v>277</v>
      </c>
      <c r="H57" s="290"/>
      <c r="I57" s="44"/>
      <c r="J57" s="69">
        <f t="shared" si="2"/>
        <v>0</v>
      </c>
      <c r="K57" s="78"/>
      <c r="L57" s="291"/>
      <c r="M57" s="44"/>
      <c r="N57" s="291"/>
      <c r="O57" s="12"/>
    </row>
    <row r="58" spans="2:15" x14ac:dyDescent="0.2">
      <c r="C58" t="s">
        <v>279</v>
      </c>
      <c r="H58" s="290"/>
      <c r="I58" s="44"/>
      <c r="J58" s="69">
        <f t="shared" si="2"/>
        <v>0</v>
      </c>
      <c r="K58" s="78"/>
      <c r="L58" s="291"/>
      <c r="M58" s="44"/>
      <c r="N58" s="291"/>
      <c r="O58" s="12"/>
    </row>
    <row r="59" spans="2:15" x14ac:dyDescent="0.2">
      <c r="C59" t="s">
        <v>280</v>
      </c>
      <c r="H59" s="290"/>
      <c r="I59" s="44"/>
      <c r="J59" s="69">
        <f t="shared" si="2"/>
        <v>0</v>
      </c>
      <c r="K59" s="78"/>
      <c r="L59" s="291"/>
      <c r="M59" s="44"/>
      <c r="N59" s="291"/>
      <c r="O59" s="12"/>
    </row>
    <row r="60" spans="2:15" x14ac:dyDescent="0.2">
      <c r="C60" t="s">
        <v>278</v>
      </c>
      <c r="H60" s="290"/>
      <c r="I60" s="44"/>
      <c r="J60" s="69">
        <f t="shared" si="2"/>
        <v>0</v>
      </c>
      <c r="K60" s="78"/>
      <c r="L60" s="291"/>
      <c r="M60" s="44"/>
      <c r="N60" s="291"/>
      <c r="O60" s="12"/>
    </row>
    <row r="61" spans="2:15" x14ac:dyDescent="0.2">
      <c r="C61" t="s">
        <v>263</v>
      </c>
      <c r="H61" s="248"/>
      <c r="I61" s="44"/>
      <c r="J61" s="69">
        <f t="shared" si="2"/>
        <v>0</v>
      </c>
      <c r="K61" s="78"/>
      <c r="L61" s="229"/>
      <c r="M61" s="44"/>
      <c r="N61" s="229"/>
      <c r="O61" s="12"/>
    </row>
    <row r="62" spans="2:15" x14ac:dyDescent="0.2">
      <c r="C62" t="s">
        <v>55</v>
      </c>
      <c r="H62" s="249"/>
      <c r="I62" s="44"/>
      <c r="J62" s="69">
        <f t="shared" si="2"/>
        <v>0</v>
      </c>
      <c r="K62" s="78"/>
      <c r="L62" s="232"/>
      <c r="M62" s="44"/>
      <c r="N62" s="232"/>
      <c r="O62" s="12"/>
    </row>
    <row r="63" spans="2:15" ht="13.5" thickBot="1" x14ac:dyDescent="0.25">
      <c r="H63" s="252">
        <f>SUM(H46:H62)</f>
        <v>0</v>
      </c>
      <c r="I63" s="44"/>
      <c r="J63" s="62">
        <f>SUM(J46:J62)</f>
        <v>0</v>
      </c>
      <c r="K63" s="78"/>
      <c r="L63" s="62">
        <f>SUM(L46:L62)</f>
        <v>0</v>
      </c>
      <c r="M63" s="44"/>
      <c r="N63" s="253">
        <f>SUM(N46:N62)</f>
        <v>0</v>
      </c>
    </row>
    <row r="64" spans="2:15" ht="13.5" thickTop="1" x14ac:dyDescent="0.2">
      <c r="B64" s="89" t="s">
        <v>661</v>
      </c>
      <c r="C64" s="47" t="s">
        <v>704</v>
      </c>
      <c r="H64" s="78"/>
      <c r="I64" s="44"/>
      <c r="J64" s="78"/>
      <c r="K64" s="78"/>
      <c r="L64" s="78"/>
      <c r="M64" s="44"/>
      <c r="N64" s="78"/>
    </row>
    <row r="65" spans="1:16" ht="4.5" customHeight="1" x14ac:dyDescent="0.2">
      <c r="J65"/>
      <c r="K65"/>
    </row>
    <row r="66" spans="1:16" ht="24" customHeight="1" x14ac:dyDescent="0.2">
      <c r="A66" s="4" t="s">
        <v>342</v>
      </c>
      <c r="B66" s="1115" t="s">
        <v>108</v>
      </c>
      <c r="C66" s="1116"/>
      <c r="D66" s="1116"/>
      <c r="E66" s="1116"/>
      <c r="F66" s="1116"/>
      <c r="G66" s="1116"/>
      <c r="H66" s="1116"/>
      <c r="I66" s="1116"/>
      <c r="J66" s="1116"/>
      <c r="K66" s="1116"/>
      <c r="L66" s="1116"/>
      <c r="M66" s="1116"/>
      <c r="N66" s="1116"/>
      <c r="O66" s="1116"/>
      <c r="P66" s="1117"/>
    </row>
    <row r="67" spans="1:16" ht="8.25" customHeight="1" x14ac:dyDescent="0.2">
      <c r="J67" s="9"/>
      <c r="K67" s="9"/>
      <c r="L67" s="9"/>
      <c r="M67" s="31"/>
      <c r="N67" s="9"/>
    </row>
    <row r="68" spans="1:16" ht="15" customHeight="1" x14ac:dyDescent="0.2">
      <c r="B68" s="38" t="s">
        <v>662</v>
      </c>
      <c r="C68" t="s">
        <v>452</v>
      </c>
      <c r="I68"/>
      <c r="J68"/>
      <c r="K68" s="9"/>
      <c r="L68" s="9"/>
      <c r="M68" s="31"/>
      <c r="N68" s="235"/>
    </row>
    <row r="69" spans="1:16" ht="4.5" customHeight="1" x14ac:dyDescent="0.2">
      <c r="I69"/>
      <c r="J69"/>
      <c r="K69" s="9"/>
      <c r="L69" s="9"/>
      <c r="M69" s="31"/>
      <c r="N69" s="9"/>
    </row>
    <row r="70" spans="1:16" ht="4.5" customHeight="1" x14ac:dyDescent="0.2">
      <c r="I70"/>
      <c r="J70"/>
      <c r="K70" s="9"/>
      <c r="L70" s="9"/>
      <c r="M70" s="31"/>
      <c r="N70" s="9"/>
    </row>
    <row r="71" spans="1:16" ht="12.75" customHeight="1" x14ac:dyDescent="0.2">
      <c r="B71" s="38" t="s">
        <v>663</v>
      </c>
      <c r="C71" t="s">
        <v>219</v>
      </c>
      <c r="I71"/>
      <c r="J71"/>
      <c r="K71" s="9"/>
      <c r="L71" s="9"/>
      <c r="M71" s="31"/>
      <c r="N71" s="235"/>
      <c r="O71" s="127" t="s">
        <v>144</v>
      </c>
    </row>
    <row r="72" spans="1:16" ht="4.5" customHeight="1" x14ac:dyDescent="0.2">
      <c r="I72"/>
      <c r="J72"/>
      <c r="K72" s="9"/>
      <c r="L72" s="9"/>
      <c r="M72" s="31"/>
      <c r="N72" s="9"/>
    </row>
    <row r="73" spans="1:16" ht="13.5" customHeight="1" x14ac:dyDescent="0.2">
      <c r="B73" s="38" t="s">
        <v>664</v>
      </c>
      <c r="C73" t="s">
        <v>283</v>
      </c>
      <c r="I73"/>
      <c r="J73"/>
      <c r="K73" s="9"/>
      <c r="L73" s="9"/>
      <c r="M73" s="31"/>
      <c r="N73" s="235"/>
      <c r="O73" s="127" t="s">
        <v>145</v>
      </c>
    </row>
    <row r="74" spans="1:16" ht="4.5" customHeight="1" x14ac:dyDescent="0.2">
      <c r="I74"/>
      <c r="J74"/>
      <c r="K74" s="9"/>
      <c r="L74" s="9"/>
      <c r="M74" s="31"/>
      <c r="N74" s="9"/>
    </row>
    <row r="75" spans="1:16" ht="12.75" customHeight="1" x14ac:dyDescent="0.2">
      <c r="B75" s="38" t="s">
        <v>343</v>
      </c>
      <c r="C75" s="1011" t="s">
        <v>281</v>
      </c>
      <c r="D75" s="1011"/>
      <c r="E75" s="1011"/>
      <c r="F75" s="1011"/>
      <c r="G75" s="1011"/>
      <c r="H75" s="1011"/>
      <c r="I75" s="1011"/>
      <c r="J75" s="1011"/>
      <c r="K75" s="9"/>
      <c r="L75" s="9"/>
      <c r="M75" s="31"/>
      <c r="N75" s="1209"/>
      <c r="O75" s="1210" t="s">
        <v>146</v>
      </c>
    </row>
    <row r="76" spans="1:16" ht="8.25" customHeight="1" x14ac:dyDescent="0.2">
      <c r="C76" s="1011"/>
      <c r="D76" s="1011"/>
      <c r="E76" s="1011"/>
      <c r="F76" s="1011"/>
      <c r="G76" s="1011"/>
      <c r="H76" s="1011"/>
      <c r="I76" s="1011"/>
      <c r="J76" s="1011"/>
      <c r="K76" s="9"/>
      <c r="L76" s="9"/>
      <c r="M76" s="31"/>
      <c r="N76" s="1209"/>
      <c r="O76" s="1210"/>
    </row>
    <row r="77" spans="1:16" ht="4.5" customHeight="1" x14ac:dyDescent="0.2">
      <c r="C77" s="1011"/>
      <c r="D77" s="1011"/>
      <c r="E77" s="1011"/>
      <c r="F77" s="1011"/>
      <c r="G77" s="1011"/>
      <c r="H77" s="1011"/>
      <c r="I77" s="1011"/>
      <c r="J77" s="1011"/>
      <c r="K77" s="9"/>
      <c r="L77" s="9"/>
      <c r="M77" s="31"/>
      <c r="N77" s="9"/>
    </row>
    <row r="78" spans="1:16" ht="4.5" customHeight="1" x14ac:dyDescent="0.2">
      <c r="C78" s="34"/>
      <c r="D78" s="34"/>
      <c r="E78" s="34"/>
      <c r="F78" s="34"/>
      <c r="G78" s="34"/>
      <c r="H78" s="34"/>
      <c r="I78" s="34"/>
      <c r="J78" s="34"/>
      <c r="K78" s="9"/>
      <c r="L78" s="9"/>
      <c r="M78" s="31"/>
      <c r="N78" s="9"/>
    </row>
    <row r="79" spans="1:16" ht="12.75" customHeight="1" thickBot="1" x14ac:dyDescent="0.25">
      <c r="B79" s="38" t="s">
        <v>344</v>
      </c>
      <c r="C79" t="s">
        <v>284</v>
      </c>
      <c r="I79"/>
      <c r="J79"/>
      <c r="K79" s="9"/>
      <c r="L79" s="9"/>
      <c r="M79" s="31"/>
      <c r="N79" s="76">
        <f>(N68+N71+N75)-N73</f>
        <v>0</v>
      </c>
    </row>
    <row r="80" spans="1:16" ht="3" customHeight="1" thickTop="1" x14ac:dyDescent="0.2">
      <c r="I80"/>
      <c r="J80"/>
      <c r="K80" s="9"/>
      <c r="L80" s="9"/>
      <c r="M80" s="31"/>
      <c r="N80" s="9"/>
    </row>
    <row r="81" spans="2:16" ht="12.75" customHeight="1" x14ac:dyDescent="0.2">
      <c r="B81" s="38" t="s">
        <v>186</v>
      </c>
      <c r="C81" s="1012" t="s">
        <v>45</v>
      </c>
      <c r="D81" s="1012"/>
      <c r="E81" s="1012"/>
      <c r="F81" s="1012"/>
      <c r="G81" s="1012"/>
      <c r="H81" s="1012"/>
      <c r="I81" s="1012"/>
      <c r="J81" s="1012"/>
      <c r="K81" s="1012"/>
      <c r="L81" s="1012"/>
      <c r="M81" s="1012"/>
      <c r="N81" s="1012"/>
      <c r="O81" s="1012"/>
      <c r="P81" s="1012"/>
    </row>
    <row r="82" spans="2:16" ht="27.75" customHeight="1" x14ac:dyDescent="0.2">
      <c r="B82" s="38"/>
      <c r="C82" s="1012"/>
      <c r="D82" s="1012"/>
      <c r="E82" s="1012"/>
      <c r="F82" s="1012"/>
      <c r="G82" s="1012"/>
      <c r="H82" s="1012"/>
      <c r="I82" s="1012"/>
      <c r="J82" s="1012"/>
      <c r="K82" s="1012"/>
      <c r="L82" s="1012"/>
      <c r="M82" s="1012"/>
      <c r="N82" s="1012"/>
      <c r="O82" s="1012"/>
      <c r="P82" s="1012"/>
    </row>
    <row r="83" spans="2:16" ht="14.25" customHeight="1" x14ac:dyDescent="0.2">
      <c r="B83" s="38"/>
      <c r="C83" s="34"/>
      <c r="D83" s="34"/>
      <c r="E83" s="34"/>
      <c r="F83" s="34"/>
      <c r="G83" s="171" t="s">
        <v>475</v>
      </c>
      <c r="I83" s="34"/>
      <c r="J83" s="171" t="s">
        <v>474</v>
      </c>
      <c r="K83" s="34"/>
      <c r="L83" s="9"/>
      <c r="M83" s="31"/>
      <c r="N83" s="124" t="s">
        <v>220</v>
      </c>
    </row>
    <row r="84" spans="2:16" x14ac:dyDescent="0.2">
      <c r="C84" t="s">
        <v>269</v>
      </c>
      <c r="G84" s="235"/>
      <c r="H84" s="36"/>
      <c r="I84" s="44"/>
      <c r="J84" s="228"/>
      <c r="K84" s="36"/>
      <c r="L84" s="9"/>
      <c r="M84" s="31"/>
      <c r="N84" s="228"/>
      <c r="O84" s="5"/>
    </row>
    <row r="85" spans="2:16" ht="12" customHeight="1" x14ac:dyDescent="0.2">
      <c r="C85" t="s">
        <v>270</v>
      </c>
      <c r="G85" s="235"/>
      <c r="H85" s="36"/>
      <c r="I85" s="44"/>
      <c r="J85" s="228"/>
      <c r="K85" s="36"/>
      <c r="L85" s="9"/>
      <c r="M85" s="31"/>
      <c r="N85" s="228"/>
      <c r="O85" s="5"/>
    </row>
    <row r="86" spans="2:16" ht="12" customHeight="1" x14ac:dyDescent="0.2">
      <c r="C86" t="s">
        <v>271</v>
      </c>
      <c r="G86" s="235"/>
      <c r="H86" s="36"/>
      <c r="I86" s="44"/>
      <c r="J86" s="228"/>
      <c r="K86" s="36"/>
      <c r="L86" s="9"/>
      <c r="M86" s="31"/>
      <c r="N86" s="228"/>
      <c r="O86" s="5"/>
    </row>
    <row r="87" spans="2:16" ht="12" customHeight="1" x14ac:dyDescent="0.2">
      <c r="C87" t="s">
        <v>272</v>
      </c>
      <c r="G87" s="235"/>
      <c r="H87" s="36"/>
      <c r="I87" s="44"/>
      <c r="J87" s="228"/>
      <c r="K87" s="36"/>
      <c r="L87" s="9"/>
      <c r="M87" s="31"/>
      <c r="N87" s="228"/>
      <c r="O87" s="5"/>
    </row>
    <row r="88" spans="2:16" ht="12" customHeight="1" x14ac:dyDescent="0.2">
      <c r="C88" t="s">
        <v>273</v>
      </c>
      <c r="G88" s="235"/>
      <c r="H88" s="36"/>
      <c r="I88" s="44"/>
      <c r="J88" s="228"/>
      <c r="K88" s="36"/>
      <c r="L88" s="9"/>
      <c r="M88" s="31"/>
      <c r="N88" s="228"/>
      <c r="O88" s="5"/>
    </row>
    <row r="89" spans="2:16" ht="12" customHeight="1" x14ac:dyDescent="0.2">
      <c r="C89" t="s">
        <v>274</v>
      </c>
      <c r="G89" s="235"/>
      <c r="H89" s="36"/>
      <c r="I89" s="44"/>
      <c r="J89" s="228"/>
      <c r="K89" s="36"/>
      <c r="L89" s="9"/>
      <c r="M89" s="31"/>
      <c r="N89" s="228"/>
      <c r="O89" s="5"/>
    </row>
    <row r="90" spans="2:16" ht="12" customHeight="1" x14ac:dyDescent="0.2">
      <c r="C90" t="s">
        <v>275</v>
      </c>
      <c r="G90" s="235"/>
      <c r="H90" s="36"/>
      <c r="I90" s="44"/>
      <c r="J90" s="228"/>
      <c r="K90" s="36"/>
      <c r="L90" s="9"/>
      <c r="M90" s="31"/>
      <c r="N90" s="228"/>
      <c r="O90" s="5"/>
    </row>
    <row r="91" spans="2:16" ht="12" customHeight="1" x14ac:dyDescent="0.2">
      <c r="C91" t="s">
        <v>388</v>
      </c>
      <c r="G91" s="235"/>
      <c r="H91" s="36"/>
      <c r="I91" s="44"/>
      <c r="J91" s="228"/>
      <c r="K91" s="36"/>
      <c r="L91" s="9"/>
      <c r="M91" s="31"/>
      <c r="N91" s="228"/>
      <c r="O91" s="5"/>
    </row>
    <row r="92" spans="2:16" ht="12" customHeight="1" x14ac:dyDescent="0.2">
      <c r="C92" t="s">
        <v>389</v>
      </c>
      <c r="G92" s="235"/>
      <c r="H92" s="36"/>
      <c r="I92" s="44"/>
      <c r="J92" s="228"/>
      <c r="K92" s="36"/>
      <c r="L92" s="9"/>
      <c r="M92" s="31"/>
      <c r="N92" s="228"/>
      <c r="O92" s="5"/>
    </row>
    <row r="93" spans="2:16" ht="12" customHeight="1" x14ac:dyDescent="0.2">
      <c r="C93" t="s">
        <v>243</v>
      </c>
      <c r="G93" s="235"/>
      <c r="H93" s="36"/>
      <c r="I93" s="44"/>
      <c r="J93" s="228"/>
      <c r="K93" s="36"/>
      <c r="L93" s="9"/>
      <c r="M93" s="31"/>
      <c r="N93" s="228"/>
      <c r="O93" s="5"/>
    </row>
    <row r="94" spans="2:16" x14ac:dyDescent="0.2">
      <c r="C94" t="s">
        <v>244</v>
      </c>
      <c r="G94" s="235"/>
      <c r="H94" s="36"/>
      <c r="I94" s="44"/>
      <c r="J94" s="228"/>
      <c r="K94" s="36"/>
      <c r="L94" s="9"/>
      <c r="M94" s="31"/>
      <c r="N94" s="228"/>
      <c r="O94" s="5"/>
    </row>
    <row r="95" spans="2:16" x14ac:dyDescent="0.2">
      <c r="C95" t="s">
        <v>277</v>
      </c>
      <c r="G95" s="235"/>
      <c r="H95" s="36"/>
      <c r="I95" s="44"/>
      <c r="J95" s="228"/>
      <c r="K95" s="36"/>
      <c r="L95" s="9"/>
      <c r="M95" s="31"/>
      <c r="N95" s="228"/>
      <c r="O95" s="5"/>
    </row>
    <row r="96" spans="2:16" x14ac:dyDescent="0.2">
      <c r="C96" t="s">
        <v>279</v>
      </c>
      <c r="G96" s="235"/>
      <c r="H96" s="36"/>
      <c r="I96" s="44"/>
      <c r="J96" s="228"/>
      <c r="K96" s="36"/>
      <c r="L96" s="9"/>
      <c r="M96" s="31"/>
      <c r="N96" s="228"/>
      <c r="O96" s="5"/>
    </row>
    <row r="97" spans="1:16" x14ac:dyDescent="0.2">
      <c r="C97" t="s">
        <v>280</v>
      </c>
      <c r="G97" s="235"/>
      <c r="H97" s="36"/>
      <c r="I97" s="44"/>
      <c r="J97" s="228"/>
      <c r="K97" s="36"/>
      <c r="L97" s="9"/>
      <c r="M97" s="31"/>
      <c r="N97" s="228"/>
      <c r="O97" s="5"/>
    </row>
    <row r="98" spans="1:16" x14ac:dyDescent="0.2">
      <c r="C98" t="s">
        <v>390</v>
      </c>
      <c r="G98" s="235"/>
      <c r="H98" s="36"/>
      <c r="I98" s="44"/>
      <c r="J98" s="235"/>
      <c r="K98" s="9"/>
      <c r="L98" s="9"/>
      <c r="M98" s="31"/>
      <c r="N98" s="228"/>
      <c r="O98" s="5"/>
    </row>
    <row r="99" spans="1:16" ht="12.75" customHeight="1" x14ac:dyDescent="0.2">
      <c r="C99" t="s">
        <v>263</v>
      </c>
      <c r="G99" s="235"/>
      <c r="H99" s="1229" t="str">
        <f>IF(G103=N71," ","Recheck numbers for step 2. Entry is out of balance.")</f>
        <v xml:space="preserve"> </v>
      </c>
      <c r="I99" s="44"/>
      <c r="J99" s="235"/>
      <c r="K99" s="9"/>
      <c r="L99" s="1144" t="str">
        <f>IF(J103=N73," ","Recheck numbers. Entry is out of balance.")</f>
        <v xml:space="preserve"> </v>
      </c>
      <c r="M99" s="31"/>
      <c r="N99" s="228"/>
      <c r="O99" s="1197" t="str">
        <f>IF(N103=N75," ","Recheck numbers for step 4. Entry is out of balance.")</f>
        <v xml:space="preserve"> </v>
      </c>
    </row>
    <row r="100" spans="1:16" ht="12.75" customHeight="1" x14ac:dyDescent="0.2">
      <c r="C100" t="s">
        <v>55</v>
      </c>
      <c r="G100" s="235"/>
      <c r="H100" s="1229"/>
      <c r="I100" s="44"/>
      <c r="J100" s="235"/>
      <c r="K100" s="9"/>
      <c r="L100" s="1144"/>
      <c r="M100" s="31"/>
      <c r="N100" s="228"/>
      <c r="O100" s="1197"/>
    </row>
    <row r="101" spans="1:16" ht="12.75" customHeight="1" x14ac:dyDescent="0.2">
      <c r="C101" t="s">
        <v>398</v>
      </c>
      <c r="G101" s="235"/>
      <c r="H101" s="1229"/>
      <c r="I101" s="44"/>
      <c r="J101" s="235"/>
      <c r="K101" s="9"/>
      <c r="L101" s="1144"/>
      <c r="M101" s="31"/>
      <c r="N101" s="228"/>
      <c r="O101" s="1197"/>
    </row>
    <row r="102" spans="1:16" ht="12.75" customHeight="1" x14ac:dyDescent="0.2">
      <c r="C102" t="s">
        <v>399</v>
      </c>
      <c r="G102" s="238"/>
      <c r="H102" s="1229"/>
      <c r="I102" s="44"/>
      <c r="J102" s="238"/>
      <c r="K102" s="9"/>
      <c r="L102" s="1144"/>
      <c r="M102" s="31"/>
      <c r="N102" s="228"/>
      <c r="O102" s="1197"/>
    </row>
    <row r="103" spans="1:16" ht="18" customHeight="1" thickBot="1" x14ac:dyDescent="0.4">
      <c r="F103" s="128" t="s">
        <v>144</v>
      </c>
      <c r="G103" s="71">
        <f>SUM(G84:G102)</f>
        <v>0</v>
      </c>
      <c r="H103" s="128" t="s">
        <v>145</v>
      </c>
      <c r="I103" s="44"/>
      <c r="J103" s="75">
        <f>SUM(J84:J102)</f>
        <v>0</v>
      </c>
      <c r="K103" s="9"/>
      <c r="L103" s="128" t="s">
        <v>146</v>
      </c>
      <c r="M103" s="84"/>
      <c r="N103" s="62">
        <f>SUM(N84:N102)</f>
        <v>0</v>
      </c>
    </row>
    <row r="104" spans="1:16" ht="12" customHeight="1" thickTop="1" x14ac:dyDescent="0.35">
      <c r="J104" s="9"/>
      <c r="K104" s="9"/>
      <c r="L104" s="53"/>
      <c r="M104" s="84"/>
      <c r="N104" s="8"/>
    </row>
    <row r="105" spans="1:16" ht="25.5" customHeight="1" x14ac:dyDescent="0.2">
      <c r="A105" s="4" t="s">
        <v>527</v>
      </c>
      <c r="B105" s="1120" t="s">
        <v>218</v>
      </c>
      <c r="C105" s="1121"/>
      <c r="D105" s="1121"/>
      <c r="E105" s="1121"/>
      <c r="F105" s="1121"/>
      <c r="G105" s="1121"/>
      <c r="H105" s="1121"/>
      <c r="I105" s="1121"/>
      <c r="J105" s="1121"/>
      <c r="K105" s="1121"/>
      <c r="L105" s="1121"/>
      <c r="M105" s="1121"/>
      <c r="N105" s="1121"/>
      <c r="O105" s="1121"/>
      <c r="P105" s="1122"/>
    </row>
    <row r="106" spans="1:16" ht="3.75" customHeight="1" x14ac:dyDescent="0.2">
      <c r="J106"/>
      <c r="K106"/>
      <c r="L106" s="9"/>
      <c r="M106" s="31"/>
      <c r="N106" s="4"/>
    </row>
    <row r="107" spans="1:16" ht="21" customHeight="1" x14ac:dyDescent="0.2">
      <c r="J107"/>
      <c r="K107"/>
      <c r="L107" s="9"/>
      <c r="M107" s="31"/>
      <c r="N107" s="105" t="str">
        <f>'Conversion Worksheet'!C100</f>
        <v>Other long-term liability #1</v>
      </c>
      <c r="O107" s="105" t="str">
        <f>'Conversion Worksheet'!C101</f>
        <v>Other long-term liability #2</v>
      </c>
    </row>
    <row r="108" spans="1:16" ht="14.25" customHeight="1" x14ac:dyDescent="0.2">
      <c r="A108"/>
      <c r="B108" s="38" t="s">
        <v>662</v>
      </c>
      <c r="C108" t="s">
        <v>109</v>
      </c>
      <c r="I108"/>
      <c r="J108"/>
      <c r="K108" s="9"/>
      <c r="L108" s="9"/>
      <c r="M108" s="31"/>
      <c r="N108" s="235">
        <v>0</v>
      </c>
      <c r="O108" s="228"/>
    </row>
    <row r="109" spans="1:16" ht="6" customHeight="1" x14ac:dyDescent="0.2">
      <c r="A109"/>
      <c r="I109"/>
      <c r="J109"/>
      <c r="K109" s="9"/>
      <c r="L109" s="9"/>
      <c r="M109" s="31"/>
      <c r="N109" s="9"/>
      <c r="O109" s="36"/>
    </row>
    <row r="110" spans="1:16" ht="15.75" customHeight="1" x14ac:dyDescent="0.2">
      <c r="A110"/>
      <c r="B110" s="38" t="s">
        <v>663</v>
      </c>
      <c r="C110" s="1015" t="s">
        <v>110</v>
      </c>
      <c r="D110" s="1015"/>
      <c r="E110" s="1015"/>
      <c r="F110" s="1015"/>
      <c r="G110" s="1015"/>
      <c r="H110" s="1015"/>
      <c r="I110" s="1015"/>
      <c r="J110" s="1015"/>
      <c r="K110" s="9"/>
      <c r="L110" s="128" t="s">
        <v>586</v>
      </c>
      <c r="M110" s="31"/>
      <c r="N110" s="235">
        <v>0</v>
      </c>
      <c r="O110" s="228"/>
      <c r="P110" s="146" t="s">
        <v>50</v>
      </c>
    </row>
    <row r="111" spans="1:16" ht="6" customHeight="1" x14ac:dyDescent="0.2">
      <c r="A111"/>
      <c r="I111"/>
      <c r="J111"/>
      <c r="K111" s="9"/>
      <c r="L111" s="9"/>
      <c r="M111" s="31"/>
      <c r="N111" s="9"/>
      <c r="O111" s="36"/>
    </row>
    <row r="112" spans="1:16" ht="15.75" customHeight="1" x14ac:dyDescent="0.2">
      <c r="A112"/>
      <c r="B112" s="38" t="s">
        <v>664</v>
      </c>
      <c r="C112" s="1015" t="s">
        <v>46</v>
      </c>
      <c r="D112" s="1015"/>
      <c r="E112" s="1015"/>
      <c r="F112" s="1015"/>
      <c r="G112" s="1015"/>
      <c r="H112" s="1015"/>
      <c r="I112" s="1015"/>
      <c r="J112" s="1015"/>
      <c r="K112" s="9"/>
      <c r="L112" s="128" t="s">
        <v>587</v>
      </c>
      <c r="M112" s="31"/>
      <c r="N112" s="235">
        <v>0</v>
      </c>
      <c r="O112" s="228"/>
      <c r="P112" s="146" t="s">
        <v>51</v>
      </c>
    </row>
    <row r="113" spans="1:16" ht="5.25" customHeight="1" x14ac:dyDescent="0.2">
      <c r="A113"/>
      <c r="I113"/>
      <c r="J113"/>
      <c r="K113" s="9"/>
      <c r="L113" s="145"/>
      <c r="M113" s="31"/>
      <c r="N113" s="9"/>
      <c r="O113" s="36"/>
      <c r="P113" s="42"/>
    </row>
    <row r="114" spans="1:16" ht="12.75" customHeight="1" x14ac:dyDescent="0.2">
      <c r="A114"/>
      <c r="B114" s="38" t="s">
        <v>343</v>
      </c>
      <c r="C114" s="1011" t="s">
        <v>282</v>
      </c>
      <c r="D114" s="1011"/>
      <c r="E114" s="1011"/>
      <c r="F114" s="1011"/>
      <c r="G114" s="1011"/>
      <c r="H114" s="1011"/>
      <c r="I114" s="1011"/>
      <c r="J114" s="1011"/>
      <c r="K114" s="9"/>
      <c r="L114" s="1225" t="s">
        <v>49</v>
      </c>
      <c r="M114" s="31"/>
      <c r="N114" s="1145"/>
      <c r="O114" s="1145"/>
      <c r="P114" s="1221" t="s">
        <v>52</v>
      </c>
    </row>
    <row r="115" spans="1:16" ht="12.75" customHeight="1" x14ac:dyDescent="0.2">
      <c r="A115"/>
      <c r="B115" s="38"/>
      <c r="C115" s="1011"/>
      <c r="D115" s="1011"/>
      <c r="E115" s="1011"/>
      <c r="F115" s="1011"/>
      <c r="G115" s="1011"/>
      <c r="H115" s="1011"/>
      <c r="I115" s="1011"/>
      <c r="J115" s="1011"/>
      <c r="K115" s="9"/>
      <c r="L115" s="1225"/>
      <c r="M115" s="31"/>
      <c r="N115" s="1145"/>
      <c r="O115" s="1145"/>
      <c r="P115" s="1221"/>
    </row>
    <row r="116" spans="1:16" ht="4.5" customHeight="1" x14ac:dyDescent="0.2">
      <c r="A116"/>
      <c r="I116"/>
      <c r="J116"/>
      <c r="K116" s="9"/>
      <c r="L116" s="9"/>
      <c r="M116" s="31"/>
      <c r="N116" s="9"/>
      <c r="O116" s="36"/>
    </row>
    <row r="117" spans="1:16" ht="12.75" customHeight="1" thickBot="1" x14ac:dyDescent="0.25">
      <c r="A117"/>
      <c r="B117" s="38" t="s">
        <v>344</v>
      </c>
      <c r="C117" t="s">
        <v>47</v>
      </c>
      <c r="I117"/>
      <c r="J117"/>
      <c r="K117" s="9"/>
      <c r="L117" s="9"/>
      <c r="M117" s="31"/>
      <c r="N117" s="76">
        <f>(N108+N110+N114)-N112</f>
        <v>0</v>
      </c>
      <c r="O117" s="76">
        <f>(O108+O110+O114)-O112</f>
        <v>0</v>
      </c>
    </row>
    <row r="118" spans="1:16" ht="4.5" customHeight="1" thickTop="1" x14ac:dyDescent="0.2">
      <c r="A118"/>
      <c r="I118"/>
      <c r="J118"/>
      <c r="K118" s="9"/>
      <c r="L118" s="9"/>
      <c r="M118" s="31"/>
      <c r="N118" s="9"/>
    </row>
    <row r="119" spans="1:16" x14ac:dyDescent="0.2">
      <c r="A119"/>
      <c r="B119" s="38" t="s">
        <v>186</v>
      </c>
      <c r="C119" s="1012" t="s">
        <v>48</v>
      </c>
      <c r="D119" s="1012"/>
      <c r="E119" s="1012"/>
      <c r="F119" s="1012"/>
      <c r="G119" s="1012"/>
      <c r="H119" s="1012"/>
      <c r="I119" s="1012"/>
      <c r="J119" s="1012"/>
      <c r="K119" s="1012"/>
      <c r="L119" s="1012"/>
      <c r="M119" s="31"/>
    </row>
    <row r="120" spans="1:16" ht="42" customHeight="1" x14ac:dyDescent="0.2">
      <c r="A120"/>
      <c r="B120" s="38"/>
      <c r="C120" s="1012"/>
      <c r="D120" s="1012"/>
      <c r="E120" s="1012"/>
      <c r="F120" s="1012"/>
      <c r="G120" s="1012"/>
      <c r="H120" s="1012"/>
      <c r="I120" s="1012"/>
      <c r="J120" s="1012"/>
      <c r="K120" s="1012"/>
      <c r="L120" s="1012"/>
      <c r="M120" s="31"/>
    </row>
    <row r="121" spans="1:16" ht="6.75" customHeight="1" x14ac:dyDescent="0.2">
      <c r="A121"/>
      <c r="B121" s="38"/>
      <c r="C121" s="34"/>
      <c r="D121" s="34"/>
      <c r="E121" s="34"/>
      <c r="F121" s="34"/>
      <c r="G121" s="34"/>
      <c r="H121" s="34"/>
      <c r="I121" s="34"/>
      <c r="J121" s="34"/>
      <c r="K121" s="34"/>
      <c r="L121" s="34"/>
      <c r="M121" s="31"/>
    </row>
    <row r="122" spans="1:16" ht="15.75" customHeight="1" x14ac:dyDescent="0.2">
      <c r="A122"/>
      <c r="B122" s="38"/>
      <c r="C122" s="34"/>
      <c r="D122" s="34"/>
      <c r="E122" s="34"/>
      <c r="F122" s="34"/>
      <c r="G122" s="1222" t="str">
        <f>N107</f>
        <v>Other long-term liability #1</v>
      </c>
      <c r="H122" s="1223"/>
      <c r="I122" s="1223"/>
      <c r="J122" s="1224"/>
      <c r="K122" s="34"/>
      <c r="L122" s="1222" t="str">
        <f>O107</f>
        <v>Other long-term liability #2</v>
      </c>
      <c r="M122" s="1223"/>
      <c r="N122" s="1223"/>
      <c r="O122" s="1224"/>
    </row>
    <row r="123" spans="1:16" x14ac:dyDescent="0.2">
      <c r="A123"/>
      <c r="B123" s="38"/>
      <c r="C123" s="34"/>
      <c r="D123" s="34"/>
      <c r="E123" s="34"/>
      <c r="F123" s="34"/>
      <c r="G123" s="372" t="s">
        <v>475</v>
      </c>
      <c r="H123" s="372" t="s">
        <v>474</v>
      </c>
      <c r="I123" s="57"/>
      <c r="J123" s="373" t="s">
        <v>220</v>
      </c>
      <c r="K123" s="34"/>
      <c r="L123" s="372" t="s">
        <v>475</v>
      </c>
      <c r="M123" s="31"/>
      <c r="N123" s="372" t="s">
        <v>474</v>
      </c>
      <c r="O123" s="374" t="s">
        <v>220</v>
      </c>
    </row>
    <row r="124" spans="1:16" x14ac:dyDescent="0.2">
      <c r="A124"/>
      <c r="C124" t="s">
        <v>269</v>
      </c>
      <c r="G124" s="235"/>
      <c r="H124" s="228"/>
      <c r="I124" s="44"/>
      <c r="J124" s="234"/>
      <c r="K124" s="36"/>
      <c r="L124" s="235"/>
      <c r="M124" s="31"/>
      <c r="N124" s="228"/>
      <c r="O124" s="234"/>
    </row>
    <row r="125" spans="1:16" x14ac:dyDescent="0.2">
      <c r="A125"/>
      <c r="C125" t="s">
        <v>270</v>
      </c>
      <c r="G125" s="235"/>
      <c r="H125" s="228"/>
      <c r="I125" s="44"/>
      <c r="J125" s="234"/>
      <c r="K125" s="36"/>
      <c r="L125" s="235"/>
      <c r="M125" s="31"/>
      <c r="N125" s="228"/>
      <c r="O125" s="234"/>
    </row>
    <row r="126" spans="1:16" x14ac:dyDescent="0.2">
      <c r="A126"/>
      <c r="C126" t="s">
        <v>271</v>
      </c>
      <c r="G126" s="235"/>
      <c r="H126" s="228"/>
      <c r="I126" s="44"/>
      <c r="J126" s="234"/>
      <c r="K126" s="36"/>
      <c r="L126" s="235"/>
      <c r="M126" s="31"/>
      <c r="N126" s="228"/>
      <c r="O126" s="234"/>
    </row>
    <row r="127" spans="1:16" x14ac:dyDescent="0.2">
      <c r="A127"/>
      <c r="C127" t="s">
        <v>272</v>
      </c>
      <c r="G127" s="235"/>
      <c r="H127" s="228"/>
      <c r="I127" s="44"/>
      <c r="J127" s="234"/>
      <c r="K127" s="36"/>
      <c r="L127" s="235"/>
      <c r="M127" s="31"/>
      <c r="N127" s="228"/>
      <c r="O127" s="234"/>
    </row>
    <row r="128" spans="1:16" x14ac:dyDescent="0.2">
      <c r="A128"/>
      <c r="C128" t="s">
        <v>273</v>
      </c>
      <c r="G128" s="235"/>
      <c r="H128" s="228"/>
      <c r="I128" s="44"/>
      <c r="J128" s="234"/>
      <c r="K128" s="36"/>
      <c r="L128" s="235"/>
      <c r="M128" s="31"/>
      <c r="N128" s="228"/>
      <c r="O128" s="234"/>
    </row>
    <row r="129" spans="1:15" x14ac:dyDescent="0.2">
      <c r="A129"/>
      <c r="C129" t="s">
        <v>274</v>
      </c>
      <c r="G129" s="235"/>
      <c r="H129" s="228"/>
      <c r="I129" s="44"/>
      <c r="J129" s="234"/>
      <c r="K129" s="36"/>
      <c r="L129" s="235"/>
      <c r="M129" s="31"/>
      <c r="N129" s="228"/>
      <c r="O129" s="234"/>
    </row>
    <row r="130" spans="1:15" x14ac:dyDescent="0.2">
      <c r="A130"/>
      <c r="C130" t="s">
        <v>275</v>
      </c>
      <c r="G130" s="235"/>
      <c r="H130" s="228"/>
      <c r="I130" s="44"/>
      <c r="J130" s="234"/>
      <c r="K130" s="36"/>
      <c r="L130" s="235"/>
      <c r="M130" s="31"/>
      <c r="N130" s="228"/>
      <c r="O130" s="234"/>
    </row>
    <row r="131" spans="1:15" x14ac:dyDescent="0.2">
      <c r="A131"/>
      <c r="C131" t="s">
        <v>388</v>
      </c>
      <c r="G131" s="235"/>
      <c r="H131" s="228"/>
      <c r="I131" s="44"/>
      <c r="J131" s="234"/>
      <c r="K131" s="36"/>
      <c r="L131" s="235"/>
      <c r="M131" s="31"/>
      <c r="N131" s="228"/>
      <c r="O131" s="234"/>
    </row>
    <row r="132" spans="1:15" x14ac:dyDescent="0.2">
      <c r="A132"/>
      <c r="C132" t="s">
        <v>389</v>
      </c>
      <c r="G132" s="235"/>
      <c r="H132" s="228"/>
      <c r="I132" s="44"/>
      <c r="J132" s="234"/>
      <c r="K132" s="36"/>
      <c r="L132" s="235"/>
      <c r="M132" s="31"/>
      <c r="N132" s="228"/>
      <c r="O132" s="234"/>
    </row>
    <row r="133" spans="1:15" x14ac:dyDescent="0.2">
      <c r="A133"/>
      <c r="C133" t="s">
        <v>243</v>
      </c>
      <c r="G133" s="235"/>
      <c r="H133" s="228"/>
      <c r="I133" s="44"/>
      <c r="J133" s="234"/>
      <c r="K133" s="36"/>
      <c r="L133" s="235"/>
      <c r="M133" s="31"/>
      <c r="N133" s="228"/>
      <c r="O133" s="234"/>
    </row>
    <row r="134" spans="1:15" x14ac:dyDescent="0.2">
      <c r="A134"/>
      <c r="C134" t="s">
        <v>244</v>
      </c>
      <c r="G134" s="235"/>
      <c r="H134" s="228"/>
      <c r="I134" s="44"/>
      <c r="J134" s="234"/>
      <c r="K134" s="36"/>
      <c r="L134" s="235"/>
      <c r="M134" s="31"/>
      <c r="N134" s="228"/>
      <c r="O134" s="234"/>
    </row>
    <row r="135" spans="1:15" x14ac:dyDescent="0.2">
      <c r="A135"/>
      <c r="C135" t="s">
        <v>277</v>
      </c>
      <c r="G135" s="235"/>
      <c r="H135" s="228"/>
      <c r="I135" s="44"/>
      <c r="J135" s="234"/>
      <c r="K135" s="36"/>
      <c r="L135" s="235"/>
      <c r="M135" s="31"/>
      <c r="N135" s="228"/>
      <c r="O135" s="234"/>
    </row>
    <row r="136" spans="1:15" x14ac:dyDescent="0.2">
      <c r="A136"/>
      <c r="C136" t="s">
        <v>279</v>
      </c>
      <c r="G136" s="235"/>
      <c r="H136" s="228"/>
      <c r="I136" s="44"/>
      <c r="J136" s="234"/>
      <c r="K136" s="36"/>
      <c r="L136" s="235"/>
      <c r="M136" s="31"/>
      <c r="N136" s="228"/>
      <c r="O136" s="234"/>
    </row>
    <row r="137" spans="1:15" x14ac:dyDescent="0.2">
      <c r="A137"/>
      <c r="C137" t="s">
        <v>280</v>
      </c>
      <c r="G137" s="235"/>
      <c r="H137" s="228"/>
      <c r="I137" s="44"/>
      <c r="J137" s="234"/>
      <c r="K137" s="36"/>
      <c r="L137" s="235"/>
      <c r="M137" s="31"/>
      <c r="N137" s="228"/>
      <c r="O137" s="234"/>
    </row>
    <row r="138" spans="1:15" x14ac:dyDescent="0.2">
      <c r="A138"/>
      <c r="C138" t="s">
        <v>390</v>
      </c>
      <c r="G138" s="235"/>
      <c r="H138" s="235"/>
      <c r="I138" s="44"/>
      <c r="J138" s="234"/>
      <c r="K138" s="9"/>
      <c r="L138" s="235"/>
      <c r="M138" s="31"/>
      <c r="N138" s="235"/>
      <c r="O138" s="234"/>
    </row>
    <row r="139" spans="1:15" x14ac:dyDescent="0.2">
      <c r="A139"/>
      <c r="C139" t="s">
        <v>263</v>
      </c>
      <c r="G139" s="235"/>
      <c r="H139" s="235"/>
      <c r="I139" s="44"/>
      <c r="J139" s="228"/>
      <c r="K139" s="9"/>
      <c r="L139" s="235"/>
      <c r="M139" s="31"/>
      <c r="N139" s="235"/>
      <c r="O139" s="228"/>
    </row>
    <row r="140" spans="1:15" x14ac:dyDescent="0.2">
      <c r="A140"/>
      <c r="C140" t="s">
        <v>55</v>
      </c>
      <c r="G140" s="235"/>
      <c r="H140" s="235"/>
      <c r="I140" s="44"/>
      <c r="J140" s="228"/>
      <c r="K140" s="9"/>
      <c r="L140" s="235"/>
      <c r="M140" s="31"/>
      <c r="N140" s="235"/>
      <c r="O140" s="228"/>
    </row>
    <row r="141" spans="1:15" x14ac:dyDescent="0.2">
      <c r="A141"/>
      <c r="C141" t="s">
        <v>398</v>
      </c>
      <c r="G141" s="235"/>
      <c r="H141" s="235"/>
      <c r="I141" s="44"/>
      <c r="J141" s="228"/>
      <c r="K141" s="9"/>
      <c r="L141" s="235"/>
      <c r="M141" s="31"/>
      <c r="N141" s="235"/>
      <c r="O141" s="228"/>
    </row>
    <row r="142" spans="1:15" ht="12" customHeight="1" x14ac:dyDescent="0.2">
      <c r="A142"/>
      <c r="C142" t="s">
        <v>399</v>
      </c>
      <c r="G142" s="238"/>
      <c r="H142" s="238"/>
      <c r="I142" s="44"/>
      <c r="J142" s="228"/>
      <c r="K142" s="9"/>
      <c r="L142" s="238"/>
      <c r="M142" s="31"/>
      <c r="N142" s="238"/>
      <c r="O142" s="228"/>
    </row>
    <row r="143" spans="1:15" ht="17.25" thickBot="1" x14ac:dyDescent="0.4">
      <c r="A143"/>
      <c r="G143" s="71">
        <f>SUM(G124:G142)</f>
        <v>0</v>
      </c>
      <c r="H143" s="75">
        <f>SUM(H124:H142)</f>
        <v>0</v>
      </c>
      <c r="I143" s="44"/>
      <c r="J143" s="76">
        <f>SUM(J124:J142)</f>
        <v>0</v>
      </c>
      <c r="K143" s="9"/>
      <c r="L143" s="71">
        <f>SUM(L124:L142)</f>
        <v>0</v>
      </c>
      <c r="M143" s="84"/>
      <c r="N143" s="75">
        <f>SUM(N124:N142)</f>
        <v>0</v>
      </c>
      <c r="O143" s="76">
        <f>SUM(O124:O142)</f>
        <v>0</v>
      </c>
    </row>
    <row r="144" spans="1:15" ht="17.25" thickTop="1" x14ac:dyDescent="0.25">
      <c r="A144"/>
      <c r="G144" s="128" t="s">
        <v>586</v>
      </c>
      <c r="H144" s="146" t="s">
        <v>587</v>
      </c>
      <c r="I144" s="42"/>
      <c r="J144" s="146" t="s">
        <v>49</v>
      </c>
      <c r="K144"/>
      <c r="L144" s="146" t="s">
        <v>50</v>
      </c>
      <c r="M144"/>
      <c r="N144" s="146" t="s">
        <v>51</v>
      </c>
      <c r="O144" s="148" t="s">
        <v>52</v>
      </c>
    </row>
    <row r="145" spans="1:16" s="126" customFormat="1" ht="15" customHeight="1" x14ac:dyDescent="0.2">
      <c r="G145" s="1217" t="str">
        <f>IF(G143=N110," ","Recheck numbers. Entry is out of balance.")</f>
        <v xml:space="preserve"> </v>
      </c>
      <c r="H145" s="1217" t="str">
        <f>IF(H143=N112," ","Recheck numbers. Entry is out of balance.")</f>
        <v xml:space="preserve"> </v>
      </c>
      <c r="I145" s="147"/>
      <c r="J145" s="1217" t="str">
        <f>IF(J143=N114," ","Recheck numbers. Entry is out of balance.")</f>
        <v xml:space="preserve"> </v>
      </c>
      <c r="L145" s="1217" t="str">
        <f>IF(L143=O110," ","Recheck numbers. Entry is out of balance.")</f>
        <v xml:space="preserve"> </v>
      </c>
      <c r="N145" s="1217" t="str">
        <f>IF(N143=O112," ","Recheck numbers. Entry is out of balance.")</f>
        <v xml:space="preserve"> </v>
      </c>
      <c r="O145" s="1217" t="str">
        <f>IF(O143=O114," ","Recheck numbers. Entry is out of balance.")</f>
        <v xml:space="preserve"> </v>
      </c>
    </row>
    <row r="146" spans="1:16" s="126" customFormat="1" ht="15" customHeight="1" x14ac:dyDescent="0.2">
      <c r="G146" s="1217"/>
      <c r="H146" s="1217"/>
      <c r="I146" s="147"/>
      <c r="J146" s="1217"/>
      <c r="L146" s="1217"/>
      <c r="N146" s="1217"/>
      <c r="O146" s="1217"/>
    </row>
    <row r="147" spans="1:16" s="126" customFormat="1" ht="22.5" customHeight="1" x14ac:dyDescent="0.2">
      <c r="G147" s="1217"/>
      <c r="H147" s="1217"/>
      <c r="I147" s="147"/>
      <c r="J147" s="1217"/>
      <c r="L147" s="1217"/>
      <c r="N147" s="1217"/>
      <c r="O147" s="1217"/>
    </row>
    <row r="148" spans="1:16" s="126" customFormat="1" x14ac:dyDescent="0.2">
      <c r="G148" s="446"/>
      <c r="H148" s="446"/>
      <c r="I148" s="147"/>
      <c r="J148" s="446"/>
      <c r="L148" s="446"/>
      <c r="N148" s="446"/>
      <c r="O148" s="446"/>
    </row>
    <row r="149" spans="1:16" ht="40.5" customHeight="1" x14ac:dyDescent="0.2">
      <c r="A149" s="4" t="s">
        <v>529</v>
      </c>
      <c r="B149" s="1119" t="s">
        <v>12</v>
      </c>
      <c r="C149" s="1123"/>
      <c r="D149" s="1123"/>
      <c r="E149" s="1123"/>
      <c r="F149" s="1123"/>
      <c r="G149" s="1123"/>
      <c r="H149" s="1123"/>
      <c r="I149" s="1123"/>
      <c r="J149" s="1123"/>
      <c r="K149" s="1123"/>
      <c r="L149" s="1123"/>
      <c r="M149" s="1123"/>
      <c r="N149" s="1123"/>
      <c r="O149" s="1123"/>
      <c r="P149" s="1124"/>
    </row>
    <row r="150" spans="1:16" ht="8.25" customHeight="1" x14ac:dyDescent="0.2">
      <c r="J150" s="9"/>
      <c r="K150" s="9"/>
      <c r="L150" s="9"/>
      <c r="M150" s="31"/>
      <c r="N150" s="9"/>
    </row>
    <row r="151" spans="1:16" ht="30" customHeight="1" x14ac:dyDescent="0.2">
      <c r="B151" s="170" t="s">
        <v>662</v>
      </c>
      <c r="C151" s="1011" t="s">
        <v>0</v>
      </c>
      <c r="D151" s="1011"/>
      <c r="E151" s="1011"/>
      <c r="F151" s="1011"/>
      <c r="G151" s="1011"/>
      <c r="H151" s="1011"/>
      <c r="I151" s="1011"/>
      <c r="J151" s="1011"/>
      <c r="K151" s="1011"/>
      <c r="L151" s="1011"/>
      <c r="M151" s="31"/>
      <c r="N151" s="235">
        <v>0</v>
      </c>
    </row>
    <row r="152" spans="1:16" ht="4.5" customHeight="1" x14ac:dyDescent="0.2">
      <c r="I152"/>
      <c r="J152"/>
      <c r="K152" s="9"/>
      <c r="L152" s="9"/>
      <c r="M152" s="31"/>
      <c r="N152" s="9"/>
    </row>
    <row r="153" spans="1:16" ht="27" customHeight="1" x14ac:dyDescent="0.2">
      <c r="B153" s="38" t="s">
        <v>663</v>
      </c>
      <c r="C153" s="1011" t="s">
        <v>1</v>
      </c>
      <c r="D153" s="1011"/>
      <c r="E153" s="1011"/>
      <c r="F153" s="1011"/>
      <c r="G153" s="1011"/>
      <c r="H153" s="1011"/>
      <c r="I153" s="1011"/>
      <c r="J153" s="1011"/>
      <c r="K153" s="1011"/>
      <c r="L153" s="1011"/>
      <c r="M153" s="31"/>
      <c r="N153" s="235">
        <v>0</v>
      </c>
    </row>
    <row r="154" spans="1:16" ht="4.5" customHeight="1" x14ac:dyDescent="0.2">
      <c r="C154" s="34"/>
      <c r="D154" s="34"/>
      <c r="E154" s="34"/>
      <c r="F154" s="34"/>
      <c r="G154" s="34"/>
      <c r="H154" s="34"/>
      <c r="I154" s="34"/>
      <c r="J154" s="34"/>
      <c r="K154" s="9"/>
      <c r="L154" s="9"/>
      <c r="M154" s="31"/>
      <c r="N154" s="9"/>
    </row>
    <row r="155" spans="1:16" ht="12.75" customHeight="1" thickBot="1" x14ac:dyDescent="0.25">
      <c r="B155" s="38"/>
      <c r="I155"/>
      <c r="J155"/>
      <c r="K155" s="9"/>
      <c r="L155" s="449" t="s">
        <v>2</v>
      </c>
      <c r="M155" s="31"/>
      <c r="N155" s="76">
        <f>N153-N151</f>
        <v>0</v>
      </c>
      <c r="O155" s="127" t="s">
        <v>434</v>
      </c>
    </row>
    <row r="156" spans="1:16" ht="8.25" customHeight="1" thickTop="1" x14ac:dyDescent="0.2">
      <c r="I156"/>
      <c r="J156"/>
      <c r="K156" s="9"/>
      <c r="L156" s="9"/>
      <c r="M156" s="31"/>
      <c r="N156" s="9"/>
    </row>
    <row r="157" spans="1:16" ht="12.75" customHeight="1" x14ac:dyDescent="0.2">
      <c r="B157" s="38" t="s">
        <v>664</v>
      </c>
      <c r="C157" s="1012" t="s">
        <v>9</v>
      </c>
      <c r="D157" s="1012"/>
      <c r="E157" s="1012"/>
      <c r="F157" s="1012"/>
      <c r="G157" s="1012"/>
      <c r="H157" s="1012"/>
      <c r="I157" s="1012"/>
      <c r="J157" s="1012"/>
      <c r="K157" s="1012"/>
      <c r="L157" s="1012"/>
      <c r="M157" s="1012"/>
      <c r="N157" s="1012"/>
      <c r="O157" s="1012"/>
      <c r="P157" s="1012"/>
    </row>
    <row r="158" spans="1:16" x14ac:dyDescent="0.2">
      <c r="B158" s="38"/>
      <c r="C158" s="1012"/>
      <c r="D158" s="1012"/>
      <c r="E158" s="1012"/>
      <c r="F158" s="1012"/>
      <c r="G158" s="1012"/>
      <c r="H158" s="1012"/>
      <c r="I158" s="1012"/>
      <c r="J158" s="1012"/>
      <c r="K158" s="1012"/>
      <c r="L158" s="1012"/>
      <c r="M158" s="1012"/>
      <c r="N158" s="1012"/>
      <c r="O158" s="1012"/>
      <c r="P158" s="1012"/>
    </row>
    <row r="159" spans="1:16" ht="14.25" customHeight="1" x14ac:dyDescent="0.2">
      <c r="B159" s="38"/>
      <c r="C159" s="34"/>
      <c r="D159" s="34"/>
      <c r="E159" s="34"/>
      <c r="F159" s="34"/>
      <c r="G159" s="447"/>
      <c r="H159" s="32"/>
      <c r="I159" s="82"/>
      <c r="J159" s="447"/>
      <c r="K159" s="82"/>
      <c r="L159" s="31"/>
      <c r="M159" s="31"/>
      <c r="N159" s="124" t="s">
        <v>220</v>
      </c>
    </row>
    <row r="160" spans="1:16" x14ac:dyDescent="0.2">
      <c r="G160" s="212"/>
      <c r="H160" t="s">
        <v>269</v>
      </c>
      <c r="I160"/>
      <c r="J160"/>
      <c r="K160"/>
      <c r="L160" s="31"/>
      <c r="M160" s="31"/>
      <c r="N160" s="228"/>
      <c r="O160" s="5"/>
    </row>
    <row r="161" spans="7:15" ht="12" customHeight="1" x14ac:dyDescent="0.2">
      <c r="G161" s="212"/>
      <c r="H161" t="s">
        <v>270</v>
      </c>
      <c r="I161"/>
      <c r="J161"/>
      <c r="K161"/>
      <c r="L161" s="31"/>
      <c r="M161" s="31"/>
      <c r="N161" s="228"/>
      <c r="O161" s="5"/>
    </row>
    <row r="162" spans="7:15" ht="12" customHeight="1" x14ac:dyDescent="0.2">
      <c r="G162" s="212"/>
      <c r="H162" t="s">
        <v>271</v>
      </c>
      <c r="I162"/>
      <c r="J162"/>
      <c r="K162"/>
      <c r="L162" s="31"/>
      <c r="M162" s="31"/>
      <c r="N162" s="228"/>
      <c r="O162" s="5"/>
    </row>
    <row r="163" spans="7:15" ht="12" customHeight="1" x14ac:dyDescent="0.2">
      <c r="G163" s="212"/>
      <c r="H163" t="s">
        <v>272</v>
      </c>
      <c r="I163"/>
      <c r="J163"/>
      <c r="K163"/>
      <c r="L163" s="31"/>
      <c r="M163" s="31"/>
      <c r="N163" s="228"/>
      <c r="O163" s="5"/>
    </row>
    <row r="164" spans="7:15" ht="12" customHeight="1" x14ac:dyDescent="0.2">
      <c r="G164" s="212"/>
      <c r="H164" t="s">
        <v>273</v>
      </c>
      <c r="I164"/>
      <c r="J164"/>
      <c r="K164"/>
      <c r="L164" s="31"/>
      <c r="M164" s="31"/>
      <c r="N164" s="228"/>
      <c r="O164" s="5"/>
    </row>
    <row r="165" spans="7:15" ht="12" customHeight="1" x14ac:dyDescent="0.2">
      <c r="G165" s="212"/>
      <c r="H165" t="s">
        <v>274</v>
      </c>
      <c r="I165"/>
      <c r="J165"/>
      <c r="K165"/>
      <c r="L165" s="31"/>
      <c r="M165" s="31"/>
      <c r="N165" s="228"/>
      <c r="O165" s="5"/>
    </row>
    <row r="166" spans="7:15" ht="12" customHeight="1" x14ac:dyDescent="0.2">
      <c r="G166" s="212"/>
      <c r="H166" t="s">
        <v>275</v>
      </c>
      <c r="I166"/>
      <c r="J166"/>
      <c r="K166"/>
      <c r="L166" s="31"/>
      <c r="M166" s="31"/>
      <c r="N166" s="228"/>
      <c r="O166" s="5"/>
    </row>
    <row r="167" spans="7:15" ht="12" customHeight="1" x14ac:dyDescent="0.2">
      <c r="G167" s="212"/>
      <c r="H167" t="s">
        <v>388</v>
      </c>
      <c r="I167"/>
      <c r="J167"/>
      <c r="K167"/>
      <c r="L167" s="31"/>
      <c r="M167" s="31"/>
      <c r="N167" s="228"/>
      <c r="O167" s="5"/>
    </row>
    <row r="168" spans="7:15" ht="12" customHeight="1" x14ac:dyDescent="0.2">
      <c r="G168" s="212"/>
      <c r="H168" t="s">
        <v>389</v>
      </c>
      <c r="I168"/>
      <c r="J168"/>
      <c r="K168"/>
      <c r="L168" s="31"/>
      <c r="M168" s="31"/>
      <c r="N168" s="228"/>
      <c r="O168" s="5"/>
    </row>
    <row r="169" spans="7:15" ht="12" customHeight="1" x14ac:dyDescent="0.2">
      <c r="G169" s="212"/>
      <c r="H169" t="s">
        <v>243</v>
      </c>
      <c r="I169"/>
      <c r="J169"/>
      <c r="K169"/>
      <c r="L169" s="31"/>
      <c r="M169" s="31"/>
      <c r="N169" s="228"/>
      <c r="O169" s="5"/>
    </row>
    <row r="170" spans="7:15" x14ac:dyDescent="0.2">
      <c r="G170" s="212"/>
      <c r="H170" t="s">
        <v>244</v>
      </c>
      <c r="I170"/>
      <c r="J170"/>
      <c r="K170"/>
      <c r="L170" s="31"/>
      <c r="M170" s="31"/>
      <c r="N170" s="228"/>
      <c r="O170" s="5"/>
    </row>
    <row r="171" spans="7:15" x14ac:dyDescent="0.2">
      <c r="G171" s="212"/>
      <c r="H171" t="s">
        <v>277</v>
      </c>
      <c r="I171"/>
      <c r="J171"/>
      <c r="K171"/>
      <c r="L171" s="31"/>
      <c r="M171" s="31"/>
      <c r="N171" s="228"/>
      <c r="O171" s="5"/>
    </row>
    <row r="172" spans="7:15" x14ac:dyDescent="0.2">
      <c r="G172" s="212"/>
      <c r="H172" t="s">
        <v>279</v>
      </c>
      <c r="I172"/>
      <c r="J172"/>
      <c r="K172"/>
      <c r="L172" s="31"/>
      <c r="M172" s="31"/>
      <c r="N172" s="228"/>
    </row>
    <row r="173" spans="7:15" x14ac:dyDescent="0.2">
      <c r="G173" s="212"/>
      <c r="H173" t="s">
        <v>280</v>
      </c>
      <c r="I173"/>
      <c r="J173"/>
      <c r="K173"/>
      <c r="L173" s="31"/>
      <c r="M173" s="31"/>
      <c r="N173" s="228"/>
      <c r="O173" s="445"/>
    </row>
    <row r="174" spans="7:15" x14ac:dyDescent="0.2">
      <c r="G174" s="212"/>
      <c r="H174" t="s">
        <v>390</v>
      </c>
      <c r="I174"/>
      <c r="J174"/>
      <c r="K174"/>
      <c r="L174" s="31"/>
      <c r="M174" s="31"/>
      <c r="N174" s="228"/>
      <c r="O174" s="1197" t="str">
        <f>IF(N177=N155," ","Recheck numbers for step 4. Entry is out of balance.")</f>
        <v xml:space="preserve"> </v>
      </c>
    </row>
    <row r="175" spans="7:15" ht="12.75" customHeight="1" x14ac:dyDescent="0.2">
      <c r="G175" s="212"/>
      <c r="H175" t="s">
        <v>263</v>
      </c>
      <c r="I175"/>
      <c r="J175"/>
      <c r="K175"/>
      <c r="L175" s="448"/>
      <c r="M175" s="31"/>
      <c r="N175" s="228"/>
      <c r="O175" s="1011"/>
    </row>
    <row r="176" spans="7:15" ht="12.75" customHeight="1" x14ac:dyDescent="0.2">
      <c r="G176" s="212"/>
      <c r="H176" t="s">
        <v>55</v>
      </c>
      <c r="I176"/>
      <c r="J176"/>
      <c r="K176"/>
      <c r="L176" s="448"/>
      <c r="M176" s="31"/>
      <c r="N176" s="228"/>
      <c r="O176" s="1011"/>
    </row>
    <row r="177" spans="1:15" ht="18" customHeight="1" thickBot="1" x14ac:dyDescent="0.4">
      <c r="F177" s="128"/>
      <c r="G177" s="44"/>
      <c r="I177"/>
      <c r="J177"/>
      <c r="L177" s="128" t="s">
        <v>434</v>
      </c>
      <c r="M177" s="84"/>
      <c r="N177" s="62">
        <f>SUM(N160:N176)</f>
        <v>0</v>
      </c>
    </row>
    <row r="178" spans="1:15" s="468" customFormat="1" ht="18" customHeight="1" thickTop="1" x14ac:dyDescent="0.35">
      <c r="A178" s="469"/>
      <c r="F178" s="474"/>
      <c r="G178" s="44"/>
      <c r="K178" s="1"/>
      <c r="L178" s="474"/>
      <c r="M178" s="84"/>
      <c r="N178" s="44"/>
    </row>
    <row r="179" spans="1:15" s="468" customFormat="1" ht="17.25" x14ac:dyDescent="0.35">
      <c r="A179" s="469"/>
      <c r="F179" s="474"/>
      <c r="G179" s="44"/>
      <c r="K179" s="1"/>
      <c r="L179" s="474"/>
      <c r="M179" s="84"/>
      <c r="N179" s="44"/>
    </row>
    <row r="180" spans="1:15" s="468" customFormat="1" x14ac:dyDescent="0.2">
      <c r="A180" s="461" t="s">
        <v>534</v>
      </c>
      <c r="B180" s="1120" t="s">
        <v>1090</v>
      </c>
      <c r="C180" s="1121"/>
      <c r="D180" s="1121"/>
      <c r="E180" s="1121"/>
      <c r="F180" s="1121"/>
      <c r="G180" s="1121"/>
      <c r="H180" s="1121"/>
      <c r="I180" s="1121"/>
      <c r="J180" s="1121"/>
      <c r="K180" s="1121"/>
      <c r="L180" s="1121"/>
      <c r="M180" s="1219"/>
      <c r="N180" s="1121"/>
      <c r="O180" s="1122"/>
    </row>
    <row r="181" spans="1:15" s="468" customFormat="1" x14ac:dyDescent="0.2">
      <c r="A181" s="461"/>
      <c r="B181" s="461"/>
      <c r="C181" s="461"/>
      <c r="D181" s="461"/>
      <c r="E181" s="461"/>
      <c r="F181" s="461"/>
      <c r="G181" s="473"/>
      <c r="H181" s="473"/>
      <c r="I181" s="482"/>
      <c r="J181" s="473"/>
      <c r="K181" s="461"/>
      <c r="L181" s="473"/>
      <c r="M181" s="461"/>
      <c r="N181" s="473"/>
      <c r="O181" s="473"/>
    </row>
    <row r="182" spans="1:15" s="468" customFormat="1" ht="27" customHeight="1" x14ac:dyDescent="0.2">
      <c r="A182" s="461"/>
      <c r="B182" s="38" t="s">
        <v>662</v>
      </c>
      <c r="C182" s="1114" t="s">
        <v>1126</v>
      </c>
      <c r="D182" s="1011"/>
      <c r="E182" s="1011"/>
      <c r="F182" s="1011"/>
      <c r="G182" s="1011"/>
      <c r="H182" s="1011"/>
      <c r="I182" s="482"/>
      <c r="J182" s="473"/>
      <c r="K182" s="461"/>
      <c r="L182" s="475">
        <v>0</v>
      </c>
      <c r="M182" s="461"/>
      <c r="N182" s="473"/>
      <c r="O182" s="473"/>
    </row>
    <row r="183" spans="1:15" s="468" customFormat="1" x14ac:dyDescent="0.2">
      <c r="A183" s="461"/>
      <c r="B183" s="38"/>
      <c r="C183" s="461"/>
      <c r="D183" s="461"/>
      <c r="E183" s="461"/>
      <c r="F183" s="461"/>
      <c r="G183" s="473"/>
      <c r="H183" s="473"/>
      <c r="I183" s="482"/>
      <c r="J183" s="473"/>
      <c r="K183" s="461"/>
      <c r="L183" s="490"/>
      <c r="M183" s="461"/>
      <c r="N183" s="473"/>
      <c r="O183" s="473"/>
    </row>
    <row r="184" spans="1:15" s="468" customFormat="1" x14ac:dyDescent="0.2">
      <c r="A184" s="461"/>
      <c r="B184" s="38" t="s">
        <v>663</v>
      </c>
      <c r="C184" s="461" t="s">
        <v>1097</v>
      </c>
      <c r="D184" s="461"/>
      <c r="E184" s="461"/>
      <c r="F184" s="461"/>
      <c r="G184" s="499"/>
      <c r="H184" s="499"/>
      <c r="I184" s="482"/>
      <c r="J184" s="499"/>
      <c r="K184" s="461"/>
      <c r="L184" s="495"/>
      <c r="M184" s="461"/>
      <c r="N184" s="495"/>
      <c r="O184" s="473"/>
    </row>
    <row r="185" spans="1:15" s="493" customFormat="1" x14ac:dyDescent="0.2">
      <c r="A185" s="461"/>
      <c r="B185" s="38"/>
      <c r="C185" s="461"/>
      <c r="D185" s="461"/>
      <c r="E185" s="461"/>
      <c r="F185" s="461"/>
      <c r="G185" s="499"/>
      <c r="H185" s="499"/>
      <c r="I185" s="482"/>
      <c r="J185" s="499"/>
      <c r="K185" s="461"/>
      <c r="L185" s="495"/>
      <c r="M185" s="461"/>
      <c r="N185" s="495"/>
      <c r="O185" s="499"/>
    </row>
    <row r="186" spans="1:15" s="493" customFormat="1" x14ac:dyDescent="0.2">
      <c r="A186" s="461"/>
      <c r="B186" s="38"/>
      <c r="C186" s="484" t="s">
        <v>1098</v>
      </c>
      <c r="D186" s="461"/>
      <c r="E186" s="461"/>
      <c r="F186" s="461"/>
      <c r="G186" s="499"/>
      <c r="H186" s="499"/>
      <c r="I186" s="482"/>
      <c r="J186" s="499"/>
      <c r="K186" s="461"/>
      <c r="L186" s="537">
        <v>0</v>
      </c>
      <c r="M186" s="484"/>
      <c r="N186" s="495"/>
      <c r="O186" s="499"/>
    </row>
    <row r="187" spans="1:15" s="493" customFormat="1" x14ac:dyDescent="0.2">
      <c r="A187" s="461"/>
      <c r="B187" s="38"/>
      <c r="C187" s="484" t="s">
        <v>1099</v>
      </c>
      <c r="D187" s="461"/>
      <c r="E187" s="461"/>
      <c r="F187" s="461"/>
      <c r="G187" s="499"/>
      <c r="H187" s="499"/>
      <c r="I187" s="482"/>
      <c r="J187" s="499"/>
      <c r="K187" s="461"/>
      <c r="L187" s="537">
        <v>0</v>
      </c>
      <c r="M187" s="484"/>
      <c r="N187" s="495"/>
      <c r="O187" s="499"/>
    </row>
    <row r="188" spans="1:15" s="493" customFormat="1" x14ac:dyDescent="0.2">
      <c r="A188" s="461"/>
      <c r="B188" s="38"/>
      <c r="C188" s="502" t="s">
        <v>1100</v>
      </c>
      <c r="D188" s="461"/>
      <c r="E188" s="461"/>
      <c r="F188" s="461"/>
      <c r="G188" s="499"/>
      <c r="H188" s="499"/>
      <c r="I188" s="482"/>
      <c r="J188" s="499"/>
      <c r="K188" s="461"/>
      <c r="L188" s="501">
        <f>SUM(L186:L187)</f>
        <v>0</v>
      </c>
      <c r="M188" s="484" t="str">
        <f>IF(L188=1,"=100%","DOES NOT EQUAL 100%!!!")</f>
        <v>DOES NOT EQUAL 100%!!!</v>
      </c>
      <c r="N188" s="495"/>
      <c r="O188" s="499"/>
    </row>
    <row r="189" spans="1:15" s="468" customFormat="1" x14ac:dyDescent="0.2">
      <c r="A189" s="461"/>
      <c r="B189" s="38"/>
      <c r="C189" s="503"/>
      <c r="D189" s="484"/>
      <c r="E189" s="484"/>
      <c r="F189" s="461"/>
      <c r="G189" s="499"/>
      <c r="H189" s="499"/>
      <c r="I189" s="482"/>
      <c r="J189" s="499"/>
      <c r="K189" s="461"/>
      <c r="L189" s="495"/>
      <c r="M189" s="461"/>
      <c r="N189" s="495"/>
      <c r="O189" s="473"/>
    </row>
    <row r="190" spans="1:15" s="493" customFormat="1" x14ac:dyDescent="0.2">
      <c r="A190" s="461"/>
      <c r="B190" s="38"/>
      <c r="C190" s="503" t="s">
        <v>1127</v>
      </c>
      <c r="D190" s="484"/>
      <c r="E190" s="484"/>
      <c r="F190" s="461"/>
      <c r="G190" s="499"/>
      <c r="H190" s="499"/>
      <c r="I190" s="482"/>
      <c r="J190" s="499"/>
      <c r="K190" s="461"/>
      <c r="L190" s="495"/>
      <c r="M190" s="461"/>
      <c r="N190" s="495"/>
      <c r="O190" s="499"/>
    </row>
    <row r="191" spans="1:15" s="493" customFormat="1" x14ac:dyDescent="0.2">
      <c r="A191" s="461"/>
      <c r="B191" s="38"/>
      <c r="C191" s="491" t="s">
        <v>269</v>
      </c>
      <c r="D191" s="461"/>
      <c r="E191" s="461"/>
      <c r="F191" s="461"/>
      <c r="G191" s="499"/>
      <c r="H191" s="499"/>
      <c r="I191" s="482"/>
      <c r="J191" s="499"/>
      <c r="K191" s="461"/>
      <c r="L191" s="537">
        <v>0</v>
      </c>
      <c r="M191" s="484"/>
      <c r="N191" s="495"/>
      <c r="O191" s="499"/>
    </row>
    <row r="192" spans="1:15" s="493" customFormat="1" x14ac:dyDescent="0.2">
      <c r="A192" s="461"/>
      <c r="B192" s="38"/>
      <c r="C192" s="491" t="s">
        <v>270</v>
      </c>
      <c r="D192" s="461"/>
      <c r="E192" s="461"/>
      <c r="F192" s="461"/>
      <c r="G192" s="499"/>
      <c r="H192" s="499"/>
      <c r="I192" s="482"/>
      <c r="J192" s="499"/>
      <c r="K192" s="461"/>
      <c r="L192" s="537">
        <v>0</v>
      </c>
      <c r="M192" s="484"/>
      <c r="N192" s="495"/>
      <c r="O192" s="499"/>
    </row>
    <row r="193" spans="1:15" s="493" customFormat="1" x14ac:dyDescent="0.2">
      <c r="A193" s="461"/>
      <c r="B193" s="38"/>
      <c r="C193" s="491" t="s">
        <v>271</v>
      </c>
      <c r="D193" s="461"/>
      <c r="E193" s="461"/>
      <c r="F193" s="461"/>
      <c r="G193" s="499"/>
      <c r="H193" s="499"/>
      <c r="I193" s="482"/>
      <c r="J193" s="499"/>
      <c r="K193" s="461"/>
      <c r="L193" s="537">
        <v>0</v>
      </c>
      <c r="M193" s="484"/>
      <c r="N193" s="495"/>
      <c r="O193" s="499"/>
    </row>
    <row r="194" spans="1:15" s="493" customFormat="1" x14ac:dyDescent="0.2">
      <c r="A194" s="461"/>
      <c r="B194" s="38"/>
      <c r="C194" s="491" t="s">
        <v>272</v>
      </c>
      <c r="D194" s="461"/>
      <c r="E194" s="461"/>
      <c r="F194" s="461"/>
      <c r="G194" s="499"/>
      <c r="H194" s="499"/>
      <c r="I194" s="482"/>
      <c r="J194" s="499"/>
      <c r="K194" s="461"/>
      <c r="L194" s="537">
        <v>0</v>
      </c>
      <c r="M194" s="484"/>
      <c r="N194" s="495"/>
      <c r="O194" s="499"/>
    </row>
    <row r="195" spans="1:15" s="493" customFormat="1" x14ac:dyDescent="0.2">
      <c r="A195" s="461"/>
      <c r="B195" s="38"/>
      <c r="C195" s="491" t="s">
        <v>273</v>
      </c>
      <c r="D195" s="461"/>
      <c r="E195" s="461"/>
      <c r="F195" s="461"/>
      <c r="G195" s="499"/>
      <c r="H195" s="499"/>
      <c r="I195" s="482"/>
      <c r="J195" s="499"/>
      <c r="K195" s="461"/>
      <c r="L195" s="537">
        <v>0</v>
      </c>
      <c r="M195" s="484"/>
      <c r="N195" s="495"/>
      <c r="O195" s="499"/>
    </row>
    <row r="196" spans="1:15" s="493" customFormat="1" x14ac:dyDescent="0.2">
      <c r="A196" s="461"/>
      <c r="B196" s="38"/>
      <c r="C196" s="491" t="s">
        <v>274</v>
      </c>
      <c r="D196" s="461"/>
      <c r="E196" s="461"/>
      <c r="F196" s="461"/>
      <c r="G196" s="499"/>
      <c r="H196" s="499"/>
      <c r="I196" s="482"/>
      <c r="J196" s="499"/>
      <c r="K196" s="461"/>
      <c r="L196" s="537">
        <v>0</v>
      </c>
      <c r="M196" s="484"/>
      <c r="N196" s="495"/>
      <c r="O196" s="499"/>
    </row>
    <row r="197" spans="1:15" s="493" customFormat="1" x14ac:dyDescent="0.2">
      <c r="A197" s="461"/>
      <c r="B197" s="38"/>
      <c r="C197" s="491" t="s">
        <v>275</v>
      </c>
      <c r="D197" s="461"/>
      <c r="E197" s="461"/>
      <c r="F197" s="461"/>
      <c r="G197" s="499"/>
      <c r="H197" s="499"/>
      <c r="I197" s="482"/>
      <c r="J197" s="499"/>
      <c r="K197" s="461"/>
      <c r="L197" s="537">
        <v>0</v>
      </c>
      <c r="M197" s="484"/>
      <c r="N197" s="495"/>
      <c r="O197" s="499"/>
    </row>
    <row r="198" spans="1:15" s="493" customFormat="1" x14ac:dyDescent="0.2">
      <c r="A198" s="461"/>
      <c r="B198" s="38"/>
      <c r="C198" s="491" t="s">
        <v>388</v>
      </c>
      <c r="D198" s="461"/>
      <c r="E198" s="461"/>
      <c r="F198" s="461"/>
      <c r="G198" s="499"/>
      <c r="H198" s="499"/>
      <c r="I198" s="482"/>
      <c r="J198" s="499"/>
      <c r="K198" s="461"/>
      <c r="L198" s="537">
        <v>0</v>
      </c>
      <c r="M198" s="484"/>
      <c r="N198" s="495"/>
      <c r="O198" s="499"/>
    </row>
    <row r="199" spans="1:15" s="493" customFormat="1" x14ac:dyDescent="0.2">
      <c r="A199" s="461"/>
      <c r="B199" s="38"/>
      <c r="C199" s="491" t="s">
        <v>389</v>
      </c>
      <c r="D199" s="461"/>
      <c r="E199" s="461"/>
      <c r="F199" s="461"/>
      <c r="G199" s="499"/>
      <c r="H199" s="499"/>
      <c r="I199" s="482"/>
      <c r="J199" s="499"/>
      <c r="K199" s="461"/>
      <c r="L199" s="537">
        <v>0</v>
      </c>
      <c r="M199" s="484"/>
      <c r="N199" s="495"/>
      <c r="O199" s="499"/>
    </row>
    <row r="200" spans="1:15" s="493" customFormat="1" x14ac:dyDescent="0.2">
      <c r="A200" s="461"/>
      <c r="B200" s="38"/>
      <c r="C200" s="491" t="s">
        <v>243</v>
      </c>
      <c r="D200" s="461"/>
      <c r="E200" s="461"/>
      <c r="F200" s="461"/>
      <c r="G200" s="499"/>
      <c r="H200" s="499"/>
      <c r="I200" s="482"/>
      <c r="J200" s="499"/>
      <c r="K200" s="461"/>
      <c r="L200" s="537">
        <v>0</v>
      </c>
      <c r="M200" s="484"/>
      <c r="N200" s="495"/>
      <c r="O200" s="499"/>
    </row>
    <row r="201" spans="1:15" s="493" customFormat="1" x14ac:dyDescent="0.2">
      <c r="A201" s="461"/>
      <c r="B201" s="38"/>
      <c r="C201" s="491" t="s">
        <v>244</v>
      </c>
      <c r="D201" s="461"/>
      <c r="E201" s="461"/>
      <c r="F201" s="461"/>
      <c r="G201" s="499"/>
      <c r="H201" s="499"/>
      <c r="I201" s="482"/>
      <c r="J201" s="499"/>
      <c r="K201" s="461"/>
      <c r="L201" s="537">
        <v>0</v>
      </c>
      <c r="M201" s="484"/>
      <c r="N201" s="495"/>
      <c r="O201" s="499"/>
    </row>
    <row r="202" spans="1:15" s="493" customFormat="1" x14ac:dyDescent="0.2">
      <c r="A202" s="461"/>
      <c r="B202" s="38"/>
      <c r="C202" s="491" t="s">
        <v>277</v>
      </c>
      <c r="D202" s="461"/>
      <c r="E202" s="461"/>
      <c r="F202" s="461"/>
      <c r="G202" s="499"/>
      <c r="H202" s="499"/>
      <c r="I202" s="482"/>
      <c r="J202" s="499"/>
      <c r="K202" s="461"/>
      <c r="L202" s="537">
        <v>0</v>
      </c>
      <c r="M202" s="484"/>
      <c r="N202" s="495"/>
      <c r="O202" s="499"/>
    </row>
    <row r="203" spans="1:15" s="493" customFormat="1" x14ac:dyDescent="0.2">
      <c r="A203" s="461"/>
      <c r="B203" s="38"/>
      <c r="C203" s="491" t="s">
        <v>279</v>
      </c>
      <c r="D203" s="461"/>
      <c r="E203" s="461"/>
      <c r="F203" s="461"/>
      <c r="G203" s="499"/>
      <c r="H203" s="499"/>
      <c r="I203" s="482"/>
      <c r="J203" s="499"/>
      <c r="K203" s="461"/>
      <c r="L203" s="537">
        <v>0</v>
      </c>
      <c r="M203" s="484"/>
      <c r="N203" s="495"/>
      <c r="O203" s="499"/>
    </row>
    <row r="204" spans="1:15" s="493" customFormat="1" x14ac:dyDescent="0.2">
      <c r="A204" s="461"/>
      <c r="B204" s="38"/>
      <c r="C204" s="491" t="s">
        <v>280</v>
      </c>
      <c r="D204" s="461"/>
      <c r="E204" s="461"/>
      <c r="F204" s="461"/>
      <c r="G204" s="499"/>
      <c r="H204" s="499"/>
      <c r="I204" s="482"/>
      <c r="J204" s="499"/>
      <c r="K204" s="461"/>
      <c r="L204" s="537">
        <v>0</v>
      </c>
      <c r="M204" s="484"/>
      <c r="N204" s="495"/>
      <c r="O204" s="499"/>
    </row>
    <row r="205" spans="1:15" s="493" customFormat="1" x14ac:dyDescent="0.2">
      <c r="A205" s="461"/>
      <c r="B205" s="38"/>
      <c r="C205" s="491" t="s">
        <v>390</v>
      </c>
      <c r="D205" s="461"/>
      <c r="E205" s="461"/>
      <c r="F205" s="461"/>
      <c r="G205" s="499"/>
      <c r="H205" s="499"/>
      <c r="I205" s="482"/>
      <c r="J205" s="499"/>
      <c r="K205" s="461"/>
      <c r="L205" s="537">
        <v>0</v>
      </c>
      <c r="M205" s="484"/>
      <c r="N205" s="495"/>
      <c r="O205" s="499"/>
    </row>
    <row r="206" spans="1:15" s="493" customFormat="1" x14ac:dyDescent="0.2">
      <c r="A206" s="461"/>
      <c r="B206" s="38"/>
      <c r="C206" s="491" t="s">
        <v>263</v>
      </c>
      <c r="D206" s="461"/>
      <c r="E206" s="461"/>
      <c r="F206" s="461"/>
      <c r="G206" s="499"/>
      <c r="H206" s="499"/>
      <c r="I206" s="482"/>
      <c r="J206" s="499"/>
      <c r="K206" s="461"/>
      <c r="L206" s="537">
        <v>0</v>
      </c>
      <c r="M206" s="484"/>
      <c r="N206" s="495"/>
      <c r="O206" s="499"/>
    </row>
    <row r="207" spans="1:15" s="493" customFormat="1" x14ac:dyDescent="0.2">
      <c r="A207" s="461"/>
      <c r="B207" s="38"/>
      <c r="C207" s="491" t="s">
        <v>55</v>
      </c>
      <c r="D207" s="461"/>
      <c r="E207" s="461"/>
      <c r="F207" s="461"/>
      <c r="G207" s="499"/>
      <c r="H207" s="499"/>
      <c r="I207" s="482"/>
      <c r="J207" s="499"/>
      <c r="K207" s="461"/>
      <c r="L207" s="537">
        <v>0</v>
      </c>
      <c r="M207" s="484"/>
      <c r="N207" s="495"/>
      <c r="O207" s="499"/>
    </row>
    <row r="208" spans="1:15" s="493" customFormat="1" x14ac:dyDescent="0.2">
      <c r="A208" s="461"/>
      <c r="B208" s="38"/>
      <c r="C208" s="502" t="s">
        <v>1102</v>
      </c>
      <c r="D208" s="461"/>
      <c r="E208" s="461"/>
      <c r="F208" s="461"/>
      <c r="G208" s="499"/>
      <c r="H208" s="499"/>
      <c r="I208" s="482"/>
      <c r="J208" s="499"/>
      <c r="K208" s="461"/>
      <c r="L208" s="501">
        <f>SUM(L191:L207)</f>
        <v>0</v>
      </c>
      <c r="M208" s="461"/>
      <c r="N208" s="538" t="str">
        <f>IF(L208=L186,"Equals Governmental Fund","DOES NOT EQUAL Governmental Fund!!!")</f>
        <v>Equals Governmental Fund</v>
      </c>
      <c r="O208" s="499"/>
    </row>
    <row r="209" spans="1:15" s="493" customFormat="1" x14ac:dyDescent="0.2">
      <c r="A209" s="461"/>
      <c r="B209" s="38"/>
      <c r="C209" s="461"/>
      <c r="D209" s="461"/>
      <c r="E209" s="461"/>
      <c r="F209" s="461"/>
      <c r="G209" s="499"/>
      <c r="H209" s="499"/>
      <c r="I209" s="482"/>
      <c r="J209" s="499"/>
      <c r="K209" s="461"/>
      <c r="L209" s="499"/>
      <c r="M209" s="461"/>
      <c r="N209" s="499"/>
      <c r="O209" s="499"/>
    </row>
    <row r="210" spans="1:15" s="493" customFormat="1" x14ac:dyDescent="0.2">
      <c r="A210" s="461"/>
      <c r="B210" s="38"/>
      <c r="C210" s="461"/>
      <c r="D210" s="461"/>
      <c r="E210" s="461"/>
      <c r="F210" s="461"/>
      <c r="G210" s="499"/>
      <c r="H210" s="499"/>
      <c r="I210" s="482"/>
      <c r="J210" s="499"/>
      <c r="K210" s="461"/>
      <c r="L210" s="499"/>
      <c r="M210" s="461"/>
      <c r="N210" s="499"/>
      <c r="O210" s="499"/>
    </row>
    <row r="211" spans="1:15" s="493" customFormat="1" x14ac:dyDescent="0.2">
      <c r="A211" s="461"/>
      <c r="B211" s="38" t="s">
        <v>664</v>
      </c>
      <c r="C211" s="1220" t="s">
        <v>1103</v>
      </c>
      <c r="D211" s="1220"/>
      <c r="E211" s="1220"/>
      <c r="F211" s="1220"/>
      <c r="G211" s="1220"/>
      <c r="H211" s="1220"/>
      <c r="I211" s="1220"/>
      <c r="J211" s="1220"/>
      <c r="K211" s="461"/>
      <c r="L211" s="8"/>
      <c r="M211" s="461"/>
      <c r="N211" s="499"/>
      <c r="O211" s="499"/>
    </row>
    <row r="212" spans="1:15" s="493" customFormat="1" x14ac:dyDescent="0.2">
      <c r="A212" s="461"/>
      <c r="B212" s="38"/>
      <c r="C212" s="500"/>
      <c r="D212" s="500"/>
      <c r="E212" s="500"/>
      <c r="F212" s="500"/>
      <c r="G212" s="500"/>
      <c r="H212" s="500"/>
      <c r="I212" s="500"/>
      <c r="J212" s="500"/>
      <c r="K212" s="461"/>
      <c r="L212" s="8"/>
      <c r="M212" s="461"/>
      <c r="N212" s="499"/>
      <c r="O212" s="499"/>
    </row>
    <row r="213" spans="1:15" s="493" customFormat="1" x14ac:dyDescent="0.2">
      <c r="A213" s="461"/>
      <c r="B213" s="38"/>
      <c r="C213" s="491" t="s">
        <v>269</v>
      </c>
      <c r="D213" s="500"/>
      <c r="E213" s="500"/>
      <c r="F213" s="500"/>
      <c r="G213" s="500"/>
      <c r="H213" s="500"/>
      <c r="I213" s="500"/>
      <c r="J213" s="500"/>
      <c r="K213" s="461"/>
      <c r="L213" s="494">
        <f>$L$182*L191</f>
        <v>0</v>
      </c>
      <c r="M213" s="461"/>
      <c r="N213" s="499"/>
      <c r="O213" s="499"/>
    </row>
    <row r="214" spans="1:15" s="493" customFormat="1" x14ac:dyDescent="0.2">
      <c r="A214" s="461"/>
      <c r="B214" s="38"/>
      <c r="C214" s="491" t="s">
        <v>270</v>
      </c>
      <c r="D214" s="500"/>
      <c r="E214" s="500"/>
      <c r="F214" s="500"/>
      <c r="G214" s="500"/>
      <c r="H214" s="500"/>
      <c r="I214" s="500"/>
      <c r="J214" s="500"/>
      <c r="K214" s="461"/>
      <c r="L214" s="494">
        <f t="shared" ref="L214:L229" si="3">$L$182*L192</f>
        <v>0</v>
      </c>
      <c r="M214" s="461"/>
      <c r="N214" s="499"/>
      <c r="O214" s="499"/>
    </row>
    <row r="215" spans="1:15" s="493" customFormat="1" x14ac:dyDescent="0.2">
      <c r="A215" s="461"/>
      <c r="B215" s="38"/>
      <c r="C215" s="491" t="s">
        <v>271</v>
      </c>
      <c r="D215" s="500"/>
      <c r="E215" s="500"/>
      <c r="F215" s="500"/>
      <c r="G215" s="500"/>
      <c r="H215" s="500"/>
      <c r="I215" s="500"/>
      <c r="J215" s="500"/>
      <c r="K215" s="461"/>
      <c r="L215" s="494">
        <f t="shared" si="3"/>
        <v>0</v>
      </c>
      <c r="M215" s="461"/>
      <c r="N215" s="499"/>
      <c r="O215" s="499"/>
    </row>
    <row r="216" spans="1:15" s="493" customFormat="1" x14ac:dyDescent="0.2">
      <c r="A216" s="461"/>
      <c r="B216" s="38"/>
      <c r="C216" s="491" t="s">
        <v>272</v>
      </c>
      <c r="D216" s="500"/>
      <c r="E216" s="500"/>
      <c r="F216" s="500"/>
      <c r="G216" s="500"/>
      <c r="H216" s="500"/>
      <c r="I216" s="500"/>
      <c r="J216" s="500"/>
      <c r="K216" s="461"/>
      <c r="L216" s="494">
        <f t="shared" si="3"/>
        <v>0</v>
      </c>
      <c r="M216" s="461"/>
      <c r="N216" s="499"/>
      <c r="O216" s="499"/>
    </row>
    <row r="217" spans="1:15" s="493" customFormat="1" x14ac:dyDescent="0.2">
      <c r="A217" s="461"/>
      <c r="B217" s="38"/>
      <c r="C217" s="491" t="s">
        <v>273</v>
      </c>
      <c r="D217" s="500"/>
      <c r="E217" s="500"/>
      <c r="F217" s="500"/>
      <c r="G217" s="500"/>
      <c r="H217" s="500"/>
      <c r="I217" s="500"/>
      <c r="J217" s="500"/>
      <c r="K217" s="461"/>
      <c r="L217" s="494">
        <f t="shared" si="3"/>
        <v>0</v>
      </c>
      <c r="M217" s="461"/>
      <c r="N217" s="499"/>
      <c r="O217" s="499"/>
    </row>
    <row r="218" spans="1:15" s="493" customFormat="1" x14ac:dyDescent="0.2">
      <c r="A218" s="461"/>
      <c r="B218" s="38"/>
      <c r="C218" s="491" t="s">
        <v>274</v>
      </c>
      <c r="D218" s="500"/>
      <c r="E218" s="500"/>
      <c r="F218" s="500"/>
      <c r="G218" s="500"/>
      <c r="H218" s="500"/>
      <c r="I218" s="500"/>
      <c r="J218" s="500"/>
      <c r="K218" s="461"/>
      <c r="L218" s="494">
        <f t="shared" si="3"/>
        <v>0</v>
      </c>
      <c r="M218" s="461"/>
      <c r="N218" s="499"/>
      <c r="O218" s="499"/>
    </row>
    <row r="219" spans="1:15" s="493" customFormat="1" x14ac:dyDescent="0.2">
      <c r="A219" s="461"/>
      <c r="B219" s="38"/>
      <c r="C219" s="491" t="s">
        <v>275</v>
      </c>
      <c r="D219" s="500"/>
      <c r="E219" s="500"/>
      <c r="F219" s="500"/>
      <c r="G219" s="500"/>
      <c r="H219" s="500"/>
      <c r="I219" s="500"/>
      <c r="J219" s="500"/>
      <c r="K219" s="461"/>
      <c r="L219" s="494">
        <f t="shared" si="3"/>
        <v>0</v>
      </c>
      <c r="M219" s="461"/>
      <c r="N219" s="499"/>
      <c r="O219" s="499"/>
    </row>
    <row r="220" spans="1:15" s="493" customFormat="1" x14ac:dyDescent="0.2">
      <c r="A220" s="461"/>
      <c r="B220" s="38"/>
      <c r="C220" s="491" t="s">
        <v>388</v>
      </c>
      <c r="D220" s="500"/>
      <c r="E220" s="500"/>
      <c r="F220" s="500"/>
      <c r="G220" s="500"/>
      <c r="H220" s="500"/>
      <c r="I220" s="500"/>
      <c r="J220" s="500"/>
      <c r="K220" s="461"/>
      <c r="L220" s="494">
        <f t="shared" si="3"/>
        <v>0</v>
      </c>
      <c r="M220" s="461"/>
      <c r="N220" s="499"/>
      <c r="O220" s="499"/>
    </row>
    <row r="221" spans="1:15" s="493" customFormat="1" x14ac:dyDescent="0.2">
      <c r="A221" s="461"/>
      <c r="B221" s="38"/>
      <c r="C221" s="491" t="s">
        <v>389</v>
      </c>
      <c r="D221" s="500"/>
      <c r="E221" s="500"/>
      <c r="F221" s="500"/>
      <c r="G221" s="500"/>
      <c r="H221" s="500"/>
      <c r="I221" s="500"/>
      <c r="J221" s="500"/>
      <c r="K221" s="461"/>
      <c r="L221" s="494">
        <f t="shared" si="3"/>
        <v>0</v>
      </c>
      <c r="M221" s="461"/>
      <c r="N221" s="499"/>
      <c r="O221" s="499"/>
    </row>
    <row r="222" spans="1:15" s="493" customFormat="1" x14ac:dyDescent="0.2">
      <c r="A222" s="461"/>
      <c r="B222" s="38"/>
      <c r="C222" s="491" t="s">
        <v>243</v>
      </c>
      <c r="D222" s="500"/>
      <c r="E222" s="500"/>
      <c r="F222" s="500"/>
      <c r="G222" s="500"/>
      <c r="H222" s="500"/>
      <c r="I222" s="500"/>
      <c r="J222" s="500"/>
      <c r="K222" s="461"/>
      <c r="L222" s="494">
        <f t="shared" si="3"/>
        <v>0</v>
      </c>
      <c r="M222" s="461"/>
      <c r="N222" s="499"/>
      <c r="O222" s="499"/>
    </row>
    <row r="223" spans="1:15" s="493" customFormat="1" x14ac:dyDescent="0.2">
      <c r="A223" s="461"/>
      <c r="B223" s="38"/>
      <c r="C223" s="491" t="s">
        <v>244</v>
      </c>
      <c r="D223" s="500"/>
      <c r="E223" s="500"/>
      <c r="F223" s="500"/>
      <c r="G223" s="500"/>
      <c r="H223" s="500"/>
      <c r="I223" s="500"/>
      <c r="J223" s="500"/>
      <c r="K223" s="461"/>
      <c r="L223" s="494">
        <f t="shared" si="3"/>
        <v>0</v>
      </c>
      <c r="M223" s="461"/>
      <c r="N223" s="499"/>
      <c r="O223" s="499"/>
    </row>
    <row r="224" spans="1:15" s="493" customFormat="1" x14ac:dyDescent="0.2">
      <c r="A224" s="461"/>
      <c r="B224" s="38"/>
      <c r="C224" s="491" t="s">
        <v>277</v>
      </c>
      <c r="D224" s="500"/>
      <c r="E224" s="500"/>
      <c r="F224" s="500"/>
      <c r="G224" s="500"/>
      <c r="H224" s="500"/>
      <c r="I224" s="500"/>
      <c r="J224" s="500"/>
      <c r="K224" s="461"/>
      <c r="L224" s="494">
        <f t="shared" si="3"/>
        <v>0</v>
      </c>
      <c r="M224" s="461"/>
      <c r="N224" s="499"/>
      <c r="O224" s="499"/>
    </row>
    <row r="225" spans="1:16" s="493" customFormat="1" x14ac:dyDescent="0.2">
      <c r="A225" s="461"/>
      <c r="B225" s="38"/>
      <c r="C225" s="491" t="s">
        <v>279</v>
      </c>
      <c r="D225" s="500"/>
      <c r="E225" s="500"/>
      <c r="F225" s="500"/>
      <c r="G225" s="500"/>
      <c r="H225" s="500"/>
      <c r="I225" s="500"/>
      <c r="J225" s="500"/>
      <c r="K225" s="461"/>
      <c r="L225" s="494">
        <f t="shared" si="3"/>
        <v>0</v>
      </c>
      <c r="M225" s="461"/>
      <c r="N225" s="499"/>
      <c r="O225" s="499"/>
    </row>
    <row r="226" spans="1:16" s="493" customFormat="1" x14ac:dyDescent="0.2">
      <c r="A226" s="461"/>
      <c r="B226" s="38"/>
      <c r="C226" s="491" t="s">
        <v>280</v>
      </c>
      <c r="D226" s="500"/>
      <c r="E226" s="500"/>
      <c r="F226" s="500"/>
      <c r="G226" s="500"/>
      <c r="H226" s="500"/>
      <c r="I226" s="500"/>
      <c r="J226" s="500"/>
      <c r="K226" s="461"/>
      <c r="L226" s="494">
        <f t="shared" si="3"/>
        <v>0</v>
      </c>
      <c r="M226" s="461"/>
      <c r="N226" s="499"/>
      <c r="O226" s="499"/>
    </row>
    <row r="227" spans="1:16" s="493" customFormat="1" x14ac:dyDescent="0.2">
      <c r="A227" s="461"/>
      <c r="B227" s="38"/>
      <c r="C227" s="491" t="s">
        <v>390</v>
      </c>
      <c r="D227" s="500"/>
      <c r="E227" s="500"/>
      <c r="F227" s="500"/>
      <c r="G227" s="500"/>
      <c r="H227" s="500"/>
      <c r="I227" s="500"/>
      <c r="J227" s="500"/>
      <c r="K227" s="461"/>
      <c r="L227" s="494">
        <f t="shared" si="3"/>
        <v>0</v>
      </c>
      <c r="M227" s="461"/>
      <c r="N227" s="499"/>
      <c r="O227" s="499"/>
    </row>
    <row r="228" spans="1:16" s="493" customFormat="1" x14ac:dyDescent="0.2">
      <c r="A228" s="461"/>
      <c r="B228" s="38"/>
      <c r="C228" s="491" t="s">
        <v>263</v>
      </c>
      <c r="D228" s="500"/>
      <c r="E228" s="500"/>
      <c r="F228" s="500"/>
      <c r="G228" s="500"/>
      <c r="H228" s="500"/>
      <c r="I228" s="500"/>
      <c r="J228" s="500"/>
      <c r="K228" s="461"/>
      <c r="L228" s="494">
        <f t="shared" si="3"/>
        <v>0</v>
      </c>
      <c r="M228" s="461"/>
      <c r="N228" s="499"/>
      <c r="O228" s="499"/>
    </row>
    <row r="229" spans="1:16" s="493" customFormat="1" x14ac:dyDescent="0.2">
      <c r="A229" s="461"/>
      <c r="B229" s="38"/>
      <c r="C229" s="491" t="s">
        <v>55</v>
      </c>
      <c r="D229" s="500"/>
      <c r="E229" s="500"/>
      <c r="F229" s="500"/>
      <c r="G229" s="500"/>
      <c r="H229" s="500"/>
      <c r="I229" s="500"/>
      <c r="J229" s="500"/>
      <c r="K229" s="461"/>
      <c r="L229" s="494">
        <f t="shared" si="3"/>
        <v>0</v>
      </c>
      <c r="M229" s="461"/>
      <c r="N229" s="499"/>
      <c r="O229" s="499"/>
    </row>
    <row r="230" spans="1:16" s="493" customFormat="1" ht="13.5" thickBot="1" x14ac:dyDescent="0.25">
      <c r="A230" s="461"/>
      <c r="B230" s="38"/>
      <c r="C230" s="500" t="s">
        <v>466</v>
      </c>
      <c r="D230" s="500"/>
      <c r="E230" s="500"/>
      <c r="F230" s="500"/>
      <c r="G230" s="500"/>
      <c r="H230" s="500"/>
      <c r="I230" s="500"/>
      <c r="J230" s="500"/>
      <c r="K230" s="461"/>
      <c r="L230" s="66">
        <f>SUM(L213:L229)</f>
        <v>0</v>
      </c>
      <c r="M230" s="461"/>
      <c r="N230" s="499"/>
      <c r="O230" s="499"/>
    </row>
    <row r="231" spans="1:16" s="468" customFormat="1" ht="13.5" thickTop="1" x14ac:dyDescent="0.2">
      <c r="A231" s="461"/>
      <c r="M231" s="461"/>
      <c r="N231" s="473"/>
      <c r="O231" s="473"/>
    </row>
    <row r="232" spans="1:16" ht="12" customHeight="1" x14ac:dyDescent="0.35">
      <c r="J232" s="9"/>
      <c r="K232" s="9"/>
      <c r="L232" s="128"/>
      <c r="M232" s="84"/>
      <c r="N232" s="8"/>
    </row>
    <row r="233" spans="1:16" ht="25.5" customHeight="1" x14ac:dyDescent="0.2">
      <c r="A233" s="4" t="s">
        <v>591</v>
      </c>
      <c r="B233" s="1120" t="s">
        <v>702</v>
      </c>
      <c r="C233" s="1121"/>
      <c r="D233" s="1121"/>
      <c r="E233" s="1121"/>
      <c r="F233" s="1121"/>
      <c r="G233" s="1121"/>
      <c r="H233" s="1121"/>
      <c r="I233" s="1121"/>
      <c r="J233" s="1121"/>
      <c r="K233" s="1121"/>
      <c r="L233" s="1121"/>
      <c r="M233" s="1121"/>
      <c r="N233" s="1121"/>
      <c r="O233" s="1121"/>
      <c r="P233" s="1122"/>
    </row>
    <row r="234" spans="1:16" x14ac:dyDescent="0.2">
      <c r="I234"/>
      <c r="J234"/>
      <c r="K234"/>
      <c r="L234" s="3" t="s">
        <v>190</v>
      </c>
      <c r="M234" s="3"/>
      <c r="N234" s="3" t="s">
        <v>659</v>
      </c>
    </row>
    <row r="235" spans="1:16" ht="12.75" customHeight="1" x14ac:dyDescent="0.2">
      <c r="D235" t="s">
        <v>147</v>
      </c>
      <c r="E235" t="s">
        <v>269</v>
      </c>
      <c r="I235"/>
      <c r="K235"/>
      <c r="L235" s="69">
        <f>X270</f>
        <v>0</v>
      </c>
      <c r="M235" s="36"/>
      <c r="N235" s="69">
        <v>0</v>
      </c>
    </row>
    <row r="236" spans="1:16" x14ac:dyDescent="0.2">
      <c r="E236" t="s">
        <v>270</v>
      </c>
      <c r="I236"/>
      <c r="K236"/>
      <c r="L236" s="69">
        <f>X271</f>
        <v>0</v>
      </c>
      <c r="M236" s="36"/>
      <c r="N236" s="69">
        <v>0</v>
      </c>
    </row>
    <row r="237" spans="1:16" x14ac:dyDescent="0.2">
      <c r="E237" t="s">
        <v>271</v>
      </c>
      <c r="I237"/>
      <c r="K237"/>
      <c r="L237" s="69">
        <f t="shared" ref="L237:L251" si="4">X272</f>
        <v>0</v>
      </c>
      <c r="M237" s="36"/>
      <c r="N237" s="69">
        <v>0</v>
      </c>
    </row>
    <row r="238" spans="1:16" x14ac:dyDescent="0.2">
      <c r="E238" t="s">
        <v>272</v>
      </c>
      <c r="I238"/>
      <c r="K238"/>
      <c r="L238" s="69">
        <f t="shared" si="4"/>
        <v>0</v>
      </c>
      <c r="M238" s="36"/>
      <c r="N238" s="69">
        <v>0</v>
      </c>
    </row>
    <row r="239" spans="1:16" x14ac:dyDescent="0.2">
      <c r="E239" t="s">
        <v>273</v>
      </c>
      <c r="I239"/>
      <c r="K239"/>
      <c r="L239" s="69">
        <f t="shared" si="4"/>
        <v>0</v>
      </c>
      <c r="M239" s="36"/>
      <c r="N239" s="69">
        <f t="shared" ref="N239:N251" si="5">Y274</f>
        <v>0</v>
      </c>
    </row>
    <row r="240" spans="1:16" x14ac:dyDescent="0.2">
      <c r="E240" t="s">
        <v>274</v>
      </c>
      <c r="I240"/>
      <c r="K240"/>
      <c r="L240" s="69">
        <f t="shared" si="4"/>
        <v>0</v>
      </c>
      <c r="M240" s="36"/>
      <c r="N240" s="69">
        <f t="shared" si="5"/>
        <v>0</v>
      </c>
    </row>
    <row r="241" spans="1:14" x14ac:dyDescent="0.2">
      <c r="E241" t="s">
        <v>275</v>
      </c>
      <c r="I241"/>
      <c r="K241"/>
      <c r="L241" s="69">
        <f t="shared" si="4"/>
        <v>0</v>
      </c>
      <c r="M241" s="36"/>
      <c r="N241" s="69">
        <v>0</v>
      </c>
    </row>
    <row r="242" spans="1:14" x14ac:dyDescent="0.2">
      <c r="E242" t="s">
        <v>388</v>
      </c>
      <c r="I242"/>
      <c r="K242"/>
      <c r="L242" s="69">
        <f t="shared" si="4"/>
        <v>0</v>
      </c>
      <c r="M242" s="36"/>
      <c r="N242" s="69">
        <v>0</v>
      </c>
    </row>
    <row r="243" spans="1:14" x14ac:dyDescent="0.2">
      <c r="E243" t="s">
        <v>389</v>
      </c>
      <c r="I243"/>
      <c r="K243"/>
      <c r="L243" s="69">
        <f t="shared" si="4"/>
        <v>0</v>
      </c>
      <c r="M243" s="36"/>
      <c r="N243" s="69">
        <f t="shared" si="5"/>
        <v>0</v>
      </c>
    </row>
    <row r="244" spans="1:14" x14ac:dyDescent="0.2">
      <c r="E244" t="s">
        <v>243</v>
      </c>
      <c r="I244"/>
      <c r="J244"/>
      <c r="K244"/>
      <c r="L244" s="69">
        <f t="shared" si="4"/>
        <v>0</v>
      </c>
      <c r="M244" s="36"/>
      <c r="N244" s="69">
        <f t="shared" si="5"/>
        <v>0</v>
      </c>
    </row>
    <row r="245" spans="1:14" x14ac:dyDescent="0.2">
      <c r="E245" t="s">
        <v>244</v>
      </c>
      <c r="I245"/>
      <c r="J245"/>
      <c r="K245"/>
      <c r="L245" s="69">
        <f t="shared" si="4"/>
        <v>0</v>
      </c>
      <c r="M245" s="36"/>
      <c r="N245" s="69">
        <v>0</v>
      </c>
    </row>
    <row r="246" spans="1:14" x14ac:dyDescent="0.2">
      <c r="E246" t="s">
        <v>277</v>
      </c>
      <c r="I246"/>
      <c r="J246"/>
      <c r="K246"/>
      <c r="L246" s="69">
        <f t="shared" si="4"/>
        <v>0</v>
      </c>
      <c r="M246" s="36"/>
      <c r="N246" s="69">
        <v>0</v>
      </c>
    </row>
    <row r="247" spans="1:14" x14ac:dyDescent="0.2">
      <c r="E247" t="s">
        <v>279</v>
      </c>
      <c r="I247"/>
      <c r="J247"/>
      <c r="K247"/>
      <c r="L247" s="69">
        <f t="shared" si="4"/>
        <v>0</v>
      </c>
      <c r="M247" s="36"/>
      <c r="N247" s="69">
        <v>0</v>
      </c>
    </row>
    <row r="248" spans="1:14" x14ac:dyDescent="0.2">
      <c r="E248" t="s">
        <v>280</v>
      </c>
      <c r="I248"/>
      <c r="J248"/>
      <c r="K248"/>
      <c r="L248" s="69">
        <f t="shared" si="4"/>
        <v>0</v>
      </c>
      <c r="M248" s="36"/>
      <c r="N248" s="69">
        <v>0</v>
      </c>
    </row>
    <row r="249" spans="1:14" x14ac:dyDescent="0.2">
      <c r="E249" t="s">
        <v>390</v>
      </c>
      <c r="I249"/>
      <c r="J249"/>
      <c r="K249"/>
      <c r="L249" s="69">
        <f t="shared" si="4"/>
        <v>0</v>
      </c>
      <c r="M249" s="36"/>
      <c r="N249" s="69">
        <f t="shared" si="5"/>
        <v>0</v>
      </c>
    </row>
    <row r="250" spans="1:14" x14ac:dyDescent="0.2">
      <c r="E250" t="s">
        <v>263</v>
      </c>
      <c r="I250"/>
      <c r="J250"/>
      <c r="K250"/>
      <c r="L250" s="69">
        <f t="shared" si="4"/>
        <v>0</v>
      </c>
      <c r="M250" s="36"/>
      <c r="N250" s="69">
        <f t="shared" si="5"/>
        <v>0</v>
      </c>
    </row>
    <row r="251" spans="1:14" x14ac:dyDescent="0.2">
      <c r="E251" t="s">
        <v>55</v>
      </c>
      <c r="I251"/>
      <c r="J251"/>
      <c r="K251"/>
      <c r="L251" s="69">
        <f t="shared" si="4"/>
        <v>0</v>
      </c>
      <c r="M251" s="36"/>
      <c r="N251" s="69">
        <f t="shared" si="5"/>
        <v>0</v>
      </c>
    </row>
    <row r="252" spans="1:14" x14ac:dyDescent="0.2">
      <c r="E252" t="s">
        <v>398</v>
      </c>
      <c r="I252"/>
      <c r="J252"/>
      <c r="K252"/>
      <c r="L252" s="69">
        <f t="shared" ref="L252:L259" si="6">X287</f>
        <v>0</v>
      </c>
      <c r="M252" s="36"/>
      <c r="N252" s="69">
        <f t="shared" ref="N252:N259" si="7">Y287</f>
        <v>0</v>
      </c>
    </row>
    <row r="253" spans="1:14" x14ac:dyDescent="0.2">
      <c r="E253" t="s">
        <v>399</v>
      </c>
      <c r="I253"/>
      <c r="J253"/>
      <c r="K253"/>
      <c r="L253" s="69">
        <f t="shared" si="6"/>
        <v>0</v>
      </c>
      <c r="M253" s="36"/>
      <c r="N253" s="69">
        <f t="shared" si="7"/>
        <v>0</v>
      </c>
    </row>
    <row r="254" spans="1:14" s="468" customFormat="1" x14ac:dyDescent="0.2">
      <c r="A254" s="469"/>
      <c r="E254" s="468" t="s">
        <v>1092</v>
      </c>
      <c r="L254" s="471">
        <f t="shared" si="6"/>
        <v>0</v>
      </c>
      <c r="M254" s="36"/>
      <c r="N254" s="471">
        <f t="shared" si="7"/>
        <v>0</v>
      </c>
    </row>
    <row r="255" spans="1:14" x14ac:dyDescent="0.2">
      <c r="E255" t="s">
        <v>433</v>
      </c>
      <c r="I255"/>
      <c r="J255"/>
      <c r="K255"/>
      <c r="L255" s="69">
        <f t="shared" si="6"/>
        <v>0</v>
      </c>
      <c r="M255" s="36"/>
      <c r="N255" s="69">
        <f t="shared" si="7"/>
        <v>0</v>
      </c>
    </row>
    <row r="256" spans="1:14" x14ac:dyDescent="0.2">
      <c r="E256" t="s">
        <v>708</v>
      </c>
      <c r="I256"/>
      <c r="J256"/>
      <c r="K256"/>
      <c r="L256" s="69">
        <v>0</v>
      </c>
      <c r="M256" s="36"/>
      <c r="N256" s="69">
        <f t="shared" si="7"/>
        <v>0</v>
      </c>
    </row>
    <row r="257" spans="1:32" x14ac:dyDescent="0.2">
      <c r="E257" t="s">
        <v>132</v>
      </c>
      <c r="I257"/>
      <c r="J257"/>
      <c r="K257"/>
      <c r="L257" s="69">
        <f t="shared" si="6"/>
        <v>0</v>
      </c>
      <c r="M257" s="36"/>
      <c r="N257" s="69">
        <f t="shared" si="7"/>
        <v>0</v>
      </c>
    </row>
    <row r="258" spans="1:32" x14ac:dyDescent="0.2">
      <c r="E258" t="str">
        <f>'Conversion Worksheet'!C100</f>
        <v>Other long-term liability #1</v>
      </c>
      <c r="I258"/>
      <c r="J258"/>
      <c r="K258"/>
      <c r="L258" s="69">
        <f t="shared" si="6"/>
        <v>0</v>
      </c>
      <c r="M258" s="36"/>
      <c r="N258" s="69">
        <f t="shared" si="7"/>
        <v>0</v>
      </c>
    </row>
    <row r="259" spans="1:32" x14ac:dyDescent="0.2">
      <c r="E259" t="str">
        <f>'Conversion Worksheet'!C101</f>
        <v>Other long-term liability #2</v>
      </c>
      <c r="I259"/>
      <c r="J259"/>
      <c r="K259"/>
      <c r="L259" s="69">
        <f t="shared" si="6"/>
        <v>0</v>
      </c>
      <c r="M259" s="36"/>
      <c r="N259" s="69">
        <f t="shared" si="7"/>
        <v>0</v>
      </c>
    </row>
    <row r="260" spans="1:32" ht="13.5" thickBot="1" x14ac:dyDescent="0.25">
      <c r="L260" s="62">
        <f>SUM(L235:L259)</f>
        <v>0</v>
      </c>
      <c r="M260" s="254">
        <f>SUM(M235:M259)</f>
        <v>0</v>
      </c>
      <c r="N260" s="62">
        <f>SUM(N235:N259)</f>
        <v>0</v>
      </c>
    </row>
    <row r="261" spans="1:32" ht="13.5" thickTop="1" x14ac:dyDescent="0.2">
      <c r="L261" s="5">
        <f>L260-N260</f>
        <v>0</v>
      </c>
      <c r="N261" s="5"/>
    </row>
    <row r="263" spans="1:32" x14ac:dyDescent="0.2">
      <c r="A263" s="1218" t="s">
        <v>44</v>
      </c>
      <c r="B263" s="1218"/>
      <c r="C263" s="1218"/>
      <c r="D263" s="1218"/>
      <c r="E263" s="1218"/>
      <c r="F263" s="1218"/>
      <c r="G263" s="1218"/>
      <c r="H263" s="1218"/>
      <c r="I263" s="1218"/>
      <c r="J263" s="1218"/>
      <c r="K263" s="1218"/>
      <c r="L263" s="1218"/>
      <c r="M263" s="1218"/>
      <c r="N263" s="1218"/>
      <c r="O263" s="1218"/>
      <c r="P263" s="92"/>
      <c r="Q263" s="92"/>
      <c r="R263" s="92"/>
      <c r="S263" s="92"/>
      <c r="T263" s="92"/>
      <c r="U263" s="92"/>
      <c r="V263" s="92"/>
      <c r="W263" s="92"/>
      <c r="X263" s="92"/>
      <c r="Y263" s="92"/>
    </row>
    <row r="264" spans="1:32" x14ac:dyDescent="0.2">
      <c r="A264" s="1218"/>
      <c r="B264" s="1218"/>
      <c r="C264" s="1218"/>
      <c r="D264" s="1218"/>
      <c r="E264" s="1218"/>
      <c r="F264" s="1218"/>
      <c r="G264" s="1218"/>
      <c r="H264" s="1218"/>
      <c r="I264" s="1218"/>
      <c r="J264" s="1218"/>
      <c r="K264" s="1218"/>
      <c r="L264" s="1218"/>
      <c r="M264" s="1218"/>
      <c r="N264" s="1218"/>
      <c r="O264" s="1218"/>
      <c r="P264" s="92"/>
      <c r="Q264" s="92"/>
      <c r="R264" s="92"/>
      <c r="S264" s="92"/>
      <c r="T264" s="92"/>
      <c r="U264" s="92"/>
      <c r="V264" s="92"/>
      <c r="W264" s="92"/>
      <c r="X264" s="92"/>
      <c r="Y264" s="92"/>
    </row>
    <row r="265" spans="1:32" ht="18" x14ac:dyDescent="0.25">
      <c r="A265" s="91"/>
      <c r="B265" s="91"/>
      <c r="C265" s="91"/>
      <c r="D265" s="91"/>
      <c r="E265" s="91"/>
      <c r="F265" s="91"/>
      <c r="G265" s="91"/>
      <c r="H265" s="91"/>
      <c r="I265" s="91"/>
      <c r="J265" s="91"/>
      <c r="K265" s="91"/>
      <c r="L265" s="91"/>
      <c r="M265" s="91"/>
      <c r="N265" s="91"/>
      <c r="O265" s="91"/>
      <c r="P265" s="92"/>
      <c r="Q265" s="92"/>
      <c r="R265" s="92"/>
      <c r="S265" s="92"/>
      <c r="T265" s="92"/>
      <c r="U265" s="92"/>
      <c r="V265" s="92"/>
      <c r="W265" s="92"/>
      <c r="X265" s="92"/>
      <c r="Y265" s="92"/>
    </row>
    <row r="266" spans="1:32" x14ac:dyDescent="0.2">
      <c r="F266" s="1211" t="s">
        <v>133</v>
      </c>
      <c r="G266" s="1212"/>
      <c r="H266" s="1211" t="s">
        <v>134</v>
      </c>
      <c r="I266" s="1213"/>
      <c r="J266" s="1212"/>
      <c r="K266" s="90"/>
      <c r="L266" s="1211" t="s">
        <v>183</v>
      </c>
      <c r="M266" s="1213"/>
      <c r="N266" s="1212"/>
      <c r="O266" s="1214" t="s">
        <v>184</v>
      </c>
      <c r="P266" s="1215"/>
      <c r="Q266" s="1216"/>
      <c r="R266" s="1214" t="s">
        <v>176</v>
      </c>
      <c r="S266" s="1215"/>
      <c r="T266" s="1216"/>
      <c r="U266" s="1214" t="s">
        <v>1091</v>
      </c>
      <c r="V266" s="1215"/>
      <c r="W266" s="1216"/>
      <c r="X266" s="1211" t="s">
        <v>466</v>
      </c>
      <c r="Y266" s="1212"/>
    </row>
    <row r="267" spans="1:32" x14ac:dyDescent="0.2">
      <c r="F267" s="1226" t="s">
        <v>706</v>
      </c>
      <c r="G267" s="1228"/>
      <c r="H267" s="1226" t="s">
        <v>705</v>
      </c>
      <c r="I267" s="1227"/>
      <c r="J267" s="1228"/>
      <c r="K267" s="90"/>
      <c r="L267" s="129"/>
      <c r="M267" s="43"/>
      <c r="N267" s="130"/>
      <c r="O267" s="131"/>
      <c r="P267" s="83"/>
      <c r="Q267" s="132"/>
      <c r="R267" s="131"/>
      <c r="S267" s="83"/>
      <c r="T267" s="132"/>
      <c r="U267" s="470"/>
      <c r="V267" s="470"/>
      <c r="W267" s="470"/>
      <c r="X267" s="129"/>
      <c r="Y267" s="130"/>
    </row>
    <row r="268" spans="1:32" x14ac:dyDescent="0.2">
      <c r="F268" s="59" t="s">
        <v>658</v>
      </c>
      <c r="G268" s="60" t="s">
        <v>659</v>
      </c>
      <c r="H268" s="59" t="s">
        <v>658</v>
      </c>
      <c r="I268" s="58"/>
      <c r="J268" s="94" t="s">
        <v>659</v>
      </c>
      <c r="K268" s="93"/>
      <c r="L268" s="95" t="s">
        <v>658</v>
      </c>
      <c r="M268" s="58"/>
      <c r="N268" s="60" t="s">
        <v>659</v>
      </c>
      <c r="O268" s="95" t="s">
        <v>658</v>
      </c>
      <c r="P268" s="7"/>
      <c r="Q268" s="96" t="s">
        <v>659</v>
      </c>
      <c r="R268" s="95" t="s">
        <v>658</v>
      </c>
      <c r="S268" s="7"/>
      <c r="T268" s="96" t="s">
        <v>659</v>
      </c>
      <c r="U268" s="58" t="s">
        <v>658</v>
      </c>
      <c r="V268" s="58"/>
      <c r="W268" s="58" t="s">
        <v>659</v>
      </c>
      <c r="X268" s="59" t="s">
        <v>658</v>
      </c>
      <c r="Y268" s="60" t="s">
        <v>659</v>
      </c>
    </row>
    <row r="269" spans="1:32" ht="4.5" customHeight="1" x14ac:dyDescent="0.2">
      <c r="X269" s="97"/>
      <c r="Y269" s="36"/>
    </row>
    <row r="270" spans="1:32" x14ac:dyDescent="0.2">
      <c r="A270" t="s">
        <v>269</v>
      </c>
      <c r="F270" s="36">
        <f t="shared" ref="F270:F286" si="8">J24+J46</f>
        <v>0</v>
      </c>
      <c r="G270" s="36"/>
      <c r="H270" s="36"/>
      <c r="I270" s="44"/>
      <c r="J270" s="1">
        <f t="shared" ref="J270:J286" si="9">L24+L46</f>
        <v>0</v>
      </c>
      <c r="L270" s="36">
        <f t="shared" ref="L270:L288" si="10">G84+N84-J84</f>
        <v>0</v>
      </c>
      <c r="M270" s="44"/>
      <c r="N270" s="36"/>
      <c r="O270" s="36">
        <f t="shared" ref="O270:O288" si="11">(G124+J124)-H124+(L124+O124)-N124</f>
        <v>0</v>
      </c>
      <c r="P270" s="36"/>
      <c r="Q270" s="36"/>
      <c r="R270" s="36">
        <f t="shared" ref="R270:R286" si="12">N160</f>
        <v>0</v>
      </c>
      <c r="S270" s="36"/>
      <c r="T270" s="36"/>
      <c r="U270" s="36"/>
      <c r="V270" s="36"/>
      <c r="W270" s="36">
        <f>L213</f>
        <v>0</v>
      </c>
      <c r="X270" s="255">
        <f>F270+H270+L270+O270+R270+U270</f>
        <v>0</v>
      </c>
      <c r="Y270" s="36">
        <f>G270+J270+N270+Q270+T270+W270</f>
        <v>0</v>
      </c>
      <c r="Z270" s="36"/>
      <c r="AA270" s="36"/>
      <c r="AB270" s="36"/>
      <c r="AC270" s="36"/>
      <c r="AD270" s="36"/>
      <c r="AE270" s="36"/>
      <c r="AF270" s="36"/>
    </row>
    <row r="271" spans="1:32" x14ac:dyDescent="0.2">
      <c r="A271" t="s">
        <v>270</v>
      </c>
      <c r="F271" s="36">
        <f t="shared" si="8"/>
        <v>0</v>
      </c>
      <c r="G271" s="36"/>
      <c r="H271" s="36"/>
      <c r="I271" s="44"/>
      <c r="J271" s="1">
        <f t="shared" si="9"/>
        <v>0</v>
      </c>
      <c r="L271" s="36">
        <f t="shared" si="10"/>
        <v>0</v>
      </c>
      <c r="M271" s="44"/>
      <c r="N271" s="36"/>
      <c r="O271" s="36">
        <f t="shared" si="11"/>
        <v>0</v>
      </c>
      <c r="P271" s="36"/>
      <c r="Q271" s="36"/>
      <c r="R271" s="36">
        <f t="shared" si="12"/>
        <v>0</v>
      </c>
      <c r="S271" s="36"/>
      <c r="T271" s="36"/>
      <c r="U271" s="36"/>
      <c r="V271" s="36"/>
      <c r="W271" s="36">
        <f t="shared" ref="W271:W286" si="13">L214</f>
        <v>0</v>
      </c>
      <c r="X271" s="255">
        <f t="shared" ref="X271:X294" si="14">F271+H271+L271+O271+R271+U271</f>
        <v>0</v>
      </c>
      <c r="Y271" s="36">
        <f t="shared" ref="Y271:Y294" si="15">G271+J271+N271+Q271+T271+W271</f>
        <v>0</v>
      </c>
      <c r="Z271" s="36"/>
      <c r="AA271" s="36"/>
      <c r="AB271" s="36"/>
      <c r="AC271" s="36"/>
      <c r="AD271" s="36"/>
      <c r="AE271" s="36"/>
      <c r="AF271" s="36"/>
    </row>
    <row r="272" spans="1:32" x14ac:dyDescent="0.2">
      <c r="A272" t="s">
        <v>271</v>
      </c>
      <c r="F272" s="36">
        <f t="shared" si="8"/>
        <v>0</v>
      </c>
      <c r="G272" s="36"/>
      <c r="H272" s="36"/>
      <c r="I272" s="44"/>
      <c r="J272" s="1">
        <f t="shared" si="9"/>
        <v>0</v>
      </c>
      <c r="L272" s="36">
        <f t="shared" si="10"/>
        <v>0</v>
      </c>
      <c r="M272" s="44"/>
      <c r="N272" s="36"/>
      <c r="O272" s="36">
        <f t="shared" si="11"/>
        <v>0</v>
      </c>
      <c r="P272" s="36"/>
      <c r="Q272" s="36"/>
      <c r="R272" s="36">
        <f t="shared" si="12"/>
        <v>0</v>
      </c>
      <c r="S272" s="36"/>
      <c r="T272" s="36"/>
      <c r="U272" s="36"/>
      <c r="V272" s="36"/>
      <c r="W272" s="36">
        <f t="shared" si="13"/>
        <v>0</v>
      </c>
      <c r="X272" s="255">
        <f t="shared" si="14"/>
        <v>0</v>
      </c>
      <c r="Y272" s="36">
        <f t="shared" si="15"/>
        <v>0</v>
      </c>
      <c r="Z272" s="36"/>
      <c r="AA272" s="36"/>
      <c r="AB272" s="36"/>
      <c r="AC272" s="36"/>
      <c r="AD272" s="36"/>
      <c r="AE272" s="36"/>
      <c r="AF272" s="36"/>
    </row>
    <row r="273" spans="1:32" x14ac:dyDescent="0.2">
      <c r="A273" t="s">
        <v>272</v>
      </c>
      <c r="F273" s="36">
        <f t="shared" si="8"/>
        <v>0</v>
      </c>
      <c r="G273" s="36"/>
      <c r="H273" s="36"/>
      <c r="I273" s="44"/>
      <c r="J273" s="1">
        <f t="shared" si="9"/>
        <v>0</v>
      </c>
      <c r="L273" s="36">
        <f t="shared" si="10"/>
        <v>0</v>
      </c>
      <c r="M273" s="44"/>
      <c r="N273" s="36"/>
      <c r="O273" s="36">
        <f t="shared" si="11"/>
        <v>0</v>
      </c>
      <c r="P273" s="36"/>
      <c r="Q273" s="36"/>
      <c r="R273" s="36">
        <f t="shared" si="12"/>
        <v>0</v>
      </c>
      <c r="S273" s="36"/>
      <c r="T273" s="36"/>
      <c r="U273" s="36"/>
      <c r="V273" s="36"/>
      <c r="W273" s="36">
        <f t="shared" si="13"/>
        <v>0</v>
      </c>
      <c r="X273" s="255">
        <f t="shared" si="14"/>
        <v>0</v>
      </c>
      <c r="Y273" s="36">
        <f t="shared" si="15"/>
        <v>0</v>
      </c>
      <c r="Z273" s="36"/>
      <c r="AA273" s="36"/>
      <c r="AB273" s="36"/>
      <c r="AC273" s="36"/>
      <c r="AD273" s="36"/>
      <c r="AE273" s="36"/>
      <c r="AF273" s="36"/>
    </row>
    <row r="274" spans="1:32" x14ac:dyDescent="0.2">
      <c r="A274" t="s">
        <v>273</v>
      </c>
      <c r="F274" s="36">
        <f t="shared" si="8"/>
        <v>0</v>
      </c>
      <c r="G274" s="36"/>
      <c r="H274" s="36"/>
      <c r="I274" s="44"/>
      <c r="J274" s="1">
        <f t="shared" si="9"/>
        <v>0</v>
      </c>
      <c r="L274" s="36">
        <f t="shared" si="10"/>
        <v>0</v>
      </c>
      <c r="M274" s="44"/>
      <c r="N274" s="36"/>
      <c r="O274" s="36">
        <f t="shared" si="11"/>
        <v>0</v>
      </c>
      <c r="P274" s="36"/>
      <c r="Q274" s="36"/>
      <c r="R274" s="36">
        <f t="shared" si="12"/>
        <v>0</v>
      </c>
      <c r="S274" s="36"/>
      <c r="T274" s="36"/>
      <c r="U274" s="36"/>
      <c r="V274" s="36"/>
      <c r="W274" s="36">
        <f t="shared" si="13"/>
        <v>0</v>
      </c>
      <c r="X274" s="255">
        <f t="shared" si="14"/>
        <v>0</v>
      </c>
      <c r="Y274" s="36">
        <f t="shared" si="15"/>
        <v>0</v>
      </c>
      <c r="Z274" s="36"/>
      <c r="AA274" s="36"/>
      <c r="AB274" s="36"/>
      <c r="AC274" s="36"/>
      <c r="AD274" s="36"/>
      <c r="AE274" s="36"/>
      <c r="AF274" s="36"/>
    </row>
    <row r="275" spans="1:32" x14ac:dyDescent="0.2">
      <c r="A275" t="s">
        <v>274</v>
      </c>
      <c r="F275" s="36">
        <f t="shared" si="8"/>
        <v>0</v>
      </c>
      <c r="G275" s="36"/>
      <c r="H275" s="36"/>
      <c r="I275" s="44"/>
      <c r="J275" s="1">
        <f t="shared" si="9"/>
        <v>0</v>
      </c>
      <c r="L275" s="36">
        <f t="shared" si="10"/>
        <v>0</v>
      </c>
      <c r="M275" s="44"/>
      <c r="N275" s="36"/>
      <c r="O275" s="36">
        <f t="shared" si="11"/>
        <v>0</v>
      </c>
      <c r="P275" s="36"/>
      <c r="Q275" s="36"/>
      <c r="R275" s="36">
        <f t="shared" si="12"/>
        <v>0</v>
      </c>
      <c r="S275" s="36"/>
      <c r="T275" s="36"/>
      <c r="U275" s="36"/>
      <c r="V275" s="36"/>
      <c r="W275" s="36">
        <f t="shared" si="13"/>
        <v>0</v>
      </c>
      <c r="X275" s="255">
        <f t="shared" si="14"/>
        <v>0</v>
      </c>
      <c r="Y275" s="36">
        <f t="shared" si="15"/>
        <v>0</v>
      </c>
      <c r="Z275" s="36"/>
      <c r="AA275" s="36"/>
      <c r="AB275" s="36"/>
      <c r="AC275" s="36"/>
      <c r="AD275" s="36"/>
      <c r="AE275" s="36"/>
      <c r="AF275" s="36"/>
    </row>
    <row r="276" spans="1:32" x14ac:dyDescent="0.2">
      <c r="A276" t="s">
        <v>275</v>
      </c>
      <c r="F276" s="36">
        <f t="shared" si="8"/>
        <v>0</v>
      </c>
      <c r="G276" s="36"/>
      <c r="H276" s="36"/>
      <c r="I276" s="44"/>
      <c r="J276" s="1">
        <f t="shared" si="9"/>
        <v>0</v>
      </c>
      <c r="L276" s="36">
        <f t="shared" si="10"/>
        <v>0</v>
      </c>
      <c r="M276" s="44"/>
      <c r="N276" s="36"/>
      <c r="O276" s="36">
        <f t="shared" si="11"/>
        <v>0</v>
      </c>
      <c r="P276" s="36"/>
      <c r="Q276" s="36"/>
      <c r="R276" s="36">
        <f t="shared" si="12"/>
        <v>0</v>
      </c>
      <c r="S276" s="36"/>
      <c r="T276" s="36"/>
      <c r="U276" s="36"/>
      <c r="V276" s="36"/>
      <c r="W276" s="36">
        <f t="shared" si="13"/>
        <v>0</v>
      </c>
      <c r="X276" s="255">
        <f t="shared" si="14"/>
        <v>0</v>
      </c>
      <c r="Y276" s="36">
        <f t="shared" si="15"/>
        <v>0</v>
      </c>
      <c r="Z276" s="36"/>
      <c r="AA276" s="36"/>
      <c r="AB276" s="36"/>
      <c r="AC276" s="36"/>
      <c r="AD276" s="36"/>
      <c r="AE276" s="36"/>
      <c r="AF276" s="36"/>
    </row>
    <row r="277" spans="1:32" x14ac:dyDescent="0.2">
      <c r="A277" t="s">
        <v>388</v>
      </c>
      <c r="F277" s="36">
        <f t="shared" si="8"/>
        <v>0</v>
      </c>
      <c r="G277" s="36"/>
      <c r="H277" s="36"/>
      <c r="I277" s="44"/>
      <c r="J277" s="1">
        <f t="shared" si="9"/>
        <v>0</v>
      </c>
      <c r="L277" s="36">
        <f t="shared" si="10"/>
        <v>0</v>
      </c>
      <c r="M277" s="44"/>
      <c r="N277" s="36"/>
      <c r="O277" s="36">
        <f t="shared" si="11"/>
        <v>0</v>
      </c>
      <c r="P277" s="36"/>
      <c r="Q277" s="36"/>
      <c r="R277" s="36">
        <f t="shared" si="12"/>
        <v>0</v>
      </c>
      <c r="S277" s="36"/>
      <c r="T277" s="36"/>
      <c r="U277" s="36"/>
      <c r="V277" s="36"/>
      <c r="W277" s="36">
        <f t="shared" si="13"/>
        <v>0</v>
      </c>
      <c r="X277" s="255">
        <f t="shared" si="14"/>
        <v>0</v>
      </c>
      <c r="Y277" s="36">
        <f t="shared" si="15"/>
        <v>0</v>
      </c>
      <c r="Z277" s="36"/>
      <c r="AA277" s="36"/>
      <c r="AB277" s="36"/>
      <c r="AC277" s="36"/>
      <c r="AD277" s="36"/>
      <c r="AE277" s="36"/>
      <c r="AF277" s="36"/>
    </row>
    <row r="278" spans="1:32" x14ac:dyDescent="0.2">
      <c r="A278" t="s">
        <v>389</v>
      </c>
      <c r="F278" s="36">
        <f t="shared" si="8"/>
        <v>0</v>
      </c>
      <c r="G278" s="36"/>
      <c r="H278" s="36"/>
      <c r="I278" s="44"/>
      <c r="J278" s="1">
        <f t="shared" si="9"/>
        <v>0</v>
      </c>
      <c r="L278" s="36">
        <f t="shared" si="10"/>
        <v>0</v>
      </c>
      <c r="M278" s="44"/>
      <c r="N278" s="36"/>
      <c r="O278" s="36">
        <f t="shared" si="11"/>
        <v>0</v>
      </c>
      <c r="P278" s="36"/>
      <c r="Q278" s="36"/>
      <c r="R278" s="36">
        <f t="shared" si="12"/>
        <v>0</v>
      </c>
      <c r="S278" s="36"/>
      <c r="T278" s="36"/>
      <c r="U278" s="36"/>
      <c r="V278" s="36"/>
      <c r="W278" s="36">
        <f t="shared" si="13"/>
        <v>0</v>
      </c>
      <c r="X278" s="255">
        <f t="shared" si="14"/>
        <v>0</v>
      </c>
      <c r="Y278" s="36">
        <f t="shared" si="15"/>
        <v>0</v>
      </c>
      <c r="Z278" s="36"/>
      <c r="AA278" s="36"/>
      <c r="AB278" s="36"/>
      <c r="AC278" s="36"/>
      <c r="AD278" s="36"/>
      <c r="AE278" s="36"/>
      <c r="AF278" s="36"/>
    </row>
    <row r="279" spans="1:32" x14ac:dyDescent="0.2">
      <c r="A279" t="s">
        <v>243</v>
      </c>
      <c r="F279" s="36">
        <f t="shared" si="8"/>
        <v>0</v>
      </c>
      <c r="G279" s="36"/>
      <c r="H279" s="36"/>
      <c r="I279" s="44"/>
      <c r="J279" s="1">
        <f t="shared" si="9"/>
        <v>0</v>
      </c>
      <c r="L279" s="36">
        <f t="shared" si="10"/>
        <v>0</v>
      </c>
      <c r="M279" s="44"/>
      <c r="N279" s="36"/>
      <c r="O279" s="36">
        <f t="shared" si="11"/>
        <v>0</v>
      </c>
      <c r="P279" s="36"/>
      <c r="Q279" s="36"/>
      <c r="R279" s="36">
        <f t="shared" si="12"/>
        <v>0</v>
      </c>
      <c r="S279" s="36"/>
      <c r="T279" s="36"/>
      <c r="U279" s="36"/>
      <c r="V279" s="36"/>
      <c r="W279" s="36">
        <f t="shared" si="13"/>
        <v>0</v>
      </c>
      <c r="X279" s="255">
        <f t="shared" si="14"/>
        <v>0</v>
      </c>
      <c r="Y279" s="36">
        <f t="shared" si="15"/>
        <v>0</v>
      </c>
      <c r="Z279" s="36"/>
      <c r="AA279" s="36"/>
      <c r="AB279" s="36"/>
      <c r="AC279" s="36"/>
      <c r="AD279" s="36"/>
      <c r="AE279" s="36"/>
      <c r="AF279" s="36"/>
    </row>
    <row r="280" spans="1:32" x14ac:dyDescent="0.2">
      <c r="A280" t="s">
        <v>244</v>
      </c>
      <c r="F280" s="36">
        <f t="shared" si="8"/>
        <v>0</v>
      </c>
      <c r="G280" s="36"/>
      <c r="H280" s="36"/>
      <c r="I280" s="44"/>
      <c r="J280" s="1">
        <f t="shared" si="9"/>
        <v>0</v>
      </c>
      <c r="L280" s="36">
        <f t="shared" si="10"/>
        <v>0</v>
      </c>
      <c r="M280" s="44"/>
      <c r="N280" s="36"/>
      <c r="O280" s="36">
        <f t="shared" si="11"/>
        <v>0</v>
      </c>
      <c r="P280" s="36"/>
      <c r="Q280" s="36"/>
      <c r="R280" s="36">
        <f t="shared" si="12"/>
        <v>0</v>
      </c>
      <c r="S280" s="36"/>
      <c r="T280" s="36"/>
      <c r="U280" s="36"/>
      <c r="V280" s="36"/>
      <c r="W280" s="36">
        <f t="shared" si="13"/>
        <v>0</v>
      </c>
      <c r="X280" s="255">
        <f t="shared" si="14"/>
        <v>0</v>
      </c>
      <c r="Y280" s="36">
        <f t="shared" si="15"/>
        <v>0</v>
      </c>
      <c r="Z280" s="36"/>
      <c r="AA280" s="36"/>
      <c r="AB280" s="36"/>
      <c r="AC280" s="36"/>
      <c r="AD280" s="36"/>
      <c r="AE280" s="36"/>
      <c r="AF280" s="36"/>
    </row>
    <row r="281" spans="1:32" x14ac:dyDescent="0.2">
      <c r="A281" t="s">
        <v>277</v>
      </c>
      <c r="F281" s="36">
        <f t="shared" si="8"/>
        <v>0</v>
      </c>
      <c r="G281" s="36"/>
      <c r="H281" s="36"/>
      <c r="I281" s="44"/>
      <c r="J281" s="1">
        <f t="shared" si="9"/>
        <v>0</v>
      </c>
      <c r="L281" s="36">
        <f t="shared" si="10"/>
        <v>0</v>
      </c>
      <c r="M281" s="44"/>
      <c r="N281" s="36"/>
      <c r="O281" s="36">
        <f t="shared" si="11"/>
        <v>0</v>
      </c>
      <c r="P281" s="36"/>
      <c r="Q281" s="36"/>
      <c r="R281" s="36">
        <f t="shared" si="12"/>
        <v>0</v>
      </c>
      <c r="S281" s="36"/>
      <c r="T281" s="36"/>
      <c r="U281" s="36"/>
      <c r="V281" s="36"/>
      <c r="W281" s="36">
        <f t="shared" si="13"/>
        <v>0</v>
      </c>
      <c r="X281" s="255">
        <f t="shared" si="14"/>
        <v>0</v>
      </c>
      <c r="Y281" s="36">
        <f t="shared" si="15"/>
        <v>0</v>
      </c>
      <c r="Z281" s="36"/>
      <c r="AA281" s="36"/>
      <c r="AB281" s="36"/>
      <c r="AC281" s="36"/>
      <c r="AD281" s="36"/>
      <c r="AE281" s="36"/>
      <c r="AF281" s="36"/>
    </row>
    <row r="282" spans="1:32" x14ac:dyDescent="0.2">
      <c r="A282" t="s">
        <v>279</v>
      </c>
      <c r="F282" s="36">
        <f t="shared" si="8"/>
        <v>0</v>
      </c>
      <c r="G282" s="36"/>
      <c r="H282" s="36"/>
      <c r="I282" s="44"/>
      <c r="J282" s="1">
        <f t="shared" si="9"/>
        <v>0</v>
      </c>
      <c r="L282" s="36">
        <f t="shared" si="10"/>
        <v>0</v>
      </c>
      <c r="M282" s="44"/>
      <c r="N282" s="36"/>
      <c r="O282" s="36">
        <f t="shared" si="11"/>
        <v>0</v>
      </c>
      <c r="P282" s="36"/>
      <c r="Q282" s="36"/>
      <c r="R282" s="36">
        <f t="shared" si="12"/>
        <v>0</v>
      </c>
      <c r="S282" s="36"/>
      <c r="T282" s="36"/>
      <c r="U282" s="36"/>
      <c r="V282" s="36"/>
      <c r="W282" s="36">
        <f t="shared" si="13"/>
        <v>0</v>
      </c>
      <c r="X282" s="255">
        <f t="shared" si="14"/>
        <v>0</v>
      </c>
      <c r="Y282" s="36">
        <f t="shared" si="15"/>
        <v>0</v>
      </c>
      <c r="Z282" s="36"/>
      <c r="AA282" s="36"/>
      <c r="AB282" s="36"/>
      <c r="AC282" s="36"/>
      <c r="AD282" s="36"/>
      <c r="AE282" s="36"/>
      <c r="AF282" s="36"/>
    </row>
    <row r="283" spans="1:32" x14ac:dyDescent="0.2">
      <c r="A283" t="s">
        <v>280</v>
      </c>
      <c r="F283" s="36">
        <f t="shared" si="8"/>
        <v>0</v>
      </c>
      <c r="G283" s="36"/>
      <c r="H283" s="36"/>
      <c r="I283" s="44"/>
      <c r="J283" s="1">
        <f t="shared" si="9"/>
        <v>0</v>
      </c>
      <c r="L283" s="36">
        <f t="shared" si="10"/>
        <v>0</v>
      </c>
      <c r="M283" s="44"/>
      <c r="N283" s="36"/>
      <c r="O283" s="36">
        <f t="shared" si="11"/>
        <v>0</v>
      </c>
      <c r="P283" s="36"/>
      <c r="Q283" s="36"/>
      <c r="R283" s="36">
        <f t="shared" si="12"/>
        <v>0</v>
      </c>
      <c r="S283" s="36"/>
      <c r="T283" s="36"/>
      <c r="U283" s="36"/>
      <c r="V283" s="36"/>
      <c r="W283" s="36">
        <f t="shared" si="13"/>
        <v>0</v>
      </c>
      <c r="X283" s="255">
        <f t="shared" si="14"/>
        <v>0</v>
      </c>
      <c r="Y283" s="36">
        <f t="shared" si="15"/>
        <v>0</v>
      </c>
      <c r="Z283" s="36"/>
      <c r="AA283" s="36"/>
      <c r="AB283" s="36"/>
      <c r="AC283" s="36"/>
      <c r="AD283" s="36"/>
      <c r="AE283" s="36"/>
      <c r="AF283" s="36"/>
    </row>
    <row r="284" spans="1:32" x14ac:dyDescent="0.2">
      <c r="A284" t="s">
        <v>390</v>
      </c>
      <c r="F284" s="36">
        <f t="shared" si="8"/>
        <v>0</v>
      </c>
      <c r="G284" s="36"/>
      <c r="H284" s="36"/>
      <c r="I284" s="44"/>
      <c r="J284" s="1">
        <f t="shared" si="9"/>
        <v>0</v>
      </c>
      <c r="L284" s="36">
        <f t="shared" si="10"/>
        <v>0</v>
      </c>
      <c r="M284" s="44"/>
      <c r="N284" s="36"/>
      <c r="O284" s="36">
        <f t="shared" si="11"/>
        <v>0</v>
      </c>
      <c r="P284" s="36"/>
      <c r="Q284" s="36"/>
      <c r="R284" s="36">
        <f t="shared" si="12"/>
        <v>0</v>
      </c>
      <c r="S284" s="36"/>
      <c r="T284" s="36"/>
      <c r="U284" s="36"/>
      <c r="V284" s="36"/>
      <c r="W284" s="36">
        <f t="shared" si="13"/>
        <v>0</v>
      </c>
      <c r="X284" s="255">
        <f t="shared" si="14"/>
        <v>0</v>
      </c>
      <c r="Y284" s="36">
        <f t="shared" si="15"/>
        <v>0</v>
      </c>
      <c r="Z284" s="36"/>
      <c r="AA284" s="36"/>
      <c r="AB284" s="36"/>
      <c r="AC284" s="36"/>
      <c r="AD284" s="36"/>
      <c r="AE284" s="36"/>
      <c r="AF284" s="36"/>
    </row>
    <row r="285" spans="1:32" x14ac:dyDescent="0.2">
      <c r="A285" t="s">
        <v>263</v>
      </c>
      <c r="F285" s="36">
        <f t="shared" si="8"/>
        <v>0</v>
      </c>
      <c r="G285" s="36"/>
      <c r="H285" s="36"/>
      <c r="I285" s="44"/>
      <c r="J285" s="1">
        <f t="shared" si="9"/>
        <v>0</v>
      </c>
      <c r="L285" s="36">
        <f t="shared" si="10"/>
        <v>0</v>
      </c>
      <c r="M285" s="44"/>
      <c r="N285" s="36"/>
      <c r="O285" s="36">
        <f t="shared" si="11"/>
        <v>0</v>
      </c>
      <c r="P285" s="36"/>
      <c r="Q285" s="36"/>
      <c r="R285" s="36">
        <f t="shared" si="12"/>
        <v>0</v>
      </c>
      <c r="S285" s="36"/>
      <c r="T285" s="36"/>
      <c r="U285" s="36"/>
      <c r="V285" s="36"/>
      <c r="W285" s="36">
        <f t="shared" si="13"/>
        <v>0</v>
      </c>
      <c r="X285" s="255">
        <f t="shared" si="14"/>
        <v>0</v>
      </c>
      <c r="Y285" s="36">
        <f t="shared" si="15"/>
        <v>0</v>
      </c>
      <c r="Z285" s="36"/>
      <c r="AA285" s="36"/>
      <c r="AB285" s="36"/>
      <c r="AC285" s="36"/>
      <c r="AD285" s="36"/>
      <c r="AE285" s="36"/>
      <c r="AF285" s="36"/>
    </row>
    <row r="286" spans="1:32" x14ac:dyDescent="0.2">
      <c r="A286" t="s">
        <v>55</v>
      </c>
      <c r="F286" s="36">
        <f t="shared" si="8"/>
        <v>0</v>
      </c>
      <c r="G286" s="36"/>
      <c r="H286" s="36"/>
      <c r="I286" s="44"/>
      <c r="J286" s="1">
        <f t="shared" si="9"/>
        <v>0</v>
      </c>
      <c r="L286" s="36">
        <f t="shared" si="10"/>
        <v>0</v>
      </c>
      <c r="M286" s="44"/>
      <c r="N286" s="36"/>
      <c r="O286" s="36">
        <f t="shared" si="11"/>
        <v>0</v>
      </c>
      <c r="P286" s="36"/>
      <c r="Q286" s="36"/>
      <c r="R286" s="36">
        <f t="shared" si="12"/>
        <v>0</v>
      </c>
      <c r="S286" s="36"/>
      <c r="T286" s="36"/>
      <c r="U286" s="36"/>
      <c r="V286" s="36"/>
      <c r="W286" s="36">
        <f t="shared" si="13"/>
        <v>0</v>
      </c>
      <c r="X286" s="255">
        <f t="shared" si="14"/>
        <v>0</v>
      </c>
      <c r="Y286" s="36">
        <f t="shared" si="15"/>
        <v>0</v>
      </c>
      <c r="Z286" s="36"/>
      <c r="AA286" s="36"/>
      <c r="AB286" s="36"/>
      <c r="AC286" s="36"/>
      <c r="AD286" s="36"/>
      <c r="AE286" s="36"/>
      <c r="AF286" s="36"/>
    </row>
    <row r="287" spans="1:32" x14ac:dyDescent="0.2">
      <c r="A287" t="s">
        <v>398</v>
      </c>
      <c r="F287" s="36"/>
      <c r="G287" s="36"/>
      <c r="H287" s="36"/>
      <c r="I287" s="44"/>
      <c r="L287" s="36">
        <f t="shared" si="10"/>
        <v>0</v>
      </c>
      <c r="M287" s="44"/>
      <c r="N287" s="36"/>
      <c r="O287" s="36">
        <f t="shared" si="11"/>
        <v>0</v>
      </c>
      <c r="P287" s="36"/>
      <c r="Q287" s="36"/>
      <c r="R287" s="36"/>
      <c r="S287" s="36"/>
      <c r="T287" s="36"/>
      <c r="U287" s="36"/>
      <c r="V287" s="36"/>
      <c r="W287" s="36"/>
      <c r="X287" s="255">
        <f t="shared" si="14"/>
        <v>0</v>
      </c>
      <c r="Y287" s="36">
        <f t="shared" si="15"/>
        <v>0</v>
      </c>
      <c r="Z287" s="36"/>
      <c r="AA287" s="36"/>
      <c r="AB287" s="36"/>
      <c r="AC287" s="36"/>
      <c r="AD287" s="36"/>
      <c r="AE287" s="36"/>
      <c r="AF287" s="36"/>
    </row>
    <row r="288" spans="1:32" x14ac:dyDescent="0.2">
      <c r="A288" t="s">
        <v>399</v>
      </c>
      <c r="F288" s="36"/>
      <c r="G288" s="36"/>
      <c r="H288" s="36"/>
      <c r="I288" s="44"/>
      <c r="L288" s="36">
        <f t="shared" si="10"/>
        <v>0</v>
      </c>
      <c r="M288" s="44"/>
      <c r="N288" s="36"/>
      <c r="O288" s="36">
        <f t="shared" si="11"/>
        <v>0</v>
      </c>
      <c r="P288" s="36"/>
      <c r="Q288" s="36"/>
      <c r="R288" s="36"/>
      <c r="S288" s="36"/>
      <c r="T288" s="36"/>
      <c r="U288" s="36"/>
      <c r="V288" s="36"/>
      <c r="W288" s="36"/>
      <c r="X288" s="255">
        <f t="shared" si="14"/>
        <v>0</v>
      </c>
      <c r="Y288" s="36">
        <f t="shared" si="15"/>
        <v>0</v>
      </c>
      <c r="Z288" s="36"/>
      <c r="AA288" s="36"/>
      <c r="AB288" s="36"/>
      <c r="AC288" s="36"/>
      <c r="AD288" s="36"/>
      <c r="AE288" s="36"/>
      <c r="AF288" s="36"/>
    </row>
    <row r="289" spans="1:32" s="468" customFormat="1" x14ac:dyDescent="0.2">
      <c r="A289" s="468" t="s">
        <v>1092</v>
      </c>
      <c r="F289" s="36"/>
      <c r="G289" s="36"/>
      <c r="H289" s="36"/>
      <c r="I289" s="44"/>
      <c r="J289" s="1"/>
      <c r="K289" s="1"/>
      <c r="L289" s="36"/>
      <c r="M289" s="44"/>
      <c r="N289" s="36"/>
      <c r="O289" s="36"/>
      <c r="P289" s="36"/>
      <c r="Q289" s="36"/>
      <c r="R289" s="36"/>
      <c r="S289" s="36"/>
      <c r="T289" s="36"/>
      <c r="U289" s="36">
        <f>L230</f>
        <v>0</v>
      </c>
      <c r="V289" s="36"/>
      <c r="W289" s="36"/>
      <c r="X289" s="255">
        <f>F289+H289+L289+O289+R289+U289</f>
        <v>0</v>
      </c>
      <c r="Y289" s="36">
        <f>G289+J289+N289+Q289+T289+W289</f>
        <v>0</v>
      </c>
      <c r="Z289" s="36"/>
      <c r="AA289" s="36"/>
      <c r="AB289" s="36"/>
      <c r="AC289" s="36"/>
      <c r="AD289" s="36"/>
      <c r="AE289" s="36"/>
      <c r="AF289" s="36"/>
    </row>
    <row r="290" spans="1:32" x14ac:dyDescent="0.2">
      <c r="A290" t="s">
        <v>433</v>
      </c>
      <c r="F290" s="36"/>
      <c r="G290" s="36"/>
      <c r="H290" s="36"/>
      <c r="I290" s="44"/>
      <c r="L290" s="36"/>
      <c r="M290" s="44"/>
      <c r="N290" s="36"/>
      <c r="O290" s="36"/>
      <c r="P290" s="36"/>
      <c r="Q290" s="36"/>
      <c r="R290" s="36"/>
      <c r="S290" s="36"/>
      <c r="T290" s="36">
        <f>N177</f>
        <v>0</v>
      </c>
      <c r="U290" s="36"/>
      <c r="V290" s="36"/>
      <c r="W290" s="36"/>
      <c r="X290" s="255">
        <f t="shared" si="14"/>
        <v>0</v>
      </c>
      <c r="Y290" s="36">
        <f t="shared" si="15"/>
        <v>0</v>
      </c>
      <c r="Z290" s="36"/>
      <c r="AA290" s="36"/>
      <c r="AB290" s="36"/>
      <c r="AC290" s="36"/>
      <c r="AD290" s="36"/>
      <c r="AE290" s="36"/>
      <c r="AF290" s="36"/>
    </row>
    <row r="291" spans="1:32" x14ac:dyDescent="0.2">
      <c r="A291" t="s">
        <v>708</v>
      </c>
      <c r="F291" s="36"/>
      <c r="G291" s="36">
        <f>J41+J63</f>
        <v>0</v>
      </c>
      <c r="H291" s="36">
        <f>L41+L63</f>
        <v>0</v>
      </c>
      <c r="I291" s="44"/>
      <c r="L291" s="36"/>
      <c r="M291" s="44"/>
      <c r="N291" s="36"/>
      <c r="O291" s="36"/>
      <c r="P291" s="36"/>
      <c r="Q291" s="36"/>
      <c r="R291" s="36"/>
      <c r="S291" s="36"/>
      <c r="T291" s="36"/>
      <c r="U291" s="36"/>
      <c r="V291" s="36"/>
      <c r="W291" s="36"/>
      <c r="X291" s="255">
        <f t="shared" si="14"/>
        <v>0</v>
      </c>
      <c r="Y291" s="36">
        <f t="shared" si="15"/>
        <v>0</v>
      </c>
      <c r="Z291" s="36"/>
      <c r="AA291" s="36"/>
      <c r="AB291" s="36"/>
      <c r="AC291" s="36"/>
      <c r="AD291" s="36"/>
      <c r="AE291" s="36"/>
      <c r="AF291" s="36"/>
    </row>
    <row r="292" spans="1:32" x14ac:dyDescent="0.2">
      <c r="A292" t="s">
        <v>132</v>
      </c>
      <c r="F292" s="36"/>
      <c r="G292" s="36"/>
      <c r="H292" s="36"/>
      <c r="I292" s="44"/>
      <c r="L292" s="36"/>
      <c r="M292" s="44"/>
      <c r="N292" s="36">
        <f>N71-N73+N75</f>
        <v>0</v>
      </c>
      <c r="O292" s="36"/>
      <c r="P292" s="36"/>
      <c r="Q292" s="36"/>
      <c r="R292" s="36"/>
      <c r="S292" s="36"/>
      <c r="T292" s="36"/>
      <c r="U292" s="36"/>
      <c r="V292" s="36"/>
      <c r="W292" s="36"/>
      <c r="X292" s="255">
        <f t="shared" si="14"/>
        <v>0</v>
      </c>
      <c r="Y292" s="36">
        <f t="shared" si="15"/>
        <v>0</v>
      </c>
      <c r="Z292" s="36"/>
      <c r="AA292" s="36"/>
      <c r="AB292" s="36"/>
      <c r="AC292" s="36"/>
      <c r="AD292" s="36"/>
      <c r="AE292" s="36"/>
      <c r="AF292" s="36"/>
    </row>
    <row r="293" spans="1:32" x14ac:dyDescent="0.2">
      <c r="A293" t="str">
        <f>'Conversion Worksheet'!C100</f>
        <v>Other long-term liability #1</v>
      </c>
      <c r="F293" s="36"/>
      <c r="G293" s="36"/>
      <c r="H293" s="36"/>
      <c r="I293" s="44"/>
      <c r="L293" s="36"/>
      <c r="M293" s="44"/>
      <c r="N293" s="36"/>
      <c r="O293" s="36"/>
      <c r="P293" s="36"/>
      <c r="Q293" s="36">
        <f>N108+N110+N114-N112</f>
        <v>0</v>
      </c>
      <c r="R293" s="36"/>
      <c r="S293" s="36"/>
      <c r="T293" s="36"/>
      <c r="U293" s="36"/>
      <c r="V293" s="36"/>
      <c r="W293" s="36"/>
      <c r="X293" s="255">
        <f t="shared" si="14"/>
        <v>0</v>
      </c>
      <c r="Y293" s="36">
        <f t="shared" si="15"/>
        <v>0</v>
      </c>
      <c r="Z293" s="36"/>
      <c r="AA293" s="36"/>
      <c r="AB293" s="36"/>
      <c r="AC293" s="36"/>
      <c r="AD293" s="36"/>
      <c r="AE293" s="36"/>
      <c r="AF293" s="36"/>
    </row>
    <row r="294" spans="1:32" x14ac:dyDescent="0.2">
      <c r="A294" t="str">
        <f>'Conversion Worksheet'!C101</f>
        <v>Other long-term liability #2</v>
      </c>
      <c r="F294" s="36"/>
      <c r="G294" s="36"/>
      <c r="H294" s="36"/>
      <c r="I294" s="44"/>
      <c r="L294" s="36"/>
      <c r="M294" s="44"/>
      <c r="N294" s="36"/>
      <c r="O294" s="36"/>
      <c r="P294" s="36"/>
      <c r="Q294" s="36">
        <f>O110+O114-O112</f>
        <v>0</v>
      </c>
      <c r="R294" s="36"/>
      <c r="S294" s="36"/>
      <c r="T294" s="36"/>
      <c r="U294" s="36"/>
      <c r="V294" s="36"/>
      <c r="W294" s="36"/>
      <c r="X294" s="255">
        <f t="shared" si="14"/>
        <v>0</v>
      </c>
      <c r="Y294" s="36">
        <f t="shared" si="15"/>
        <v>0</v>
      </c>
      <c r="Z294" s="36"/>
      <c r="AA294" s="36"/>
      <c r="AB294" s="36"/>
      <c r="AC294" s="36"/>
      <c r="AD294" s="36"/>
      <c r="AE294" s="36"/>
      <c r="AF294" s="36"/>
    </row>
    <row r="295" spans="1:32" ht="13.5" thickBot="1" x14ac:dyDescent="0.25">
      <c r="F295" s="254">
        <f>SUM(F270:F294)</f>
        <v>0</v>
      </c>
      <c r="G295" s="254">
        <f>SUM(G270:G294)</f>
        <v>0</v>
      </c>
      <c r="H295" s="254">
        <f>SUM(H270:H294)</f>
        <v>0</v>
      </c>
      <c r="I295" s="254"/>
      <c r="J295" s="254">
        <f>SUM(J270:J294)</f>
        <v>0</v>
      </c>
      <c r="K295" s="254"/>
      <c r="L295" s="254">
        <f>SUM(L270:L294)</f>
        <v>0</v>
      </c>
      <c r="M295" s="254"/>
      <c r="N295" s="254">
        <f>SUM(N270:N294)</f>
        <v>0</v>
      </c>
      <c r="O295" s="254">
        <f>SUM(O270:O294)</f>
        <v>0</v>
      </c>
      <c r="P295" s="254"/>
      <c r="Q295" s="254">
        <f>SUM(Q270:Q294)</f>
        <v>0</v>
      </c>
      <c r="R295" s="254">
        <f>SUM(R270:R294)</f>
        <v>0</v>
      </c>
      <c r="S295" s="254"/>
      <c r="T295" s="254">
        <f>SUM(T270:T294)</f>
        <v>0</v>
      </c>
      <c r="U295" s="254">
        <f>SUM(U270:U294)</f>
        <v>0</v>
      </c>
      <c r="V295" s="254"/>
      <c r="W295" s="254">
        <f>SUM(W270:W294)</f>
        <v>0</v>
      </c>
      <c r="X295" s="256">
        <f>SUM(X270:X294)</f>
        <v>0</v>
      </c>
      <c r="Y295" s="254">
        <f>SUM(Y270:Y294)</f>
        <v>0</v>
      </c>
      <c r="Z295" s="36"/>
      <c r="AA295" s="36"/>
      <c r="AB295" s="36"/>
      <c r="AC295" s="36"/>
      <c r="AD295" s="36"/>
      <c r="AE295" s="36"/>
      <c r="AF295" s="36"/>
    </row>
    <row r="296" spans="1:32" ht="13.5" thickTop="1" x14ac:dyDescent="0.2">
      <c r="F296" s="257">
        <f>F295-G295</f>
        <v>0</v>
      </c>
      <c r="G296" s="36"/>
      <c r="H296" s="257">
        <f>H295-J295</f>
        <v>0</v>
      </c>
      <c r="I296" s="44"/>
      <c r="L296" s="257">
        <f>L295-N295</f>
        <v>0</v>
      </c>
      <c r="M296" s="44"/>
      <c r="N296" s="36"/>
      <c r="O296" s="257">
        <f>O295-Q295</f>
        <v>0</v>
      </c>
      <c r="P296" s="36"/>
      <c r="Q296" s="36"/>
      <c r="R296" s="36"/>
      <c r="S296" s="36"/>
      <c r="T296" s="36"/>
      <c r="U296" s="36"/>
      <c r="V296" s="36"/>
      <c r="W296" s="36"/>
      <c r="X296" s="257">
        <f>X295-Y295</f>
        <v>0</v>
      </c>
      <c r="Y296" s="36"/>
      <c r="Z296" s="36"/>
      <c r="AA296" s="36"/>
      <c r="AB296" s="36"/>
      <c r="AC296" s="36"/>
      <c r="AD296" s="36"/>
      <c r="AE296" s="36"/>
      <c r="AF296" s="36"/>
    </row>
  </sheetData>
  <sheetProtection algorithmName="SHA-512" hashValue="ZuefWKGiaw7o9WMQ3y8c1uAtDryIIITFdhiiJnRuoJ8Np7iCXDr6mHZBa5pZ6dTeKjryUDo4H5wfStTV4T7RGA==" saltValue="YY90xvr1jgrZ70WUzrD7HQ==" spinCount="100000" sheet="1" objects="1" scenarios="1"/>
  <mergeCells count="54">
    <mergeCell ref="C81:P82"/>
    <mergeCell ref="B12:O12"/>
    <mergeCell ref="B14:O14"/>
    <mergeCell ref="B19:P19"/>
    <mergeCell ref="O99:O102"/>
    <mergeCell ref="B66:P66"/>
    <mergeCell ref="L99:L102"/>
    <mergeCell ref="H99:H102"/>
    <mergeCell ref="B16:N16"/>
    <mergeCell ref="H267:J267"/>
    <mergeCell ref="F267:G267"/>
    <mergeCell ref="F266:G266"/>
    <mergeCell ref="C114:J115"/>
    <mergeCell ref="H145:H147"/>
    <mergeCell ref="J145:J147"/>
    <mergeCell ref="C151:L151"/>
    <mergeCell ref="C153:L153"/>
    <mergeCell ref="C157:P158"/>
    <mergeCell ref="B233:P233"/>
    <mergeCell ref="C110:J110"/>
    <mergeCell ref="C112:J112"/>
    <mergeCell ref="B105:P105"/>
    <mergeCell ref="B180:O180"/>
    <mergeCell ref="C211:J211"/>
    <mergeCell ref="P114:P115"/>
    <mergeCell ref="O114:O115"/>
    <mergeCell ref="L122:O122"/>
    <mergeCell ref="G122:J122"/>
    <mergeCell ref="C119:L120"/>
    <mergeCell ref="L114:L115"/>
    <mergeCell ref="N114:N115"/>
    <mergeCell ref="X266:Y266"/>
    <mergeCell ref="H266:J266"/>
    <mergeCell ref="L266:N266"/>
    <mergeCell ref="O266:Q266"/>
    <mergeCell ref="O145:O147"/>
    <mergeCell ref="L145:L147"/>
    <mergeCell ref="O174:O176"/>
    <mergeCell ref="R266:T266"/>
    <mergeCell ref="B149:P149"/>
    <mergeCell ref="G145:G147"/>
    <mergeCell ref="A263:O264"/>
    <mergeCell ref="N145:N147"/>
    <mergeCell ref="U266:W266"/>
    <mergeCell ref="C182:H182"/>
    <mergeCell ref="A2:Q2"/>
    <mergeCell ref="A4:Q4"/>
    <mergeCell ref="B6:Q7"/>
    <mergeCell ref="B9:Q10"/>
    <mergeCell ref="C75:J77"/>
    <mergeCell ref="J21:L21"/>
    <mergeCell ref="J43:L43"/>
    <mergeCell ref="N75:N76"/>
    <mergeCell ref="O75:O76"/>
  </mergeCells>
  <phoneticPr fontId="0" type="noConversion"/>
  <printOptions horizontalCentered="1"/>
  <pageMargins left="0.51" right="0.33" top="0.66" bottom="0.5" header="0.5" footer="0.5"/>
  <pageSetup scale="63" orientation="portrait" r:id="rId1"/>
  <headerFooter alignWithMargins="0">
    <oddHeader>&amp;R&amp;"Arial,Bold"&amp;12Entry H</oddHeader>
    <oddFooter>&amp;R&amp;P</oddFooter>
  </headerFooter>
  <rowBreaks count="4" manualBreakCount="4">
    <brk id="65" max="16" man="1"/>
    <brk id="103" max="16" man="1"/>
    <brk id="232" max="16" man="1"/>
    <brk id="261" max="18" man="1"/>
  </rowBreaks>
  <ignoredErrors>
    <ignoredError sqref="A6 A9 B119 B68 B71 B73 B75 B79 B81 B108 B110 B112 B114 B1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Q336"/>
  <sheetViews>
    <sheetView topLeftCell="A287" workbookViewId="0">
      <selection activeCell="A11" sqref="A11"/>
    </sheetView>
  </sheetViews>
  <sheetFormatPr defaultRowHeight="12.75" x14ac:dyDescent="0.2"/>
  <cols>
    <col min="1" max="1" width="4.42578125" customWidth="1"/>
    <col min="2" max="2" width="3.42578125" customWidth="1"/>
    <col min="4" max="4" width="4.5703125" customWidth="1"/>
    <col min="5" max="5" width="12.28515625" customWidth="1"/>
    <col min="6" max="6" width="17.85546875" customWidth="1"/>
    <col min="7" max="7" width="11.28515625" customWidth="1"/>
    <col min="8" max="8" width="13.7109375" customWidth="1"/>
    <col min="9" max="9" width="16.28515625" customWidth="1"/>
    <col min="10" max="10" width="18.28515625" customWidth="1"/>
    <col min="11" max="11" width="1.140625" customWidth="1"/>
    <col min="12" max="12" width="18.28515625" customWidth="1"/>
    <col min="13" max="13" width="2.140625" customWidth="1"/>
    <col min="14" max="14" width="22" bestFit="1" customWidth="1"/>
    <col min="15" max="15" width="0.85546875" customWidth="1"/>
    <col min="16" max="16" width="4.7109375" customWidth="1"/>
  </cols>
  <sheetData>
    <row r="1" spans="1:16" ht="7.5" customHeight="1" x14ac:dyDescent="0.2"/>
    <row r="2" spans="1:16" ht="33.75" customHeight="1" x14ac:dyDescent="0.25">
      <c r="A2" s="1107" t="s">
        <v>195</v>
      </c>
      <c r="B2" s="1108"/>
      <c r="C2" s="1108"/>
      <c r="D2" s="1108"/>
      <c r="E2" s="1108"/>
      <c r="F2" s="1108"/>
      <c r="G2" s="1108"/>
      <c r="H2" s="1108"/>
      <c r="I2" s="1108"/>
      <c r="J2" s="1108"/>
      <c r="K2" s="1108"/>
      <c r="L2" s="1108"/>
      <c r="M2" s="1108"/>
      <c r="N2" s="1109"/>
    </row>
    <row r="3" spans="1:16" ht="12" customHeight="1" x14ac:dyDescent="0.2">
      <c r="H3" s="40"/>
    </row>
    <row r="4" spans="1:16" ht="63.75" customHeight="1" x14ac:dyDescent="0.2">
      <c r="A4" s="1114" t="s">
        <v>772</v>
      </c>
      <c r="B4" s="1011"/>
      <c r="C4" s="1011"/>
      <c r="D4" s="1011"/>
      <c r="E4" s="1011"/>
      <c r="F4" s="1011"/>
      <c r="G4" s="1011"/>
      <c r="H4" s="1011"/>
      <c r="I4" s="1011"/>
      <c r="J4" s="1011"/>
      <c r="K4" s="1011"/>
      <c r="L4" s="1011"/>
      <c r="M4" s="1011"/>
      <c r="N4" s="1011"/>
      <c r="O4" s="34"/>
      <c r="P4" s="34"/>
    </row>
    <row r="5" spans="1:16" ht="5.25" customHeight="1" x14ac:dyDescent="0.2">
      <c r="B5" s="34"/>
      <c r="C5" s="35"/>
      <c r="D5" s="35"/>
      <c r="E5" s="35"/>
      <c r="F5" s="35"/>
      <c r="G5" s="35"/>
      <c r="H5" s="35"/>
      <c r="I5" s="35"/>
      <c r="J5" s="35"/>
      <c r="K5" s="35"/>
      <c r="L5" s="35"/>
      <c r="M5" s="35"/>
      <c r="N5" s="35"/>
      <c r="O5" s="35"/>
      <c r="P5" s="35"/>
    </row>
    <row r="6" spans="1:16" ht="12.75" customHeight="1" x14ac:dyDescent="0.2">
      <c r="A6" s="4"/>
      <c r="B6" s="39" t="s">
        <v>662</v>
      </c>
      <c r="C6" s="1012" t="s">
        <v>486</v>
      </c>
      <c r="D6" s="1012"/>
      <c r="E6" s="1012"/>
      <c r="F6" s="1012"/>
      <c r="G6" s="1012"/>
      <c r="H6" s="1012"/>
      <c r="I6" s="1012"/>
      <c r="J6" s="1012"/>
      <c r="K6" s="1012"/>
      <c r="L6" s="1012"/>
      <c r="M6" s="1012"/>
      <c r="N6" s="1012"/>
      <c r="O6" s="35"/>
      <c r="P6" s="35"/>
    </row>
    <row r="7" spans="1:16" ht="39.75" customHeight="1" x14ac:dyDescent="0.2">
      <c r="A7" s="4"/>
      <c r="B7" s="39"/>
      <c r="C7" s="1012"/>
      <c r="D7" s="1012"/>
      <c r="E7" s="1012"/>
      <c r="F7" s="1012"/>
      <c r="G7" s="1012"/>
      <c r="H7" s="1012"/>
      <c r="I7" s="1012"/>
      <c r="J7" s="1012"/>
      <c r="K7" s="1012"/>
      <c r="L7" s="1012"/>
      <c r="M7" s="1012"/>
      <c r="N7" s="1012"/>
      <c r="O7" s="35"/>
      <c r="P7" s="35"/>
    </row>
    <row r="8" spans="1:16" ht="4.5" customHeight="1" x14ac:dyDescent="0.2">
      <c r="B8" s="39"/>
      <c r="C8" s="35"/>
      <c r="D8" s="35"/>
      <c r="E8" s="35"/>
      <c r="F8" s="35"/>
      <c r="G8" s="35"/>
      <c r="H8" s="35"/>
      <c r="I8" s="35"/>
      <c r="J8" s="35"/>
      <c r="K8" s="35"/>
      <c r="L8" s="35"/>
      <c r="M8" s="35"/>
      <c r="N8" s="35"/>
      <c r="O8" s="35"/>
      <c r="P8" s="35"/>
    </row>
    <row r="9" spans="1:16" ht="12.75" customHeight="1" x14ac:dyDescent="0.2">
      <c r="B9" s="39" t="s">
        <v>663</v>
      </c>
      <c r="C9" s="1134" t="s">
        <v>756</v>
      </c>
      <c r="D9" s="1012"/>
      <c r="E9" s="1012"/>
      <c r="F9" s="1012"/>
      <c r="G9" s="1012"/>
      <c r="H9" s="1012"/>
      <c r="I9" s="1012"/>
      <c r="J9" s="1012"/>
      <c r="K9" s="1012"/>
      <c r="L9" s="1012"/>
      <c r="M9" s="1012"/>
      <c r="N9" s="1012"/>
      <c r="O9" s="35"/>
      <c r="P9" s="35"/>
    </row>
    <row r="10" spans="1:16" ht="44.25" customHeight="1" x14ac:dyDescent="0.2">
      <c r="B10" s="39"/>
      <c r="C10" s="1012"/>
      <c r="D10" s="1012"/>
      <c r="E10" s="1012"/>
      <c r="F10" s="1012"/>
      <c r="G10" s="1012"/>
      <c r="H10" s="1012"/>
      <c r="I10" s="1012"/>
      <c r="J10" s="1012"/>
      <c r="K10" s="1012"/>
      <c r="L10" s="1012"/>
      <c r="M10" s="1012"/>
      <c r="N10" s="1012"/>
      <c r="O10" s="35"/>
      <c r="P10" s="35"/>
    </row>
    <row r="11" spans="1:16" ht="4.5" customHeight="1" x14ac:dyDescent="0.2">
      <c r="B11" s="39"/>
      <c r="C11" s="34"/>
      <c r="D11" s="35"/>
      <c r="E11" s="35"/>
      <c r="F11" s="35"/>
      <c r="G11" s="35"/>
      <c r="H11" s="35"/>
      <c r="I11" s="35"/>
      <c r="J11" s="35"/>
      <c r="K11" s="35"/>
      <c r="L11" s="35"/>
      <c r="M11" s="35"/>
      <c r="N11" s="35"/>
      <c r="O11" s="35"/>
      <c r="P11" s="35"/>
    </row>
    <row r="12" spans="1:16" ht="12.75" customHeight="1" x14ac:dyDescent="0.2">
      <c r="B12" s="39" t="s">
        <v>664</v>
      </c>
      <c r="C12" s="1011" t="s">
        <v>487</v>
      </c>
      <c r="D12" s="1011"/>
      <c r="E12" s="1011"/>
      <c r="F12" s="1011"/>
      <c r="G12" s="1011"/>
      <c r="H12" s="1011"/>
      <c r="I12" s="1011"/>
      <c r="J12" s="1011"/>
      <c r="K12" s="1011"/>
      <c r="L12" s="1011"/>
      <c r="M12" s="1011"/>
      <c r="N12" s="1011"/>
      <c r="O12" s="35"/>
      <c r="P12" s="35"/>
    </row>
    <row r="13" spans="1:16" ht="11.25" customHeight="1" x14ac:dyDescent="0.2">
      <c r="B13" s="39"/>
      <c r="C13" s="1011"/>
      <c r="D13" s="1011"/>
      <c r="E13" s="1011"/>
      <c r="F13" s="1011"/>
      <c r="G13" s="1011"/>
      <c r="H13" s="1011"/>
      <c r="I13" s="1011"/>
      <c r="J13" s="1011"/>
      <c r="K13" s="1011"/>
      <c r="L13" s="1011"/>
      <c r="M13" s="1011"/>
      <c r="N13" s="1011"/>
      <c r="O13" s="35"/>
      <c r="P13" s="35"/>
    </row>
    <row r="14" spans="1:16" ht="3.75" customHeight="1" x14ac:dyDescent="0.2">
      <c r="B14" s="39"/>
      <c r="C14" s="34"/>
      <c r="D14" s="35"/>
      <c r="E14" s="35"/>
      <c r="F14" s="35"/>
      <c r="G14" s="35"/>
      <c r="H14" s="35"/>
      <c r="I14" s="35"/>
      <c r="J14" s="35"/>
      <c r="K14" s="35"/>
      <c r="L14" s="35"/>
      <c r="M14" s="35"/>
      <c r="N14" s="35"/>
      <c r="O14" s="35"/>
      <c r="P14" s="35"/>
    </row>
    <row r="15" spans="1:16" ht="11.25" customHeight="1" x14ac:dyDescent="0.2">
      <c r="B15" s="39" t="s">
        <v>343</v>
      </c>
      <c r="C15" s="1012" t="s">
        <v>732</v>
      </c>
      <c r="D15" s="1012"/>
      <c r="E15" s="1012"/>
      <c r="F15" s="1012"/>
      <c r="G15" s="1012"/>
      <c r="H15" s="1012"/>
      <c r="I15" s="1012"/>
      <c r="J15" s="1012"/>
      <c r="K15" s="1012"/>
      <c r="L15" s="1012"/>
      <c r="M15" s="1012"/>
      <c r="N15" s="1012"/>
      <c r="O15" s="35"/>
      <c r="P15" s="35"/>
    </row>
    <row r="16" spans="1:16" ht="30.75" customHeight="1" x14ac:dyDescent="0.2">
      <c r="B16" s="39"/>
      <c r="C16" s="1012"/>
      <c r="D16" s="1012"/>
      <c r="E16" s="1012"/>
      <c r="F16" s="1012"/>
      <c r="G16" s="1012"/>
      <c r="H16" s="1012"/>
      <c r="I16" s="1012"/>
      <c r="J16" s="1012"/>
      <c r="K16" s="1012"/>
      <c r="L16" s="1012"/>
      <c r="M16" s="1012"/>
      <c r="N16" s="1012"/>
      <c r="O16" s="35"/>
      <c r="P16" s="35"/>
    </row>
    <row r="17" spans="1:16" ht="3.75" customHeight="1" x14ac:dyDescent="0.2">
      <c r="B17" s="39"/>
      <c r="C17" s="34"/>
      <c r="D17" s="35"/>
      <c r="E17" s="35"/>
      <c r="F17" s="35"/>
      <c r="G17" s="35"/>
      <c r="H17" s="35"/>
      <c r="I17" s="35"/>
      <c r="J17" s="35"/>
      <c r="K17" s="35"/>
      <c r="L17" s="35"/>
      <c r="M17" s="35"/>
      <c r="N17" s="35"/>
      <c r="O17" s="35"/>
      <c r="P17" s="35"/>
    </row>
    <row r="18" spans="1:16" ht="11.25" customHeight="1" x14ac:dyDescent="0.2">
      <c r="B18" s="39" t="s">
        <v>344</v>
      </c>
      <c r="C18" s="1134" t="s">
        <v>757</v>
      </c>
      <c r="D18" s="1012"/>
      <c r="E18" s="1012"/>
      <c r="F18" s="1012"/>
      <c r="G18" s="1012"/>
      <c r="H18" s="1012"/>
      <c r="I18" s="1012"/>
      <c r="J18" s="1012"/>
      <c r="K18" s="1012"/>
      <c r="L18" s="1012"/>
      <c r="M18" s="1012"/>
      <c r="N18" s="1012"/>
      <c r="O18" s="35"/>
      <c r="P18" s="35"/>
    </row>
    <row r="19" spans="1:16" ht="46.5" customHeight="1" x14ac:dyDescent="0.2">
      <c r="B19" s="39"/>
      <c r="C19" s="1012"/>
      <c r="D19" s="1012"/>
      <c r="E19" s="1012"/>
      <c r="F19" s="1012"/>
      <c r="G19" s="1012"/>
      <c r="H19" s="1012"/>
      <c r="I19" s="1012"/>
      <c r="J19" s="1012"/>
      <c r="K19" s="1012"/>
      <c r="L19" s="1012"/>
      <c r="M19" s="1012"/>
      <c r="N19" s="1012"/>
      <c r="O19" s="35"/>
      <c r="P19" s="35"/>
    </row>
    <row r="20" spans="1:16" ht="3.75" customHeight="1" x14ac:dyDescent="0.2">
      <c r="B20" s="39"/>
      <c r="C20" s="34"/>
      <c r="D20" s="35"/>
      <c r="E20" s="35"/>
      <c r="F20" s="35"/>
      <c r="G20" s="35"/>
      <c r="H20" s="35"/>
      <c r="I20" s="35"/>
      <c r="J20" s="35"/>
      <c r="K20" s="35"/>
      <c r="L20" s="35"/>
      <c r="M20" s="35"/>
      <c r="N20" s="35"/>
      <c r="O20" s="35"/>
      <c r="P20" s="35"/>
    </row>
    <row r="21" spans="1:16" ht="12.75" customHeight="1" x14ac:dyDescent="0.2">
      <c r="B21" s="240" t="s">
        <v>186</v>
      </c>
      <c r="C21" s="1134" t="s">
        <v>758</v>
      </c>
      <c r="D21" s="1012"/>
      <c r="E21" s="1012"/>
      <c r="F21" s="1012"/>
      <c r="G21" s="1012"/>
      <c r="H21" s="1012"/>
      <c r="I21" s="1012"/>
      <c r="J21" s="1012"/>
      <c r="K21" s="1012"/>
      <c r="L21" s="1012"/>
      <c r="M21" s="1012"/>
      <c r="N21" s="1012"/>
      <c r="O21" s="35"/>
      <c r="P21" s="35"/>
    </row>
    <row r="22" spans="1:16" ht="12.75" customHeight="1" x14ac:dyDescent="0.2">
      <c r="B22" s="39"/>
      <c r="C22" s="1012"/>
      <c r="D22" s="1012"/>
      <c r="E22" s="1012"/>
      <c r="F22" s="1012"/>
      <c r="G22" s="1012"/>
      <c r="H22" s="1012"/>
      <c r="I22" s="1012"/>
      <c r="J22" s="1012"/>
      <c r="K22" s="1012"/>
      <c r="L22" s="1012"/>
      <c r="M22" s="1012"/>
      <c r="N22" s="1012"/>
      <c r="O22" s="35"/>
      <c r="P22" s="35"/>
    </row>
    <row r="23" spans="1:16" ht="12.75" customHeight="1" x14ac:dyDescent="0.2">
      <c r="B23" s="39"/>
      <c r="C23" s="1012"/>
      <c r="D23" s="1012"/>
      <c r="E23" s="1012"/>
      <c r="F23" s="1012"/>
      <c r="G23" s="1012"/>
      <c r="H23" s="1012"/>
      <c r="I23" s="1012"/>
      <c r="J23" s="1012"/>
      <c r="K23" s="1012"/>
      <c r="L23" s="1012"/>
      <c r="M23" s="1012"/>
      <c r="N23" s="1012"/>
      <c r="O23" s="35"/>
      <c r="P23" s="35"/>
    </row>
    <row r="24" spans="1:16" ht="12.75" customHeight="1" x14ac:dyDescent="0.2">
      <c r="B24" s="39"/>
      <c r="C24" s="1012"/>
      <c r="D24" s="1012"/>
      <c r="E24" s="1012"/>
      <c r="F24" s="1012"/>
      <c r="G24" s="1012"/>
      <c r="H24" s="1012"/>
      <c r="I24" s="1012"/>
      <c r="J24" s="1012"/>
      <c r="K24" s="1012"/>
      <c r="L24" s="1012"/>
      <c r="M24" s="1012"/>
      <c r="N24" s="1012"/>
      <c r="O24" s="35"/>
      <c r="P24" s="35"/>
    </row>
    <row r="25" spans="1:16" ht="27" customHeight="1" x14ac:dyDescent="0.2">
      <c r="B25" s="39"/>
      <c r="C25" s="1012"/>
      <c r="D25" s="1012"/>
      <c r="E25" s="1012"/>
      <c r="F25" s="1012"/>
      <c r="G25" s="1012"/>
      <c r="H25" s="1012"/>
      <c r="I25" s="1012"/>
      <c r="J25" s="1012"/>
      <c r="K25" s="1012"/>
      <c r="L25" s="1012"/>
      <c r="M25" s="1012"/>
      <c r="N25" s="1012"/>
      <c r="O25" s="35"/>
      <c r="P25" s="35"/>
    </row>
    <row r="26" spans="1:16" ht="3.75" customHeight="1" x14ac:dyDescent="0.2">
      <c r="B26" s="39"/>
      <c r="C26" s="165"/>
      <c r="D26" s="165"/>
      <c r="E26" s="165"/>
      <c r="F26" s="165"/>
      <c r="G26" s="165"/>
      <c r="H26" s="165"/>
      <c r="I26" s="165"/>
      <c r="J26" s="165"/>
      <c r="K26" s="165"/>
      <c r="L26" s="165"/>
      <c r="M26" s="165"/>
      <c r="N26" s="165"/>
      <c r="O26" s="35"/>
      <c r="P26" s="35"/>
    </row>
    <row r="27" spans="1:16" x14ac:dyDescent="0.2">
      <c r="B27" s="54" t="s">
        <v>20</v>
      </c>
      <c r="C27" s="1114" t="s">
        <v>759</v>
      </c>
      <c r="D27" s="1011"/>
      <c r="E27" s="1011"/>
      <c r="F27" s="1011"/>
      <c r="G27" s="1011"/>
      <c r="H27" s="1011"/>
      <c r="I27" s="1011"/>
      <c r="J27" s="1011"/>
      <c r="K27" s="1011"/>
      <c r="L27" s="1011"/>
      <c r="M27" s="1011"/>
      <c r="N27" s="1011"/>
      <c r="O27" s="35"/>
      <c r="P27" s="35"/>
    </row>
    <row r="28" spans="1:16" x14ac:dyDescent="0.2">
      <c r="B28" s="240"/>
      <c r="C28" s="1011"/>
      <c r="D28" s="1011"/>
      <c r="E28" s="1011"/>
      <c r="F28" s="1011"/>
      <c r="G28" s="1011"/>
      <c r="H28" s="1011"/>
      <c r="I28" s="1011"/>
      <c r="J28" s="1011"/>
      <c r="K28" s="1011"/>
      <c r="L28" s="1011"/>
      <c r="M28" s="1011"/>
      <c r="N28" s="1011"/>
      <c r="O28" s="35"/>
      <c r="P28" s="35"/>
    </row>
    <row r="29" spans="1:16" x14ac:dyDescent="0.2">
      <c r="B29" s="240"/>
      <c r="C29" s="1011"/>
      <c r="D29" s="1011"/>
      <c r="E29" s="1011"/>
      <c r="F29" s="1011"/>
      <c r="G29" s="1011"/>
      <c r="H29" s="1011"/>
      <c r="I29" s="1011"/>
      <c r="J29" s="1011"/>
      <c r="K29" s="1011"/>
      <c r="L29" s="1011"/>
      <c r="M29" s="1011"/>
      <c r="N29" s="1011"/>
      <c r="O29" s="35"/>
      <c r="P29" s="35"/>
    </row>
    <row r="30" spans="1:16" x14ac:dyDescent="0.2">
      <c r="B30" s="39"/>
      <c r="C30" s="246"/>
      <c r="D30" s="246"/>
      <c r="E30" s="246"/>
      <c r="F30" s="246"/>
      <c r="G30" s="246"/>
      <c r="H30" s="246"/>
      <c r="I30" s="246"/>
      <c r="J30" s="246"/>
      <c r="K30" s="246"/>
      <c r="L30" s="246"/>
      <c r="M30" s="246"/>
      <c r="N30" s="246"/>
      <c r="O30" s="35"/>
      <c r="P30" s="35"/>
    </row>
    <row r="31" spans="1:16" ht="25.5" customHeight="1" x14ac:dyDescent="0.2">
      <c r="A31" s="4" t="s">
        <v>341</v>
      </c>
      <c r="B31" s="1111" t="s">
        <v>731</v>
      </c>
      <c r="C31" s="1112"/>
      <c r="D31" s="1112"/>
      <c r="E31" s="1112"/>
      <c r="F31" s="1112"/>
      <c r="G31" s="1112"/>
      <c r="H31" s="1112"/>
      <c r="I31" s="1112"/>
      <c r="J31" s="1112"/>
      <c r="K31" s="1112"/>
      <c r="L31" s="1112"/>
      <c r="M31" s="1112"/>
      <c r="N31" s="1113"/>
      <c r="O31" s="35"/>
      <c r="P31" s="35"/>
    </row>
    <row r="34" spans="1:14" x14ac:dyDescent="0.2">
      <c r="B34" s="38" t="s">
        <v>662</v>
      </c>
      <c r="C34" s="1011" t="s">
        <v>103</v>
      </c>
      <c r="D34" s="1011"/>
      <c r="E34" s="1011"/>
      <c r="F34" s="1011"/>
      <c r="G34" s="1011"/>
      <c r="H34" s="1011"/>
      <c r="I34" s="1011"/>
      <c r="J34" s="1011"/>
      <c r="K34" s="1011"/>
      <c r="L34" s="1011"/>
      <c r="N34" s="1145"/>
    </row>
    <row r="35" spans="1:14" ht="12" customHeight="1" x14ac:dyDescent="0.2">
      <c r="C35" s="1011"/>
      <c r="D35" s="1011"/>
      <c r="E35" s="1011"/>
      <c r="F35" s="1011"/>
      <c r="G35" s="1011"/>
      <c r="H35" s="1011"/>
      <c r="I35" s="1011"/>
      <c r="J35" s="1011"/>
      <c r="K35" s="1011"/>
      <c r="L35" s="1011"/>
      <c r="N35" s="1145"/>
    </row>
    <row r="36" spans="1:14" x14ac:dyDescent="0.2">
      <c r="C36" s="6"/>
      <c r="N36" s="36"/>
    </row>
    <row r="37" spans="1:14" x14ac:dyDescent="0.2">
      <c r="C37" s="6"/>
    </row>
    <row r="38" spans="1:14" ht="25.5" customHeight="1" x14ac:dyDescent="0.2">
      <c r="A38" s="4" t="s">
        <v>342</v>
      </c>
      <c r="B38" s="1119" t="s">
        <v>524</v>
      </c>
      <c r="C38" s="1123"/>
      <c r="D38" s="1123"/>
      <c r="E38" s="1123"/>
      <c r="F38" s="1123"/>
      <c r="G38" s="1123"/>
      <c r="H38" s="1123"/>
      <c r="I38" s="1123"/>
      <c r="J38" s="1123"/>
      <c r="K38" s="1123"/>
      <c r="L38" s="1123"/>
      <c r="M38" s="1123"/>
      <c r="N38" s="1124"/>
    </row>
    <row r="39" spans="1:14" x14ac:dyDescent="0.2">
      <c r="H39" s="1"/>
    </row>
    <row r="40" spans="1:14" x14ac:dyDescent="0.2">
      <c r="H40" s="1"/>
    </row>
    <row r="41" spans="1:14" x14ac:dyDescent="0.2">
      <c r="B41" s="38" t="s">
        <v>662</v>
      </c>
      <c r="C41" s="1012" t="s">
        <v>408</v>
      </c>
      <c r="D41" s="1012"/>
      <c r="E41" s="1012"/>
      <c r="F41" s="1012"/>
      <c r="G41" s="1012"/>
      <c r="H41" s="1012"/>
      <c r="I41" s="1012"/>
      <c r="J41" s="1012"/>
      <c r="K41" s="1012"/>
      <c r="L41" s="1012"/>
      <c r="N41" s="1145"/>
    </row>
    <row r="42" spans="1:14" ht="18" customHeight="1" x14ac:dyDescent="0.2">
      <c r="C42" s="1012"/>
      <c r="D42" s="1012"/>
      <c r="E42" s="1012"/>
      <c r="F42" s="1012"/>
      <c r="G42" s="1012"/>
      <c r="H42" s="1012"/>
      <c r="I42" s="1012"/>
      <c r="J42" s="1012"/>
      <c r="K42" s="1012"/>
      <c r="L42" s="1012"/>
      <c r="N42" s="1145"/>
    </row>
    <row r="43" spans="1:14" ht="8.25" customHeight="1" x14ac:dyDescent="0.2">
      <c r="N43" s="36"/>
    </row>
    <row r="44" spans="1:14" x14ac:dyDescent="0.2">
      <c r="B44" s="38" t="s">
        <v>663</v>
      </c>
      <c r="C44" s="1012" t="s">
        <v>391</v>
      </c>
      <c r="D44" s="1012"/>
      <c r="E44" s="1012"/>
      <c r="F44" s="1012"/>
      <c r="G44" s="1012"/>
      <c r="H44" s="1012"/>
      <c r="I44" s="1012"/>
      <c r="J44" s="1012"/>
      <c r="K44" s="1012"/>
      <c r="L44" s="1012"/>
      <c r="N44" s="1145"/>
    </row>
    <row r="45" spans="1:14" ht="18" customHeight="1" x14ac:dyDescent="0.2">
      <c r="C45" s="1012"/>
      <c r="D45" s="1012"/>
      <c r="E45" s="1012"/>
      <c r="F45" s="1012"/>
      <c r="G45" s="1012"/>
      <c r="H45" s="1012"/>
      <c r="I45" s="1012"/>
      <c r="J45" s="1012"/>
      <c r="K45" s="1012"/>
      <c r="L45" s="1012"/>
      <c r="N45" s="1145"/>
    </row>
    <row r="46" spans="1:14" ht="12.75" customHeight="1" x14ac:dyDescent="0.2">
      <c r="L46" s="36"/>
    </row>
    <row r="47" spans="1:14" ht="12.75" customHeight="1" x14ac:dyDescent="0.2">
      <c r="L47" s="36"/>
    </row>
    <row r="48" spans="1:14" ht="25.5" customHeight="1" x14ac:dyDescent="0.2">
      <c r="A48" s="4" t="s">
        <v>527</v>
      </c>
      <c r="B48" s="1119" t="s">
        <v>151</v>
      </c>
      <c r="C48" s="1123"/>
      <c r="D48" s="1123"/>
      <c r="E48" s="1123"/>
      <c r="F48" s="1123"/>
      <c r="G48" s="1123"/>
      <c r="H48" s="1123"/>
      <c r="I48" s="1123"/>
      <c r="J48" s="1123"/>
      <c r="K48" s="1123"/>
      <c r="L48" s="1123"/>
      <c r="M48" s="1123"/>
      <c r="N48" s="1124"/>
    </row>
    <row r="49" spans="1:14" ht="13.5" customHeight="1" x14ac:dyDescent="0.2">
      <c r="L49" s="36"/>
    </row>
    <row r="50" spans="1:14" ht="12.75" customHeight="1" x14ac:dyDescent="0.2">
      <c r="B50" s="38" t="s">
        <v>662</v>
      </c>
      <c r="C50" s="1012" t="s">
        <v>318</v>
      </c>
      <c r="D50" s="1012"/>
      <c r="E50" s="1012"/>
      <c r="F50" s="1012"/>
      <c r="G50" s="1012"/>
      <c r="H50" s="1012"/>
      <c r="I50" s="1012"/>
      <c r="J50" s="1012"/>
      <c r="K50" s="1012"/>
      <c r="L50" s="1012"/>
      <c r="N50" s="239">
        <v>0</v>
      </c>
    </row>
    <row r="51" spans="1:14" x14ac:dyDescent="0.2">
      <c r="C51" s="166"/>
      <c r="D51" s="166"/>
      <c r="E51" s="166"/>
      <c r="F51" s="166"/>
      <c r="G51" s="166"/>
      <c r="H51" s="166"/>
      <c r="I51" s="166"/>
      <c r="J51" s="166"/>
      <c r="K51" s="166"/>
      <c r="L51" s="166"/>
      <c r="N51" s="201"/>
    </row>
    <row r="52" spans="1:14" ht="6" customHeight="1" x14ac:dyDescent="0.2">
      <c r="N52" s="36"/>
    </row>
    <row r="53" spans="1:14" ht="15" customHeight="1" x14ac:dyDescent="0.2">
      <c r="B53" s="38" t="s">
        <v>663</v>
      </c>
      <c r="C53" s="1011" t="s">
        <v>601</v>
      </c>
      <c r="D53" s="1011"/>
      <c r="E53" s="1011"/>
      <c r="F53" s="1011"/>
      <c r="G53" s="1011"/>
      <c r="H53" s="1011"/>
      <c r="I53" s="1011"/>
      <c r="J53" s="1011"/>
      <c r="K53" s="1011"/>
      <c r="L53" s="1011"/>
      <c r="N53" s="1141"/>
    </row>
    <row r="54" spans="1:14" ht="1.5" hidden="1" customHeight="1" x14ac:dyDescent="0.2">
      <c r="B54" s="38"/>
      <c r="C54" s="1011"/>
      <c r="D54" s="1011"/>
      <c r="E54" s="1011"/>
      <c r="F54" s="1011"/>
      <c r="G54" s="1011"/>
      <c r="H54" s="1011"/>
      <c r="I54" s="1011"/>
      <c r="J54" s="1011"/>
      <c r="K54" s="1011"/>
      <c r="L54" s="1011"/>
      <c r="N54" s="1180"/>
    </row>
    <row r="55" spans="1:14" ht="6" hidden="1" customHeight="1" x14ac:dyDescent="0.2">
      <c r="N55" s="36"/>
    </row>
    <row r="56" spans="1:14" ht="6" customHeight="1" x14ac:dyDescent="0.2">
      <c r="N56" s="36"/>
    </row>
    <row r="57" spans="1:14" ht="17.25" customHeight="1" x14ac:dyDescent="0.2">
      <c r="B57" s="38" t="s">
        <v>664</v>
      </c>
      <c r="C57" s="1011" t="s">
        <v>199</v>
      </c>
      <c r="D57" s="1011"/>
      <c r="E57" s="1011"/>
      <c r="F57" s="1011"/>
      <c r="G57" s="1011"/>
      <c r="H57" s="1011"/>
      <c r="I57" s="1011"/>
      <c r="J57" s="1011"/>
      <c r="K57" s="1011"/>
      <c r="L57" s="1011"/>
      <c r="N57" s="1145"/>
    </row>
    <row r="58" spans="1:14" hidden="1" x14ac:dyDescent="0.2">
      <c r="C58" s="1011"/>
      <c r="D58" s="1011"/>
      <c r="E58" s="1011"/>
      <c r="F58" s="1011"/>
      <c r="G58" s="1011"/>
      <c r="H58" s="1011"/>
      <c r="I58" s="1011"/>
      <c r="J58" s="1011"/>
      <c r="K58" s="1011"/>
      <c r="L58" s="1011"/>
      <c r="N58" s="1145"/>
    </row>
    <row r="59" spans="1:14" ht="9" customHeight="1" x14ac:dyDescent="0.2">
      <c r="N59" s="36"/>
    </row>
    <row r="60" spans="1:14" ht="15.75" customHeight="1" x14ac:dyDescent="0.2">
      <c r="B60" s="202" t="s">
        <v>343</v>
      </c>
      <c r="C60" s="1012" t="s">
        <v>200</v>
      </c>
      <c r="D60" s="1012"/>
      <c r="E60" s="1012"/>
      <c r="F60" s="1012"/>
      <c r="G60" s="1012"/>
      <c r="H60" s="1012"/>
      <c r="I60" s="1012"/>
      <c r="J60" s="1012"/>
      <c r="K60" s="1012"/>
      <c r="L60" s="1012"/>
      <c r="N60" s="239"/>
    </row>
    <row r="61" spans="1:14" ht="10.5" customHeight="1" x14ac:dyDescent="0.2">
      <c r="B61" s="38"/>
      <c r="C61" s="166"/>
      <c r="D61" s="166"/>
      <c r="E61" s="166"/>
      <c r="F61" s="166"/>
      <c r="G61" s="166"/>
      <c r="H61" s="166"/>
      <c r="I61" s="166"/>
      <c r="J61" s="166"/>
      <c r="K61" s="166"/>
      <c r="L61" s="166"/>
      <c r="N61" s="201"/>
    </row>
    <row r="62" spans="1:14" ht="6" customHeight="1" x14ac:dyDescent="0.2">
      <c r="N62" s="36"/>
    </row>
    <row r="63" spans="1:14" ht="12.75" customHeight="1" x14ac:dyDescent="0.2"/>
    <row r="64" spans="1:14" ht="25.5" customHeight="1" x14ac:dyDescent="0.2">
      <c r="A64" s="4" t="s">
        <v>529</v>
      </c>
      <c r="B64" s="1115" t="s">
        <v>152</v>
      </c>
      <c r="C64" s="1116"/>
      <c r="D64" s="1116"/>
      <c r="E64" s="1116"/>
      <c r="F64" s="1116"/>
      <c r="G64" s="1116"/>
      <c r="H64" s="1116"/>
      <c r="I64" s="1116"/>
      <c r="J64" s="1116"/>
      <c r="K64" s="1116"/>
      <c r="L64" s="1116"/>
      <c r="M64" s="1116"/>
      <c r="N64" s="1117"/>
    </row>
    <row r="65" spans="1:14" ht="12.75" customHeight="1" x14ac:dyDescent="0.2"/>
    <row r="66" spans="1:14" ht="18" customHeight="1" x14ac:dyDescent="0.2">
      <c r="B66" s="38" t="s">
        <v>662</v>
      </c>
      <c r="C66" s="1015" t="s">
        <v>645</v>
      </c>
      <c r="D66" s="1015"/>
      <c r="E66" s="1015"/>
      <c r="F66" s="1015"/>
      <c r="G66" s="1015"/>
      <c r="H66" s="1015"/>
      <c r="I66" s="1015"/>
      <c r="J66" s="1015"/>
      <c r="N66" s="228"/>
    </row>
    <row r="67" spans="1:14" ht="12.75" customHeight="1" x14ac:dyDescent="0.2">
      <c r="N67" s="36"/>
    </row>
    <row r="68" spans="1:14" ht="17.25" customHeight="1" x14ac:dyDescent="0.2">
      <c r="B68" s="38" t="s">
        <v>663</v>
      </c>
      <c r="C68" s="1015" t="s">
        <v>646</v>
      </c>
      <c r="D68" s="1015"/>
      <c r="E68" s="1015"/>
      <c r="F68" s="1015"/>
      <c r="G68" s="1015"/>
      <c r="H68" s="1015"/>
      <c r="I68" s="1015"/>
      <c r="J68" s="1015"/>
      <c r="N68" s="228"/>
    </row>
    <row r="69" spans="1:14" ht="12.75" customHeight="1" x14ac:dyDescent="0.2">
      <c r="N69" s="36"/>
    </row>
    <row r="70" spans="1:14" ht="12.75" customHeight="1" x14ac:dyDescent="0.2">
      <c r="C70" s="2" t="s">
        <v>153</v>
      </c>
      <c r="N70" s="36"/>
    </row>
    <row r="71" spans="1:14" ht="12.75" customHeight="1" x14ac:dyDescent="0.2"/>
    <row r="72" spans="1:14" ht="12.75" customHeight="1" x14ac:dyDescent="0.2"/>
    <row r="73" spans="1:14" ht="25.5" customHeight="1" x14ac:dyDescent="0.2">
      <c r="A73" s="4" t="s">
        <v>534</v>
      </c>
      <c r="B73" s="1115" t="s">
        <v>439</v>
      </c>
      <c r="C73" s="1116"/>
      <c r="D73" s="1116"/>
      <c r="E73" s="1116"/>
      <c r="F73" s="1116"/>
      <c r="G73" s="1116"/>
      <c r="H73" s="1116"/>
      <c r="I73" s="1116"/>
      <c r="J73" s="1116"/>
      <c r="K73" s="1116"/>
      <c r="L73" s="1116"/>
      <c r="M73" s="1116"/>
      <c r="N73" s="1117"/>
    </row>
    <row r="74" spans="1:14" ht="12.75" customHeight="1" x14ac:dyDescent="0.2"/>
    <row r="75" spans="1:14" x14ac:dyDescent="0.2">
      <c r="B75" s="170" t="s">
        <v>662</v>
      </c>
      <c r="C75" s="1012" t="s">
        <v>392</v>
      </c>
      <c r="D75" s="1012"/>
      <c r="E75" s="1012"/>
      <c r="F75" s="1012"/>
      <c r="G75" s="1012"/>
      <c r="H75" s="1012"/>
      <c r="I75" s="1012"/>
      <c r="J75" s="1012"/>
      <c r="N75" s="228">
        <v>0</v>
      </c>
    </row>
    <row r="76" spans="1:14" ht="12.75" customHeight="1" x14ac:dyDescent="0.2">
      <c r="N76" s="44"/>
    </row>
    <row r="77" spans="1:14" ht="12.75" customHeight="1" x14ac:dyDescent="0.2">
      <c r="B77" s="38" t="s">
        <v>663</v>
      </c>
      <c r="C77" s="1011" t="s">
        <v>111</v>
      </c>
      <c r="D77" s="1011"/>
      <c r="E77" s="1011"/>
      <c r="F77" s="1011"/>
      <c r="G77" s="1011"/>
      <c r="H77" s="1011"/>
      <c r="I77" s="1011"/>
      <c r="J77" s="1011"/>
      <c r="N77" s="36"/>
    </row>
    <row r="78" spans="1:14" ht="12.75" customHeight="1" x14ac:dyDescent="0.2">
      <c r="C78" s="1011"/>
      <c r="D78" s="1011"/>
      <c r="E78" s="1011"/>
      <c r="F78" s="1011"/>
      <c r="G78" s="1011"/>
      <c r="H78" s="1011"/>
      <c r="I78" s="1011"/>
      <c r="J78" s="1011"/>
      <c r="N78" s="228">
        <v>0</v>
      </c>
    </row>
    <row r="79" spans="1:14" ht="12.75" customHeight="1" x14ac:dyDescent="0.2">
      <c r="C79" s="34"/>
      <c r="D79" s="34"/>
      <c r="E79" s="34"/>
      <c r="F79" s="34"/>
      <c r="G79" s="34"/>
      <c r="H79" s="34"/>
      <c r="I79" s="34"/>
      <c r="J79" s="34"/>
    </row>
    <row r="80" spans="1:14" ht="25.5" customHeight="1" x14ac:dyDescent="0.2">
      <c r="A80" s="4" t="s">
        <v>591</v>
      </c>
      <c r="B80" s="1115" t="s">
        <v>22</v>
      </c>
      <c r="C80" s="1116"/>
      <c r="D80" s="1116"/>
      <c r="E80" s="1116"/>
      <c r="F80" s="1116"/>
      <c r="G80" s="1116"/>
      <c r="H80" s="1116"/>
      <c r="I80" s="1116"/>
      <c r="J80" s="1116"/>
      <c r="K80" s="1116"/>
      <c r="L80" s="1116"/>
      <c r="M80" s="1116"/>
      <c r="N80" s="1117"/>
    </row>
    <row r="81" spans="2:14" ht="12.75" customHeight="1" x14ac:dyDescent="0.2"/>
    <row r="82" spans="2:14" ht="12.75" customHeight="1" x14ac:dyDescent="0.2">
      <c r="N82" s="36"/>
    </row>
    <row r="83" spans="2:14" ht="12.75" customHeight="1" x14ac:dyDescent="0.2">
      <c r="B83" s="38" t="s">
        <v>662</v>
      </c>
      <c r="C83" t="s">
        <v>71</v>
      </c>
      <c r="N83" s="228"/>
    </row>
    <row r="84" spans="2:14" ht="12.75" customHeight="1" x14ac:dyDescent="0.2">
      <c r="N84" s="36"/>
    </row>
    <row r="85" spans="2:14" ht="12.75" customHeight="1" x14ac:dyDescent="0.2">
      <c r="B85" s="38" t="s">
        <v>663</v>
      </c>
      <c r="C85" t="s">
        <v>121</v>
      </c>
      <c r="N85" s="228">
        <v>0</v>
      </c>
    </row>
    <row r="86" spans="2:14" ht="12.75" customHeight="1" x14ac:dyDescent="0.2">
      <c r="N86" s="36"/>
    </row>
    <row r="87" spans="2:14" ht="12.75" customHeight="1" x14ac:dyDescent="0.2">
      <c r="B87" s="38" t="s">
        <v>664</v>
      </c>
      <c r="C87" t="s">
        <v>728</v>
      </c>
      <c r="N87" s="228"/>
    </row>
    <row r="88" spans="2:14" ht="12.75" customHeight="1" x14ac:dyDescent="0.2">
      <c r="N88" s="36"/>
    </row>
    <row r="89" spans="2:14" ht="12.75" customHeight="1" x14ac:dyDescent="0.2">
      <c r="B89" s="38" t="s">
        <v>343</v>
      </c>
      <c r="C89" t="s">
        <v>729</v>
      </c>
      <c r="N89" s="228">
        <v>0</v>
      </c>
    </row>
    <row r="90" spans="2:14" ht="12.75" customHeight="1" x14ac:dyDescent="0.2">
      <c r="N90" s="36"/>
    </row>
    <row r="91" spans="2:14" ht="12.75" customHeight="1" x14ac:dyDescent="0.2">
      <c r="B91" s="38" t="s">
        <v>344</v>
      </c>
      <c r="C91" t="s">
        <v>393</v>
      </c>
      <c r="N91" s="228"/>
    </row>
    <row r="92" spans="2:14" ht="12.75" customHeight="1" x14ac:dyDescent="0.2">
      <c r="N92" s="36"/>
    </row>
    <row r="93" spans="2:14" ht="12.75" customHeight="1" x14ac:dyDescent="0.2">
      <c r="B93" s="38" t="s">
        <v>186</v>
      </c>
      <c r="C93" s="1011" t="s">
        <v>179</v>
      </c>
      <c r="D93" s="1011"/>
      <c r="E93" s="1011"/>
      <c r="F93" s="1011"/>
      <c r="G93" s="1011"/>
      <c r="H93" s="1011"/>
      <c r="I93" s="1011"/>
      <c r="J93" s="1011"/>
      <c r="N93" s="1240">
        <v>0</v>
      </c>
    </row>
    <row r="94" spans="2:14" ht="12.75" customHeight="1" x14ac:dyDescent="0.2">
      <c r="B94" s="38"/>
      <c r="C94" s="1011"/>
      <c r="D94" s="1011"/>
      <c r="E94" s="1011"/>
      <c r="F94" s="1011"/>
      <c r="G94" s="1011"/>
      <c r="H94" s="1011"/>
      <c r="I94" s="1011"/>
      <c r="J94" s="1011"/>
      <c r="N94" s="1241"/>
    </row>
    <row r="95" spans="2:14" ht="12.75" customHeight="1" x14ac:dyDescent="0.2">
      <c r="N95" s="36"/>
    </row>
    <row r="96" spans="2:14" ht="12.75" customHeight="1" x14ac:dyDescent="0.2">
      <c r="B96" s="38" t="s">
        <v>20</v>
      </c>
      <c r="C96" t="str">
        <f>CONCATENATE("What is the amount of ",  'Conversion Worksheet'!C100, " that will be due and payable within one year?")</f>
        <v>What is the amount of Other long-term liability #1 that will be due and payable within one year?</v>
      </c>
      <c r="N96" s="228"/>
    </row>
    <row r="97" spans="1:17" ht="12.75" customHeight="1" x14ac:dyDescent="0.2">
      <c r="N97" s="36"/>
    </row>
    <row r="98" spans="1:17" ht="12.75" customHeight="1" x14ac:dyDescent="0.2">
      <c r="B98" s="38" t="s">
        <v>727</v>
      </c>
      <c r="C98" t="str">
        <f>CONCATENATE("What is the amount of ",  'Conversion Worksheet'!C101, " that will be due and payable within one year?")</f>
        <v>What is the amount of Other long-term liability #2 that will be due and payable within one year?</v>
      </c>
      <c r="N98" s="228"/>
    </row>
    <row r="99" spans="1:17" ht="12.75" customHeight="1" x14ac:dyDescent="0.2">
      <c r="N99" s="36"/>
    </row>
    <row r="100" spans="1:17" ht="12.75" customHeight="1" x14ac:dyDescent="0.2">
      <c r="B100" s="38"/>
      <c r="C100" s="1011"/>
      <c r="D100" s="1011"/>
      <c r="E100" s="1011"/>
      <c r="F100" s="1011"/>
      <c r="G100" s="1011"/>
      <c r="H100" s="1011"/>
      <c r="I100" s="1011"/>
      <c r="J100" s="1011"/>
      <c r="K100" s="1011"/>
      <c r="L100" s="1011"/>
      <c r="N100" s="11"/>
    </row>
    <row r="101" spans="1:17" ht="12.75" customHeight="1" x14ac:dyDescent="0.2">
      <c r="C101" s="1011"/>
      <c r="D101" s="1011"/>
      <c r="E101" s="1011"/>
      <c r="F101" s="1011"/>
      <c r="G101" s="1011"/>
      <c r="H101" s="1011"/>
      <c r="I101" s="1011"/>
      <c r="J101" s="1011"/>
      <c r="K101" s="1011"/>
      <c r="L101" s="1011"/>
    </row>
    <row r="102" spans="1:17" ht="12.75" customHeight="1" x14ac:dyDescent="0.2"/>
    <row r="103" spans="1:17" ht="25.5" customHeight="1" x14ac:dyDescent="0.2">
      <c r="A103" s="4" t="s">
        <v>592</v>
      </c>
      <c r="B103" s="1115" t="s">
        <v>169</v>
      </c>
      <c r="C103" s="1116"/>
      <c r="D103" s="1116"/>
      <c r="E103" s="1116"/>
      <c r="F103" s="1116"/>
      <c r="G103" s="1116"/>
      <c r="H103" s="1116"/>
      <c r="I103" s="1116"/>
      <c r="J103" s="1116"/>
      <c r="K103" s="1116"/>
      <c r="L103" s="1116"/>
      <c r="M103" s="1116"/>
      <c r="N103" s="1117"/>
    </row>
    <row r="104" spans="1:17" ht="12.75" customHeight="1" x14ac:dyDescent="0.2"/>
    <row r="105" spans="1:17" ht="12.75" customHeight="1" x14ac:dyDescent="0.2">
      <c r="B105" s="38" t="s">
        <v>662</v>
      </c>
      <c r="C105" s="1134" t="s">
        <v>760</v>
      </c>
      <c r="D105" s="1012"/>
      <c r="E105" s="1012"/>
      <c r="F105" s="1012"/>
      <c r="G105" s="1012"/>
      <c r="H105" s="1012"/>
      <c r="I105" s="1012"/>
      <c r="J105" s="1012"/>
      <c r="M105" s="42"/>
    </row>
    <row r="106" spans="1:17" ht="39.75" customHeight="1" x14ac:dyDescent="0.2">
      <c r="C106" s="1012"/>
      <c r="D106" s="1012"/>
      <c r="E106" s="1012"/>
      <c r="F106" s="1012"/>
      <c r="G106" s="1012"/>
      <c r="H106" s="1012"/>
      <c r="I106" s="1012"/>
      <c r="J106" s="1012"/>
      <c r="L106" s="1231" t="s">
        <v>469</v>
      </c>
      <c r="M106" s="1231"/>
      <c r="N106" s="1231"/>
    </row>
    <row r="107" spans="1:17" ht="15.75" customHeight="1" x14ac:dyDescent="0.2">
      <c r="J107" s="3" t="s">
        <v>647</v>
      </c>
      <c r="L107" s="3" t="s">
        <v>140</v>
      </c>
      <c r="N107" s="3" t="s">
        <v>139</v>
      </c>
    </row>
    <row r="108" spans="1:17" ht="12.75" customHeight="1" x14ac:dyDescent="0.2">
      <c r="E108" t="s">
        <v>269</v>
      </c>
      <c r="J108" s="228"/>
      <c r="K108" s="36"/>
      <c r="L108" s="228"/>
      <c r="M108" s="36"/>
      <c r="N108" s="228"/>
      <c r="O108" s="36"/>
      <c r="P108" s="36"/>
      <c r="Q108" s="36"/>
    </row>
    <row r="109" spans="1:17" ht="12.75" customHeight="1" x14ac:dyDescent="0.2">
      <c r="E109" t="s">
        <v>270</v>
      </c>
      <c r="J109" s="228"/>
      <c r="K109" s="36"/>
      <c r="L109" s="228"/>
      <c r="M109" s="36"/>
      <c r="N109" s="228"/>
      <c r="O109" s="36"/>
      <c r="P109" s="36"/>
      <c r="Q109" s="36"/>
    </row>
    <row r="110" spans="1:17" ht="12.75" customHeight="1" x14ac:dyDescent="0.2">
      <c r="E110" t="s">
        <v>271</v>
      </c>
      <c r="J110" s="228"/>
      <c r="K110" s="36"/>
      <c r="L110" s="228"/>
      <c r="M110" s="36"/>
      <c r="N110" s="228"/>
      <c r="O110" s="36"/>
      <c r="P110" s="36"/>
      <c r="Q110" s="36"/>
    </row>
    <row r="111" spans="1:17" ht="12.75" customHeight="1" x14ac:dyDescent="0.2">
      <c r="E111" t="s">
        <v>272</v>
      </c>
      <c r="J111" s="228"/>
      <c r="K111" s="36"/>
      <c r="L111" s="228"/>
      <c r="M111" s="36"/>
      <c r="N111" s="228"/>
      <c r="O111" s="36"/>
      <c r="P111" s="36"/>
      <c r="Q111" s="36"/>
    </row>
    <row r="112" spans="1:17" ht="12.75" customHeight="1" x14ac:dyDescent="0.2">
      <c r="E112" t="s">
        <v>273</v>
      </c>
      <c r="J112" s="228"/>
      <c r="K112" s="36"/>
      <c r="L112" s="228"/>
      <c r="M112" s="36"/>
      <c r="N112" s="228"/>
      <c r="O112" s="36"/>
      <c r="P112" s="36"/>
      <c r="Q112" s="36"/>
    </row>
    <row r="113" spans="5:17" ht="12.75" customHeight="1" x14ac:dyDescent="0.2">
      <c r="E113" t="s">
        <v>274</v>
      </c>
      <c r="J113" s="228"/>
      <c r="K113" s="36"/>
      <c r="L113" s="228"/>
      <c r="M113" s="36"/>
      <c r="N113" s="228"/>
      <c r="O113" s="36"/>
      <c r="P113" s="36"/>
      <c r="Q113" s="36"/>
    </row>
    <row r="114" spans="5:17" ht="12.75" customHeight="1" x14ac:dyDescent="0.2">
      <c r="E114" t="s">
        <v>275</v>
      </c>
      <c r="J114" s="228"/>
      <c r="K114" s="36"/>
      <c r="L114" s="228"/>
      <c r="M114" s="36"/>
      <c r="N114" s="228"/>
      <c r="O114" s="36"/>
      <c r="P114" s="36"/>
      <c r="Q114" s="36"/>
    </row>
    <row r="115" spans="5:17" ht="12.75" customHeight="1" x14ac:dyDescent="0.2">
      <c r="E115" t="s">
        <v>386</v>
      </c>
      <c r="J115" s="228"/>
      <c r="K115" s="36"/>
      <c r="L115" s="228"/>
      <c r="M115" s="36"/>
      <c r="N115" s="228"/>
      <c r="O115" s="36"/>
      <c r="P115" s="36"/>
      <c r="Q115" s="36"/>
    </row>
    <row r="116" spans="5:17" ht="12.75" customHeight="1" x14ac:dyDescent="0.2">
      <c r="E116" t="s">
        <v>449</v>
      </c>
      <c r="J116" s="228"/>
      <c r="K116" s="36"/>
      <c r="L116" s="228"/>
      <c r="M116" s="36"/>
      <c r="N116" s="228"/>
      <c r="O116" s="36"/>
      <c r="P116" s="36"/>
      <c r="Q116" s="36"/>
    </row>
    <row r="117" spans="5:17" ht="12.75" customHeight="1" x14ac:dyDescent="0.2">
      <c r="E117" t="s">
        <v>243</v>
      </c>
      <c r="J117" s="228"/>
      <c r="K117" s="36"/>
      <c r="L117" s="228"/>
      <c r="M117" s="36"/>
      <c r="N117" s="228"/>
      <c r="O117" s="36"/>
      <c r="P117" s="36"/>
      <c r="Q117" s="36"/>
    </row>
    <row r="118" spans="5:17" ht="12.75" customHeight="1" x14ac:dyDescent="0.2">
      <c r="E118" t="s">
        <v>244</v>
      </c>
      <c r="J118" s="228"/>
      <c r="K118" s="36"/>
      <c r="L118" s="228"/>
      <c r="M118" s="36"/>
      <c r="N118" s="228"/>
      <c r="O118" s="36"/>
      <c r="P118" s="36"/>
      <c r="Q118" s="36"/>
    </row>
    <row r="119" spans="5:17" ht="12.75" customHeight="1" x14ac:dyDescent="0.2">
      <c r="E119" t="s">
        <v>277</v>
      </c>
      <c r="J119" s="228"/>
      <c r="K119" s="36"/>
      <c r="L119" s="228"/>
      <c r="M119" s="36"/>
      <c r="N119" s="228"/>
      <c r="O119" s="36"/>
      <c r="P119" s="36"/>
      <c r="Q119" s="36"/>
    </row>
    <row r="120" spans="5:17" ht="12.75" customHeight="1" x14ac:dyDescent="0.2">
      <c r="E120" t="s">
        <v>279</v>
      </c>
      <c r="J120" s="228"/>
      <c r="K120" s="36"/>
      <c r="L120" s="228"/>
      <c r="M120" s="36"/>
      <c r="N120" s="228"/>
      <c r="O120" s="36"/>
      <c r="P120" s="36"/>
      <c r="Q120" s="36"/>
    </row>
    <row r="121" spans="5:17" ht="12.75" customHeight="1" x14ac:dyDescent="0.2">
      <c r="E121" t="s">
        <v>280</v>
      </c>
      <c r="J121" s="228"/>
      <c r="K121" s="36"/>
      <c r="L121" s="228"/>
      <c r="M121" s="36"/>
      <c r="N121" s="228"/>
      <c r="O121" s="36"/>
      <c r="P121" s="36"/>
      <c r="Q121" s="36"/>
    </row>
    <row r="122" spans="5:17" ht="12.75" customHeight="1" x14ac:dyDescent="0.2">
      <c r="E122" t="s">
        <v>278</v>
      </c>
      <c r="J122" s="228"/>
      <c r="K122" s="36"/>
      <c r="L122" s="228"/>
      <c r="M122" s="36"/>
      <c r="N122" s="228"/>
      <c r="O122" s="36"/>
      <c r="P122" s="36"/>
      <c r="Q122" s="36"/>
    </row>
    <row r="123" spans="5:17" ht="12.75" customHeight="1" x14ac:dyDescent="0.2">
      <c r="E123" t="s">
        <v>263</v>
      </c>
      <c r="J123" s="228"/>
      <c r="K123" s="36"/>
      <c r="L123" s="228"/>
      <c r="M123" s="36"/>
      <c r="N123" s="228"/>
      <c r="O123" s="36"/>
      <c r="P123" s="36"/>
      <c r="Q123" s="36"/>
    </row>
    <row r="124" spans="5:17" ht="12.75" customHeight="1" x14ac:dyDescent="0.2">
      <c r="E124" t="s">
        <v>55</v>
      </c>
      <c r="J124" s="228"/>
      <c r="K124" s="36"/>
      <c r="L124" s="228"/>
      <c r="M124" s="45"/>
      <c r="N124" s="228"/>
      <c r="O124" s="36"/>
      <c r="P124" s="36"/>
      <c r="Q124" s="36"/>
    </row>
    <row r="125" spans="5:17" ht="12.75" customHeight="1" thickBot="1" x14ac:dyDescent="0.25">
      <c r="E125" t="s">
        <v>185</v>
      </c>
      <c r="J125" s="62">
        <f>SUM(J108:J124)</f>
        <v>0</v>
      </c>
      <c r="K125" s="36"/>
      <c r="L125" s="62">
        <f>SUM(L108:L124)</f>
        <v>0</v>
      </c>
      <c r="M125" s="45"/>
      <c r="N125" s="62">
        <f>SUM(N108:N124)</f>
        <v>0</v>
      </c>
      <c r="O125" s="36"/>
      <c r="P125" s="36"/>
      <c r="Q125" s="36"/>
    </row>
    <row r="126" spans="5:17" ht="12.75" customHeight="1" thickTop="1" x14ac:dyDescent="0.2">
      <c r="J126" s="36"/>
      <c r="K126" s="36"/>
      <c r="L126" s="36"/>
      <c r="M126" s="45"/>
      <c r="N126" s="36"/>
      <c r="O126" s="36"/>
      <c r="P126" s="36"/>
      <c r="Q126" s="36"/>
    </row>
    <row r="127" spans="5:17" ht="12.75" customHeight="1" x14ac:dyDescent="0.2">
      <c r="M127" s="12"/>
    </row>
    <row r="128" spans="5:17" ht="12.75" customHeight="1" x14ac:dyDescent="0.2">
      <c r="L128" s="161"/>
    </row>
    <row r="129" spans="1:14" ht="12.75" customHeight="1" x14ac:dyDescent="0.2">
      <c r="A129" s="1234" t="s">
        <v>648</v>
      </c>
      <c r="B129" s="1235" t="s">
        <v>226</v>
      </c>
      <c r="C129" s="1236"/>
      <c r="D129" s="1236"/>
      <c r="E129" s="1236"/>
      <c r="F129" s="1236"/>
      <c r="G129" s="1236"/>
      <c r="H129" s="1236"/>
      <c r="I129" s="1236"/>
      <c r="J129" s="1236"/>
      <c r="K129" s="1236"/>
      <c r="L129" s="1236"/>
      <c r="M129" s="1236"/>
      <c r="N129" s="1237"/>
    </row>
    <row r="130" spans="1:14" ht="12.75" customHeight="1" x14ac:dyDescent="0.2">
      <c r="A130" s="1234"/>
      <c r="B130" s="1238"/>
      <c r="C130" s="1219"/>
      <c r="D130" s="1219"/>
      <c r="E130" s="1219"/>
      <c r="F130" s="1219"/>
      <c r="G130" s="1219"/>
      <c r="H130" s="1219"/>
      <c r="I130" s="1219"/>
      <c r="J130" s="1219"/>
      <c r="K130" s="1219"/>
      <c r="L130" s="1219"/>
      <c r="M130" s="1219"/>
      <c r="N130" s="1239"/>
    </row>
    <row r="131" spans="1:14" ht="12.75" customHeight="1" x14ac:dyDescent="0.2">
      <c r="L131" s="161"/>
    </row>
    <row r="132" spans="1:14" ht="12.75" customHeight="1" x14ac:dyDescent="0.2">
      <c r="B132" s="38" t="s">
        <v>662</v>
      </c>
      <c r="C132" s="1110" t="s">
        <v>85</v>
      </c>
      <c r="D132" s="1110"/>
      <c r="E132" s="1110"/>
      <c r="F132" s="1110"/>
      <c r="G132" s="1110"/>
      <c r="H132" s="1110"/>
      <c r="I132" s="1110"/>
      <c r="J132" s="1110"/>
      <c r="L132" s="1141"/>
    </row>
    <row r="133" spans="1:14" ht="12.75" customHeight="1" x14ac:dyDescent="0.2">
      <c r="C133" s="245" t="s">
        <v>86</v>
      </c>
      <c r="L133" s="1141"/>
    </row>
    <row r="134" spans="1:14" ht="12.75" customHeight="1" x14ac:dyDescent="0.2">
      <c r="C134" s="245" t="s">
        <v>125</v>
      </c>
      <c r="L134" s="161"/>
    </row>
    <row r="135" spans="1:14" ht="20.25" customHeight="1" x14ac:dyDescent="0.2"/>
    <row r="136" spans="1:14" ht="3.75" customHeight="1" x14ac:dyDescent="0.2"/>
    <row r="137" spans="1:14" ht="25.5" customHeight="1" x14ac:dyDescent="0.2">
      <c r="A137" s="149" t="s">
        <v>112</v>
      </c>
      <c r="B137" s="1115" t="s">
        <v>761</v>
      </c>
      <c r="C137" s="1116"/>
      <c r="D137" s="1116"/>
      <c r="E137" s="1116"/>
      <c r="F137" s="1116"/>
      <c r="G137" s="1116"/>
      <c r="H137" s="1116"/>
      <c r="I137" s="1116"/>
      <c r="J137" s="1116"/>
      <c r="K137" s="1116"/>
      <c r="L137" s="1116"/>
      <c r="M137" s="1116"/>
      <c r="N137" s="1117"/>
    </row>
    <row r="138" spans="1:14" ht="13.5" customHeight="1" x14ac:dyDescent="0.2"/>
    <row r="139" spans="1:14" ht="12.75" customHeight="1" x14ac:dyDescent="0.2">
      <c r="B139" s="461" t="s">
        <v>762</v>
      </c>
      <c r="G139" s="36"/>
      <c r="H139" s="36"/>
      <c r="I139" s="36"/>
      <c r="J139" s="36"/>
      <c r="K139" s="36"/>
      <c r="L139" s="36"/>
      <c r="M139" s="36"/>
      <c r="N139" s="444">
        <v>0</v>
      </c>
    </row>
    <row r="140" spans="1:14" ht="12.75" customHeight="1" x14ac:dyDescent="0.2">
      <c r="C140" s="1233" t="s">
        <v>763</v>
      </c>
      <c r="D140" s="1233"/>
      <c r="E140" s="1233"/>
      <c r="F140" s="1233"/>
      <c r="G140" s="1233"/>
      <c r="H140" s="1233"/>
      <c r="I140" s="1233"/>
      <c r="J140" s="1233"/>
      <c r="K140" s="369"/>
      <c r="L140" s="369"/>
      <c r="M140" s="36"/>
      <c r="N140" s="36"/>
    </row>
    <row r="141" spans="1:14" ht="12.75" customHeight="1" x14ac:dyDescent="0.2">
      <c r="C141" s="1233"/>
      <c r="D141" s="1233"/>
      <c r="E141" s="1233"/>
      <c r="F141" s="1233"/>
      <c r="G141" s="1233"/>
      <c r="H141" s="1233"/>
      <c r="I141" s="1233"/>
      <c r="J141" s="1233"/>
      <c r="K141" s="369"/>
      <c r="L141" s="369"/>
      <c r="M141" s="36"/>
      <c r="N141" s="36"/>
    </row>
    <row r="142" spans="1:14" ht="13.5" customHeight="1" x14ac:dyDescent="0.2">
      <c r="G142" s="36"/>
      <c r="H142" s="36"/>
      <c r="I142" s="36"/>
      <c r="J142" s="36"/>
      <c r="K142" s="36"/>
      <c r="L142" s="36"/>
      <c r="M142" s="36"/>
      <c r="N142" s="36"/>
    </row>
    <row r="143" spans="1:14" ht="12.75" customHeight="1" x14ac:dyDescent="0.2">
      <c r="B143" s="4" t="s">
        <v>744</v>
      </c>
      <c r="G143" s="36"/>
      <c r="H143" s="36"/>
      <c r="I143" s="36"/>
      <c r="J143" s="36"/>
      <c r="K143" s="36"/>
      <c r="L143" s="36"/>
      <c r="M143" s="36"/>
      <c r="N143" s="36"/>
    </row>
    <row r="144" spans="1:14" ht="15.75" customHeight="1" x14ac:dyDescent="0.2">
      <c r="B144" s="38" t="s">
        <v>662</v>
      </c>
      <c r="C144" t="s">
        <v>64</v>
      </c>
      <c r="G144" s="36"/>
      <c r="H144" s="36"/>
      <c r="I144" s="36"/>
      <c r="J144" s="36"/>
      <c r="K144" s="36"/>
      <c r="L144" s="228">
        <v>0</v>
      </c>
      <c r="M144" s="36"/>
      <c r="N144" s="36"/>
    </row>
    <row r="145" spans="2:14" ht="12.75" customHeight="1" x14ac:dyDescent="0.2">
      <c r="C145" s="1233" t="s">
        <v>431</v>
      </c>
      <c r="D145" s="1233"/>
      <c r="E145" s="1233"/>
      <c r="F145" s="1233"/>
      <c r="G145" s="1233"/>
      <c r="H145" s="1233"/>
      <c r="I145" s="1233"/>
      <c r="J145" s="1233"/>
      <c r="K145" s="36"/>
      <c r="L145" s="36"/>
      <c r="M145" s="36"/>
      <c r="N145" s="36"/>
    </row>
    <row r="146" spans="2:14" ht="12.75" customHeight="1" x14ac:dyDescent="0.2">
      <c r="C146" s="1233"/>
      <c r="D146" s="1233"/>
      <c r="E146" s="1233"/>
      <c r="F146" s="1233"/>
      <c r="G146" s="1233"/>
      <c r="H146" s="1233"/>
      <c r="I146" s="1233"/>
      <c r="J146" s="1233"/>
      <c r="K146" s="36"/>
      <c r="L146" s="36"/>
      <c r="M146" s="36"/>
      <c r="N146" s="36"/>
    </row>
    <row r="147" spans="2:14" ht="3" customHeight="1" x14ac:dyDescent="0.2">
      <c r="G147" s="36"/>
      <c r="H147" s="36"/>
      <c r="I147" s="36"/>
      <c r="J147" s="36"/>
      <c r="K147" s="36"/>
      <c r="L147" s="36"/>
      <c r="M147" s="36"/>
      <c r="N147" s="36"/>
    </row>
    <row r="148" spans="2:14" ht="18" customHeight="1" x14ac:dyDescent="0.2">
      <c r="B148" s="38" t="s">
        <v>663</v>
      </c>
      <c r="C148" t="s">
        <v>606</v>
      </c>
      <c r="G148" s="36"/>
      <c r="H148" s="36"/>
      <c r="I148" s="36"/>
      <c r="J148" s="36"/>
      <c r="K148" s="36"/>
      <c r="L148" s="228">
        <v>0</v>
      </c>
      <c r="M148" s="36"/>
      <c r="N148" s="36"/>
    </row>
    <row r="149" spans="2:14" ht="12.75" customHeight="1" x14ac:dyDescent="0.2">
      <c r="B149" s="38"/>
      <c r="C149" s="1233" t="s">
        <v>432</v>
      </c>
      <c r="D149" s="1233"/>
      <c r="E149" s="1233"/>
      <c r="F149" s="1233"/>
      <c r="G149" s="1233"/>
      <c r="H149" s="1233"/>
      <c r="I149" s="1233"/>
      <c r="J149" s="1233"/>
      <c r="K149" s="36"/>
      <c r="L149" s="78"/>
      <c r="M149" s="36"/>
      <c r="N149" s="36"/>
    </row>
    <row r="150" spans="2:14" ht="22.5" customHeight="1" x14ac:dyDescent="0.2">
      <c r="B150" s="38"/>
      <c r="C150" s="1233"/>
      <c r="D150" s="1233"/>
      <c r="E150" s="1233"/>
      <c r="F150" s="1233"/>
      <c r="G150" s="1233"/>
      <c r="H150" s="1233"/>
      <c r="I150" s="1233"/>
      <c r="J150" s="1233"/>
      <c r="K150" s="36"/>
      <c r="L150" s="78"/>
      <c r="M150" s="36"/>
      <c r="N150" s="36"/>
    </row>
    <row r="151" spans="2:14" ht="3.75" customHeight="1" x14ac:dyDescent="0.2">
      <c r="B151" s="38"/>
      <c r="C151" s="378"/>
      <c r="D151" s="378"/>
      <c r="E151" s="378"/>
      <c r="F151" s="378"/>
      <c r="G151" s="378"/>
      <c r="H151" s="378"/>
      <c r="I151" s="378"/>
      <c r="J151" s="378"/>
      <c r="K151" s="36"/>
      <c r="L151" s="78"/>
      <c r="M151" s="36"/>
      <c r="N151" s="36"/>
    </row>
    <row r="152" spans="2:14" ht="12.75" customHeight="1" x14ac:dyDescent="0.2">
      <c r="B152" s="38" t="s">
        <v>664</v>
      </c>
      <c r="C152" t="s">
        <v>607</v>
      </c>
      <c r="G152" s="36"/>
      <c r="H152" s="36"/>
      <c r="I152" s="36"/>
      <c r="J152" s="36"/>
      <c r="K152" s="36"/>
      <c r="L152" s="228"/>
      <c r="M152" s="36"/>
      <c r="N152" s="36"/>
    </row>
    <row r="153" spans="2:14" ht="12.75" customHeight="1" x14ac:dyDescent="0.2">
      <c r="C153" s="1232" t="s">
        <v>477</v>
      </c>
      <c r="D153" s="1232"/>
      <c r="E153" s="1232"/>
      <c r="F153" s="1232"/>
      <c r="G153" s="1232"/>
      <c r="H153" s="1232"/>
      <c r="I153" s="1232"/>
      <c r="J153" s="1232"/>
      <c r="K153" s="36"/>
      <c r="L153" s="36"/>
      <c r="M153" s="36"/>
      <c r="N153" s="36"/>
    </row>
    <row r="154" spans="2:14" ht="12.75" customHeight="1" x14ac:dyDescent="0.2">
      <c r="B154" s="38"/>
      <c r="C154" s="207" t="s">
        <v>744</v>
      </c>
      <c r="G154" s="36"/>
      <c r="H154" s="36"/>
      <c r="I154" s="36"/>
      <c r="J154" s="36"/>
      <c r="K154" s="36"/>
      <c r="L154" s="36"/>
      <c r="M154" s="36"/>
      <c r="N154" s="69">
        <f>L144-L148+L152</f>
        <v>0</v>
      </c>
    </row>
    <row r="155" spans="2:14" ht="12.75" customHeight="1" x14ac:dyDescent="0.2">
      <c r="B155" s="38"/>
      <c r="C155" s="4"/>
      <c r="G155" s="36"/>
      <c r="H155" s="36"/>
      <c r="I155" s="36"/>
      <c r="J155" s="36"/>
      <c r="K155" s="36"/>
      <c r="L155" s="36"/>
      <c r="M155" s="36"/>
      <c r="N155" s="78"/>
    </row>
    <row r="156" spans="2:14" ht="12.75" customHeight="1" x14ac:dyDescent="0.2">
      <c r="B156" s="4" t="s">
        <v>764</v>
      </c>
      <c r="G156" s="36"/>
      <c r="H156" s="36"/>
      <c r="I156" s="36"/>
      <c r="J156" s="36"/>
      <c r="K156" s="36"/>
      <c r="L156" s="36"/>
      <c r="M156" s="36"/>
      <c r="N156" s="36"/>
    </row>
    <row r="157" spans="2:14" ht="12.75" customHeight="1" x14ac:dyDescent="0.2">
      <c r="B157" s="38" t="s">
        <v>343</v>
      </c>
      <c r="C157" t="s">
        <v>478</v>
      </c>
      <c r="G157" s="36"/>
      <c r="H157" s="36"/>
      <c r="I157" s="36"/>
      <c r="J157" s="36"/>
      <c r="K157" s="36"/>
      <c r="L157" s="36"/>
      <c r="M157" s="36"/>
      <c r="N157" s="36"/>
    </row>
    <row r="158" spans="2:14" ht="12.75" customHeight="1" x14ac:dyDescent="0.2">
      <c r="C158" t="s">
        <v>479</v>
      </c>
      <c r="G158" s="36"/>
      <c r="H158" s="36"/>
      <c r="I158" s="36"/>
      <c r="J158" s="36"/>
      <c r="K158" s="36"/>
      <c r="L158" s="36"/>
      <c r="M158" s="36"/>
      <c r="N158" s="36"/>
    </row>
    <row r="159" spans="2:14" ht="3" customHeight="1" x14ac:dyDescent="0.2">
      <c r="G159" s="36"/>
      <c r="H159" s="36"/>
      <c r="I159" s="36"/>
      <c r="J159" s="36"/>
      <c r="K159" s="36"/>
      <c r="L159" s="36"/>
      <c r="M159" s="36"/>
      <c r="N159" s="36"/>
    </row>
    <row r="160" spans="2:14" ht="12.75" customHeight="1" x14ac:dyDescent="0.2">
      <c r="E160" t="s">
        <v>359</v>
      </c>
      <c r="G160" s="259"/>
      <c r="H160" s="259" t="s">
        <v>608</v>
      </c>
      <c r="I160" s="259" t="s">
        <v>608</v>
      </c>
      <c r="J160" s="259" t="s">
        <v>394</v>
      </c>
      <c r="K160" s="36"/>
      <c r="L160" s="36" t="s">
        <v>609</v>
      </c>
      <c r="M160" s="36"/>
      <c r="N160" s="36"/>
    </row>
    <row r="161" spans="2:14" ht="12.75" customHeight="1" x14ac:dyDescent="0.2">
      <c r="C161" t="s">
        <v>359</v>
      </c>
      <c r="G161" s="259" t="s">
        <v>360</v>
      </c>
      <c r="H161" s="259" t="s">
        <v>610</v>
      </c>
      <c r="I161" s="259" t="s">
        <v>611</v>
      </c>
      <c r="J161" s="462" t="s">
        <v>765</v>
      </c>
      <c r="K161" s="36"/>
      <c r="L161" s="36" t="s">
        <v>612</v>
      </c>
      <c r="M161" s="36"/>
      <c r="N161" s="36"/>
    </row>
    <row r="162" spans="2:14" ht="12.75" customHeight="1" x14ac:dyDescent="0.2">
      <c r="G162" s="228">
        <v>0</v>
      </c>
      <c r="H162" s="228">
        <v>0</v>
      </c>
      <c r="I162" s="228">
        <v>0</v>
      </c>
      <c r="J162" s="228"/>
      <c r="K162" s="78"/>
      <c r="L162" s="69">
        <f>+G162+H162-I162-J162</f>
        <v>0</v>
      </c>
      <c r="M162" s="36"/>
      <c r="N162" s="36"/>
    </row>
    <row r="163" spans="2:14" ht="12.75" customHeight="1" x14ac:dyDescent="0.2">
      <c r="G163" s="36"/>
      <c r="H163" s="36"/>
      <c r="I163" s="36"/>
      <c r="J163" s="36"/>
      <c r="K163" s="36"/>
      <c r="L163" s="36"/>
      <c r="M163" s="36"/>
      <c r="N163" s="36"/>
    </row>
    <row r="164" spans="2:14" ht="12.75" customHeight="1" x14ac:dyDescent="0.2">
      <c r="B164" s="38" t="s">
        <v>344</v>
      </c>
      <c r="C164" t="s">
        <v>395</v>
      </c>
      <c r="G164" s="36"/>
      <c r="H164" s="36"/>
      <c r="I164" s="36"/>
      <c r="J164" s="36"/>
      <c r="K164" s="36"/>
      <c r="L164" s="228">
        <v>0</v>
      </c>
      <c r="M164" s="36"/>
      <c r="N164" s="36"/>
    </row>
    <row r="165" spans="2:14" ht="12.75" customHeight="1" x14ac:dyDescent="0.2">
      <c r="B165" s="4"/>
      <c r="C165" s="379" t="s">
        <v>682</v>
      </c>
      <c r="G165" s="36"/>
      <c r="H165" s="36"/>
      <c r="I165" s="36"/>
      <c r="J165" s="36"/>
      <c r="K165" s="36"/>
      <c r="L165" s="36"/>
      <c r="M165" s="36"/>
      <c r="N165" s="36"/>
    </row>
    <row r="166" spans="2:14" ht="12.75" customHeight="1" x14ac:dyDescent="0.2">
      <c r="B166" s="4"/>
      <c r="G166" s="36"/>
      <c r="H166" s="36"/>
      <c r="I166" s="36"/>
      <c r="J166" s="36"/>
      <c r="K166" s="36"/>
      <c r="L166" s="36"/>
      <c r="M166" s="36"/>
      <c r="N166" s="36"/>
    </row>
    <row r="167" spans="2:14" ht="12.75" customHeight="1" x14ac:dyDescent="0.2">
      <c r="B167" s="38" t="s">
        <v>186</v>
      </c>
      <c r="C167" s="126" t="s">
        <v>738</v>
      </c>
      <c r="G167" s="36"/>
      <c r="H167" s="36"/>
      <c r="I167" s="36"/>
      <c r="J167" s="36"/>
      <c r="K167" s="36"/>
      <c r="L167" s="228">
        <v>0</v>
      </c>
      <c r="M167" s="36"/>
      <c r="N167" s="36"/>
    </row>
    <row r="168" spans="2:14" ht="12.75" customHeight="1" x14ac:dyDescent="0.2">
      <c r="B168" s="4"/>
      <c r="G168" s="36"/>
      <c r="H168" s="36"/>
      <c r="I168" s="36"/>
      <c r="J168" s="36"/>
      <c r="K168" s="36"/>
      <c r="L168" s="36"/>
      <c r="M168" s="36"/>
      <c r="N168" s="36"/>
    </row>
    <row r="169" spans="2:14" s="766" customFormat="1" ht="12.75" customHeight="1" x14ac:dyDescent="0.2">
      <c r="B169" s="163" t="s">
        <v>20</v>
      </c>
      <c r="C169" s="766" t="s">
        <v>1659</v>
      </c>
      <c r="G169" s="36"/>
      <c r="H169" s="36"/>
      <c r="I169" s="36"/>
      <c r="J169" s="36"/>
      <c r="K169" s="36"/>
      <c r="L169" s="770">
        <v>0</v>
      </c>
      <c r="M169" s="36"/>
      <c r="N169" s="36"/>
    </row>
    <row r="170" spans="2:14" s="766" customFormat="1" ht="12.75" customHeight="1" x14ac:dyDescent="0.2">
      <c r="B170" s="765"/>
      <c r="G170" s="36"/>
      <c r="H170" s="36"/>
      <c r="I170" s="36"/>
      <c r="J170" s="36"/>
      <c r="K170" s="36"/>
      <c r="L170" s="36"/>
      <c r="M170" s="36"/>
      <c r="N170" s="36"/>
    </row>
    <row r="171" spans="2:14" ht="12.75" customHeight="1" x14ac:dyDescent="0.2">
      <c r="B171" s="771" t="s">
        <v>727</v>
      </c>
      <c r="C171" s="1114" t="s">
        <v>766</v>
      </c>
      <c r="D171" s="1011"/>
      <c r="E171" s="1011"/>
      <c r="F171" s="1011"/>
      <c r="G171" s="1011"/>
      <c r="H171" s="1011"/>
      <c r="I171" s="1011"/>
      <c r="J171" s="1011"/>
      <c r="K171" s="36"/>
      <c r="L171" s="78"/>
      <c r="M171" s="36"/>
      <c r="N171" s="36"/>
    </row>
    <row r="172" spans="2:14" ht="24.75" customHeight="1" x14ac:dyDescent="0.2">
      <c r="C172" s="1011"/>
      <c r="D172" s="1011"/>
      <c r="E172" s="1011"/>
      <c r="F172" s="1011"/>
      <c r="G172" s="1011"/>
      <c r="H172" s="1011"/>
      <c r="I172" s="1011"/>
      <c r="J172" s="1011"/>
      <c r="K172" s="36"/>
      <c r="L172" s="78"/>
      <c r="M172" s="36"/>
      <c r="N172" s="36"/>
    </row>
    <row r="173" spans="2:14" ht="12.75" customHeight="1" x14ac:dyDescent="0.2">
      <c r="C173" s="1011"/>
      <c r="D173" s="1011"/>
      <c r="E173" s="1011"/>
      <c r="F173" s="1011"/>
      <c r="G173" s="1011"/>
      <c r="H173" s="1011"/>
      <c r="I173" s="1011"/>
      <c r="J173" s="1011"/>
      <c r="K173" s="36"/>
      <c r="L173" s="78"/>
      <c r="M173" s="36"/>
      <c r="N173" s="36"/>
    </row>
    <row r="174" spans="2:14" ht="12.75" customHeight="1" x14ac:dyDescent="0.2">
      <c r="C174" s="1011"/>
      <c r="D174" s="1011"/>
      <c r="E174" s="1011"/>
      <c r="F174" s="1011"/>
      <c r="G174" s="1011"/>
      <c r="H174" s="1011"/>
      <c r="I174" s="1011"/>
      <c r="J174" s="1011"/>
      <c r="K174" s="36"/>
      <c r="L174" s="78"/>
      <c r="M174" s="36"/>
      <c r="N174" s="36"/>
    </row>
    <row r="175" spans="2:14" ht="12.75" customHeight="1" x14ac:dyDescent="0.2">
      <c r="C175" s="1011"/>
      <c r="D175" s="1011"/>
      <c r="E175" s="1011"/>
      <c r="F175" s="1011"/>
      <c r="G175" s="1011"/>
      <c r="H175" s="1011"/>
      <c r="I175" s="1011"/>
      <c r="J175" s="1011"/>
      <c r="K175" s="36"/>
      <c r="L175" s="78"/>
      <c r="M175" s="36"/>
      <c r="N175" s="36"/>
    </row>
    <row r="176" spans="2:14" ht="10.5" customHeight="1" x14ac:dyDescent="0.2">
      <c r="C176" s="1011"/>
      <c r="D176" s="1011"/>
      <c r="E176" s="1011"/>
      <c r="F176" s="1011"/>
      <c r="G176" s="1011"/>
      <c r="H176" s="1011"/>
      <c r="I176" s="1011"/>
      <c r="J176" s="1011"/>
      <c r="K176" s="36"/>
      <c r="L176" s="78"/>
      <c r="M176" s="36"/>
      <c r="N176" s="36"/>
    </row>
    <row r="177" spans="3:14" ht="8.25" customHeight="1" x14ac:dyDescent="0.2">
      <c r="C177" s="34"/>
      <c r="D177" s="34"/>
      <c r="E177" s="34"/>
      <c r="F177" s="34"/>
      <c r="G177" s="34"/>
      <c r="H177" s="34"/>
      <c r="I177" s="34"/>
      <c r="J177" s="34"/>
      <c r="K177" s="36"/>
      <c r="L177" s="78"/>
      <c r="M177" s="36"/>
      <c r="N177" s="36"/>
    </row>
    <row r="178" spans="3:14" ht="12.75" customHeight="1" x14ac:dyDescent="0.2">
      <c r="G178" s="36"/>
      <c r="H178" s="36" t="s">
        <v>608</v>
      </c>
      <c r="I178" s="36" t="s">
        <v>608</v>
      </c>
      <c r="J178" s="36" t="s">
        <v>394</v>
      </c>
      <c r="K178" s="36"/>
      <c r="L178" s="36" t="s">
        <v>613</v>
      </c>
      <c r="M178" s="36"/>
      <c r="N178" s="36"/>
    </row>
    <row r="179" spans="3:14" ht="12.75" customHeight="1" x14ac:dyDescent="0.2">
      <c r="G179" s="172" t="s">
        <v>360</v>
      </c>
      <c r="H179" s="457" t="s">
        <v>735</v>
      </c>
      <c r="I179" s="457" t="s">
        <v>734</v>
      </c>
      <c r="J179" s="463" t="s">
        <v>765</v>
      </c>
      <c r="K179" s="36"/>
      <c r="L179" s="463" t="s">
        <v>741</v>
      </c>
      <c r="M179" s="36"/>
      <c r="N179" s="36"/>
    </row>
    <row r="180" spans="3:14" ht="12.75" customHeight="1" x14ac:dyDescent="0.2">
      <c r="C180" t="s">
        <v>269</v>
      </c>
      <c r="G180" s="228"/>
      <c r="H180" s="228"/>
      <c r="I180" s="228"/>
      <c r="J180" s="228"/>
      <c r="K180" s="36"/>
      <c r="L180" s="69">
        <f>+G180+H180-I180-J180</f>
        <v>0</v>
      </c>
      <c r="M180" s="36"/>
      <c r="N180" s="36"/>
    </row>
    <row r="181" spans="3:14" ht="12.75" customHeight="1" x14ac:dyDescent="0.2">
      <c r="C181" t="s">
        <v>270</v>
      </c>
      <c r="G181" s="228"/>
      <c r="H181" s="228"/>
      <c r="I181" s="228"/>
      <c r="J181" s="228"/>
      <c r="K181" s="36"/>
      <c r="L181" s="69">
        <f t="shared" ref="L181:L196" si="0">+G181+H181-I181-J181</f>
        <v>0</v>
      </c>
      <c r="M181" s="36"/>
      <c r="N181" s="260" t="s">
        <v>699</v>
      </c>
    </row>
    <row r="182" spans="3:14" ht="12.75" customHeight="1" x14ac:dyDescent="0.2">
      <c r="C182" t="s">
        <v>271</v>
      </c>
      <c r="G182" s="228"/>
      <c r="H182" s="228"/>
      <c r="I182" s="228"/>
      <c r="J182" s="228"/>
      <c r="K182" s="36"/>
      <c r="L182" s="69">
        <f t="shared" si="0"/>
        <v>0</v>
      </c>
      <c r="M182" s="36"/>
      <c r="N182" s="259" t="s">
        <v>596</v>
      </c>
    </row>
    <row r="183" spans="3:14" ht="12.75" customHeight="1" x14ac:dyDescent="0.2">
      <c r="C183" t="s">
        <v>272</v>
      </c>
      <c r="G183" s="228"/>
      <c r="H183" s="228"/>
      <c r="I183" s="228"/>
      <c r="J183" s="228"/>
      <c r="K183" s="36"/>
      <c r="L183" s="69">
        <f t="shared" si="0"/>
        <v>0</v>
      </c>
      <c r="M183" s="36"/>
      <c r="N183" s="259" t="s">
        <v>596</v>
      </c>
    </row>
    <row r="184" spans="3:14" ht="12.75" customHeight="1" x14ac:dyDescent="0.2">
      <c r="C184" t="s">
        <v>273</v>
      </c>
      <c r="G184" s="228"/>
      <c r="H184" s="228"/>
      <c r="I184" s="228"/>
      <c r="J184" s="228"/>
      <c r="K184" s="36"/>
      <c r="L184" s="69">
        <f t="shared" si="0"/>
        <v>0</v>
      </c>
      <c r="M184" s="36"/>
      <c r="N184" s="259" t="s">
        <v>596</v>
      </c>
    </row>
    <row r="185" spans="3:14" ht="12.75" customHeight="1" x14ac:dyDescent="0.2">
      <c r="C185" t="s">
        <v>274</v>
      </c>
      <c r="G185" s="228"/>
      <c r="H185" s="228"/>
      <c r="I185" s="228"/>
      <c r="J185" s="228"/>
      <c r="K185" s="36"/>
      <c r="L185" s="69">
        <f t="shared" si="0"/>
        <v>0</v>
      </c>
      <c r="M185" s="36"/>
      <c r="N185" s="259" t="s">
        <v>596</v>
      </c>
    </row>
    <row r="186" spans="3:14" ht="12.75" customHeight="1" x14ac:dyDescent="0.2">
      <c r="C186" t="s">
        <v>275</v>
      </c>
      <c r="G186" s="228"/>
      <c r="H186" s="228"/>
      <c r="I186" s="228"/>
      <c r="J186" s="228"/>
      <c r="K186" s="36"/>
      <c r="L186" s="69">
        <f t="shared" si="0"/>
        <v>0</v>
      </c>
      <c r="M186" s="36"/>
      <c r="N186" s="259" t="s">
        <v>596</v>
      </c>
    </row>
    <row r="187" spans="3:14" ht="12.75" customHeight="1" x14ac:dyDescent="0.2">
      <c r="C187" t="s">
        <v>488</v>
      </c>
      <c r="G187" s="228"/>
      <c r="H187" s="228"/>
      <c r="I187" s="228"/>
      <c r="J187" s="228"/>
      <c r="K187" s="36"/>
      <c r="L187" s="69">
        <f t="shared" si="0"/>
        <v>0</v>
      </c>
      <c r="M187" s="36"/>
      <c r="N187" s="259" t="s">
        <v>596</v>
      </c>
    </row>
    <row r="188" spans="3:14" ht="12.75" customHeight="1" x14ac:dyDescent="0.2">
      <c r="C188" t="s">
        <v>489</v>
      </c>
      <c r="G188" s="228"/>
      <c r="H188" s="228"/>
      <c r="I188" s="228"/>
      <c r="J188" s="228"/>
      <c r="K188" s="36"/>
      <c r="L188" s="69">
        <f t="shared" si="0"/>
        <v>0</v>
      </c>
      <c r="M188" s="36"/>
      <c r="N188" s="259" t="s">
        <v>596</v>
      </c>
    </row>
    <row r="189" spans="3:14" ht="12.75" customHeight="1" x14ac:dyDescent="0.2">
      <c r="C189" t="s">
        <v>243</v>
      </c>
      <c r="G189" s="228"/>
      <c r="H189" s="228"/>
      <c r="I189" s="228"/>
      <c r="J189" s="228"/>
      <c r="K189" s="36"/>
      <c r="L189" s="69">
        <f t="shared" si="0"/>
        <v>0</v>
      </c>
      <c r="M189" s="36"/>
      <c r="N189" s="259" t="s">
        <v>596</v>
      </c>
    </row>
    <row r="190" spans="3:14" ht="12.75" customHeight="1" x14ac:dyDescent="0.2">
      <c r="C190" t="s">
        <v>244</v>
      </c>
      <c r="G190" s="228"/>
      <c r="H190" s="228"/>
      <c r="I190" s="228"/>
      <c r="J190" s="228"/>
      <c r="K190" s="36"/>
      <c r="L190" s="69">
        <f t="shared" si="0"/>
        <v>0</v>
      </c>
      <c r="M190" s="36"/>
      <c r="N190" s="259" t="s">
        <v>596</v>
      </c>
    </row>
    <row r="191" spans="3:14" ht="12.75" customHeight="1" x14ac:dyDescent="0.2">
      <c r="C191" t="s">
        <v>277</v>
      </c>
      <c r="G191" s="228"/>
      <c r="H191" s="228"/>
      <c r="I191" s="228"/>
      <c r="J191" s="228"/>
      <c r="K191" s="36"/>
      <c r="L191" s="69">
        <f t="shared" si="0"/>
        <v>0</v>
      </c>
      <c r="M191" s="36"/>
      <c r="N191" s="259" t="s">
        <v>596</v>
      </c>
    </row>
    <row r="192" spans="3:14" ht="12.75" customHeight="1" x14ac:dyDescent="0.2">
      <c r="C192" t="s">
        <v>279</v>
      </c>
      <c r="G192" s="228"/>
      <c r="H192" s="228"/>
      <c r="I192" s="228"/>
      <c r="J192" s="228"/>
      <c r="K192" s="36"/>
      <c r="L192" s="69">
        <f t="shared" si="0"/>
        <v>0</v>
      </c>
      <c r="M192" s="36"/>
      <c r="N192" s="259" t="s">
        <v>596</v>
      </c>
    </row>
    <row r="193" spans="1:14" ht="12.75" customHeight="1" x14ac:dyDescent="0.2">
      <c r="C193" t="s">
        <v>280</v>
      </c>
      <c r="G193" s="228"/>
      <c r="H193" s="228"/>
      <c r="I193" s="228"/>
      <c r="J193" s="228"/>
      <c r="K193" s="36"/>
      <c r="L193" s="69">
        <f t="shared" si="0"/>
        <v>0</v>
      </c>
      <c r="M193" s="36"/>
      <c r="N193" s="259" t="s">
        <v>596</v>
      </c>
    </row>
    <row r="194" spans="1:14" ht="12.75" customHeight="1" x14ac:dyDescent="0.2">
      <c r="C194" t="s">
        <v>490</v>
      </c>
      <c r="G194" s="228"/>
      <c r="H194" s="228"/>
      <c r="I194" s="228"/>
      <c r="J194" s="228"/>
      <c r="K194" s="36"/>
      <c r="L194" s="69">
        <f t="shared" si="0"/>
        <v>0</v>
      </c>
      <c r="M194" s="36"/>
      <c r="N194" s="259" t="s">
        <v>596</v>
      </c>
    </row>
    <row r="195" spans="1:14" ht="12.75" customHeight="1" x14ac:dyDescent="0.2">
      <c r="C195" t="s">
        <v>263</v>
      </c>
      <c r="G195" s="228"/>
      <c r="H195" s="228"/>
      <c r="I195" s="228"/>
      <c r="J195" s="228"/>
      <c r="K195" s="36"/>
      <c r="L195" s="69">
        <f t="shared" si="0"/>
        <v>0</v>
      </c>
      <c r="M195" s="36"/>
      <c r="N195" s="259" t="s">
        <v>596</v>
      </c>
    </row>
    <row r="196" spans="1:14" ht="12.75" customHeight="1" x14ac:dyDescent="0.2">
      <c r="C196" t="s">
        <v>55</v>
      </c>
      <c r="G196" s="228"/>
      <c r="H196" s="228"/>
      <c r="I196" s="228"/>
      <c r="J196" s="228"/>
      <c r="K196" s="36"/>
      <c r="L196" s="69">
        <f t="shared" si="0"/>
        <v>0</v>
      </c>
      <c r="M196" s="36"/>
      <c r="N196" s="259" t="s">
        <v>596</v>
      </c>
    </row>
    <row r="197" spans="1:14" ht="12.75" customHeight="1" x14ac:dyDescent="0.2">
      <c r="G197" s="36"/>
      <c r="H197" s="36"/>
      <c r="I197" s="36"/>
      <c r="J197" s="36"/>
      <c r="K197" s="36"/>
      <c r="L197" s="78"/>
      <c r="M197" s="36"/>
      <c r="N197" s="259" t="s">
        <v>596</v>
      </c>
    </row>
    <row r="198" spans="1:14" ht="12.75" customHeight="1" thickBot="1" x14ac:dyDescent="0.25">
      <c r="B198" t="s">
        <v>578</v>
      </c>
      <c r="G198" s="62">
        <f>SUM(G180:G196)</f>
        <v>0</v>
      </c>
      <c r="H198" s="62">
        <f>SUM(H180:H196)</f>
        <v>0</v>
      </c>
      <c r="I198" s="62">
        <f>SUM(I180:I196)</f>
        <v>0</v>
      </c>
      <c r="J198" s="62">
        <f>SUM(J180:J196)</f>
        <v>0</v>
      </c>
      <c r="K198" s="36"/>
      <c r="L198" s="62">
        <f>SUM(L180:L196)</f>
        <v>0</v>
      </c>
      <c r="M198" s="36"/>
      <c r="N198" s="259" t="s">
        <v>597</v>
      </c>
    </row>
    <row r="199" spans="1:14" s="11" customFormat="1" ht="6.75" customHeight="1" thickTop="1" x14ac:dyDescent="0.2">
      <c r="G199" s="44"/>
      <c r="H199" s="44"/>
      <c r="I199" s="44"/>
      <c r="J199" s="44"/>
      <c r="K199" s="78"/>
      <c r="L199" s="44"/>
      <c r="M199" s="78"/>
      <c r="N199" s="78"/>
    </row>
    <row r="200" spans="1:14" s="11" customFormat="1" ht="12.75" customHeight="1" x14ac:dyDescent="0.2">
      <c r="B200" s="11" t="s">
        <v>26</v>
      </c>
      <c r="G200" s="44"/>
      <c r="H200" s="44"/>
      <c r="I200" s="44"/>
      <c r="J200" s="44"/>
      <c r="K200" s="78"/>
      <c r="L200" s="44"/>
      <c r="M200" s="78"/>
      <c r="N200" s="69">
        <f>SUM(L162:L196)</f>
        <v>0</v>
      </c>
    </row>
    <row r="201" spans="1:14" ht="6.75" customHeight="1" x14ac:dyDescent="0.2">
      <c r="G201" s="36"/>
      <c r="H201" s="36"/>
      <c r="I201" s="36"/>
      <c r="J201" s="36"/>
      <c r="K201" s="36"/>
      <c r="L201" s="36"/>
      <c r="M201" s="36"/>
      <c r="N201" s="36"/>
    </row>
    <row r="202" spans="1:14" ht="12.75" customHeight="1" x14ac:dyDescent="0.2">
      <c r="B202" s="4" t="s">
        <v>87</v>
      </c>
      <c r="G202" s="36"/>
      <c r="H202" s="36"/>
      <c r="I202" s="36"/>
      <c r="J202" s="36"/>
      <c r="K202" s="36"/>
      <c r="L202" s="78"/>
      <c r="M202" s="36"/>
      <c r="N202" s="69">
        <f>+N139-N154-N200</f>
        <v>0</v>
      </c>
    </row>
    <row r="203" spans="1:14" ht="11.25" customHeight="1" x14ac:dyDescent="0.2"/>
    <row r="204" spans="1:14" ht="11.25" customHeight="1" x14ac:dyDescent="0.2">
      <c r="D204" s="126" t="s">
        <v>661</v>
      </c>
      <c r="E204" s="461" t="s">
        <v>767</v>
      </c>
    </row>
    <row r="205" spans="1:14" ht="11.25" customHeight="1" x14ac:dyDescent="0.2">
      <c r="D205" s="126" t="s">
        <v>736</v>
      </c>
      <c r="E205" s="461" t="s">
        <v>754</v>
      </c>
    </row>
    <row r="206" spans="1:14" ht="11.25" customHeight="1" x14ac:dyDescent="0.2"/>
    <row r="207" spans="1:14" ht="25.5" customHeight="1" x14ac:dyDescent="0.2">
      <c r="A207" s="4" t="s">
        <v>649</v>
      </c>
      <c r="B207" s="1115" t="s">
        <v>384</v>
      </c>
      <c r="C207" s="1116"/>
      <c r="D207" s="1116"/>
      <c r="E207" s="1116"/>
      <c r="F207" s="1116"/>
      <c r="G207" s="1116"/>
      <c r="H207" s="1116"/>
      <c r="I207" s="1116"/>
      <c r="J207" s="1116"/>
      <c r="K207" s="1116"/>
      <c r="L207" s="1116"/>
      <c r="M207" s="1116"/>
      <c r="N207" s="1117"/>
    </row>
    <row r="208" spans="1:14" ht="3" customHeight="1" x14ac:dyDescent="0.2">
      <c r="A208" s="4"/>
      <c r="B208" s="41"/>
      <c r="C208" s="41"/>
      <c r="D208" s="41"/>
      <c r="E208" s="41"/>
      <c r="F208" s="41"/>
      <c r="G208" s="41"/>
      <c r="H208" s="41"/>
      <c r="I208" s="32"/>
      <c r="J208" s="32"/>
      <c r="K208" s="32"/>
      <c r="L208" s="32"/>
      <c r="M208" s="32"/>
      <c r="N208" s="32"/>
    </row>
    <row r="209" spans="1:14" ht="18" customHeight="1" x14ac:dyDescent="0.2">
      <c r="J209" s="46" t="s">
        <v>658</v>
      </c>
      <c r="K209" s="37"/>
      <c r="L209" s="46" t="s">
        <v>659</v>
      </c>
    </row>
    <row r="210" spans="1:14" x14ac:dyDescent="0.2">
      <c r="A210" s="114" t="s">
        <v>400</v>
      </c>
      <c r="D210" t="s">
        <v>196</v>
      </c>
      <c r="J210" s="69">
        <f>N34</f>
        <v>0</v>
      </c>
      <c r="K210" s="78"/>
      <c r="L210" s="69"/>
      <c r="N210" s="2"/>
    </row>
    <row r="211" spans="1:14" x14ac:dyDescent="0.2">
      <c r="A211" s="114"/>
      <c r="E211" t="s">
        <v>197</v>
      </c>
      <c r="I211" s="5">
        <f>SUM(J210:J211)-SUM(L210:L211)</f>
        <v>0</v>
      </c>
      <c r="J211" s="69"/>
      <c r="K211" s="78"/>
      <c r="L211" s="69">
        <f>N34</f>
        <v>0</v>
      </c>
    </row>
    <row r="212" spans="1:14" ht="4.5" customHeight="1" x14ac:dyDescent="0.2">
      <c r="A212" s="114"/>
      <c r="J212" s="36"/>
      <c r="K212" s="78"/>
      <c r="L212" s="36"/>
    </row>
    <row r="213" spans="1:14" x14ac:dyDescent="0.2">
      <c r="A213" s="114" t="s">
        <v>286</v>
      </c>
      <c r="C213" s="11"/>
      <c r="D213" s="11" t="s">
        <v>366</v>
      </c>
      <c r="E213" s="11"/>
      <c r="F213" s="11"/>
      <c r="G213" s="11"/>
      <c r="J213" s="69">
        <f>N41</f>
        <v>0</v>
      </c>
      <c r="K213" s="78"/>
      <c r="L213" s="69"/>
      <c r="N213" t="s">
        <v>56</v>
      </c>
    </row>
    <row r="214" spans="1:14" x14ac:dyDescent="0.2">
      <c r="A214" s="114"/>
      <c r="C214" s="11"/>
      <c r="D214" s="11" t="s">
        <v>655</v>
      </c>
      <c r="E214" s="11"/>
      <c r="F214" s="11"/>
      <c r="G214" s="11"/>
      <c r="H214" s="2"/>
      <c r="J214" s="69">
        <f>N44</f>
        <v>0</v>
      </c>
      <c r="K214" s="78"/>
      <c r="L214" s="69"/>
      <c r="N214" s="6" t="s">
        <v>198</v>
      </c>
    </row>
    <row r="215" spans="1:14" ht="12.75" customHeight="1" x14ac:dyDescent="0.2">
      <c r="A215" s="114"/>
      <c r="C215" s="11"/>
      <c r="D215" s="11"/>
      <c r="E215" s="11" t="s">
        <v>362</v>
      </c>
      <c r="F215" s="11"/>
      <c r="G215" s="11"/>
      <c r="J215" s="69"/>
      <c r="K215" s="78"/>
      <c r="L215" s="69">
        <f>N41</f>
        <v>0</v>
      </c>
    </row>
    <row r="216" spans="1:14" x14ac:dyDescent="0.2">
      <c r="A216" s="114"/>
      <c r="C216" s="11"/>
      <c r="D216" s="11"/>
      <c r="E216" s="11" t="s">
        <v>656</v>
      </c>
      <c r="F216" s="11"/>
      <c r="G216" s="11"/>
      <c r="I216" s="5">
        <f>SUM(J213:J216)-SUM(L213:L216)</f>
        <v>0</v>
      </c>
      <c r="J216" s="69"/>
      <c r="K216" s="78"/>
      <c r="L216" s="69">
        <f>N44</f>
        <v>0</v>
      </c>
    </row>
    <row r="217" spans="1:14" ht="4.5" customHeight="1" x14ac:dyDescent="0.2">
      <c r="A217" s="114"/>
      <c r="J217" s="36"/>
      <c r="K217" s="78"/>
      <c r="L217" s="36"/>
    </row>
    <row r="218" spans="1:14" x14ac:dyDescent="0.2">
      <c r="A218" s="114" t="s">
        <v>287</v>
      </c>
      <c r="D218" t="s">
        <v>655</v>
      </c>
      <c r="J218" s="69">
        <f>N60</f>
        <v>0</v>
      </c>
      <c r="K218" s="78"/>
      <c r="L218" s="69"/>
    </row>
    <row r="219" spans="1:14" x14ac:dyDescent="0.2">
      <c r="A219" s="114"/>
      <c r="D219" t="s">
        <v>366</v>
      </c>
      <c r="J219" s="69">
        <f>N53</f>
        <v>0</v>
      </c>
      <c r="K219" s="78"/>
      <c r="L219" s="69"/>
      <c r="N219" s="6" t="s">
        <v>57</v>
      </c>
    </row>
    <row r="220" spans="1:14" x14ac:dyDescent="0.2">
      <c r="A220" s="114"/>
      <c r="B220" s="23"/>
      <c r="D220" t="s">
        <v>707</v>
      </c>
      <c r="J220" s="69">
        <f>SUM(L221:L222)-SUM(J218:J219)</f>
        <v>0</v>
      </c>
      <c r="K220" s="78"/>
      <c r="L220" s="69"/>
      <c r="N220" s="6" t="s">
        <v>59</v>
      </c>
    </row>
    <row r="221" spans="1:14" x14ac:dyDescent="0.2">
      <c r="A221" s="114"/>
      <c r="E221" t="s">
        <v>656</v>
      </c>
      <c r="J221" s="69"/>
      <c r="K221" s="78"/>
      <c r="L221" s="69">
        <f>N57</f>
        <v>0</v>
      </c>
      <c r="N221" s="6" t="s">
        <v>58</v>
      </c>
    </row>
    <row r="222" spans="1:14" x14ac:dyDescent="0.2">
      <c r="A222" s="114"/>
      <c r="E222" t="s">
        <v>362</v>
      </c>
      <c r="I222" s="5">
        <f>SUM(J218:J222)-SUM(L218:L222)</f>
        <v>0</v>
      </c>
      <c r="J222" s="69"/>
      <c r="K222" s="78"/>
      <c r="L222" s="69">
        <f>N50</f>
        <v>0</v>
      </c>
    </row>
    <row r="223" spans="1:14" ht="3.75" customHeight="1" x14ac:dyDescent="0.2">
      <c r="A223" s="114"/>
      <c r="J223" s="78"/>
      <c r="K223" s="78"/>
      <c r="L223" s="78"/>
    </row>
    <row r="224" spans="1:14" x14ac:dyDescent="0.2">
      <c r="A224" s="114" t="s">
        <v>288</v>
      </c>
      <c r="D224" t="s">
        <v>440</v>
      </c>
      <c r="J224" s="69">
        <f>N66</f>
        <v>0</v>
      </c>
      <c r="K224" s="78"/>
      <c r="L224" s="69"/>
    </row>
    <row r="225" spans="1:14" x14ac:dyDescent="0.2">
      <c r="A225" s="114"/>
      <c r="E225" t="s">
        <v>362</v>
      </c>
      <c r="J225" s="69"/>
      <c r="K225" s="78"/>
      <c r="L225" s="69">
        <f>N66</f>
        <v>0</v>
      </c>
      <c r="N225" s="6" t="s">
        <v>632</v>
      </c>
    </row>
    <row r="226" spans="1:14" x14ac:dyDescent="0.2">
      <c r="A226" s="114"/>
      <c r="D226" t="s">
        <v>366</v>
      </c>
      <c r="J226" s="69">
        <f>N68</f>
        <v>0</v>
      </c>
      <c r="K226" s="78"/>
      <c r="L226" s="69"/>
      <c r="N226" s="6" t="s">
        <v>633</v>
      </c>
    </row>
    <row r="227" spans="1:14" x14ac:dyDescent="0.2">
      <c r="A227" s="114"/>
      <c r="E227" t="s">
        <v>441</v>
      </c>
      <c r="I227" s="5">
        <f>SUM(J224:J227)-SUM(L224:L227)</f>
        <v>0</v>
      </c>
      <c r="J227" s="69"/>
      <c r="K227" s="78"/>
      <c r="L227" s="69">
        <f>N68</f>
        <v>0</v>
      </c>
    </row>
    <row r="228" spans="1:14" ht="5.25" customHeight="1" x14ac:dyDescent="0.2">
      <c r="A228" s="114"/>
      <c r="J228" s="78"/>
      <c r="K228" s="78"/>
      <c r="L228" s="78"/>
    </row>
    <row r="229" spans="1:14" x14ac:dyDescent="0.2">
      <c r="A229" s="114" t="s">
        <v>289</v>
      </c>
      <c r="D229" t="s">
        <v>244</v>
      </c>
      <c r="H229" t="s">
        <v>124</v>
      </c>
      <c r="J229" s="69">
        <f>N75+N78</f>
        <v>0</v>
      </c>
      <c r="K229" s="78"/>
      <c r="L229" s="69"/>
    </row>
    <row r="230" spans="1:14" x14ac:dyDescent="0.2">
      <c r="A230" s="114"/>
      <c r="E230" t="s">
        <v>27</v>
      </c>
      <c r="F230" s="47"/>
      <c r="J230" s="69"/>
      <c r="K230" s="78"/>
      <c r="L230" s="69">
        <f>N75</f>
        <v>0</v>
      </c>
      <c r="N230" s="6" t="s">
        <v>635</v>
      </c>
    </row>
    <row r="231" spans="1:14" x14ac:dyDescent="0.2">
      <c r="A231" s="114"/>
      <c r="E231" t="s">
        <v>123</v>
      </c>
      <c r="I231" s="5">
        <f>SUM(J229:J231)-SUM(L229:L231)</f>
        <v>0</v>
      </c>
      <c r="J231" s="69"/>
      <c r="K231" s="78"/>
      <c r="L231" s="69">
        <f>N78</f>
        <v>0</v>
      </c>
      <c r="N231" s="6" t="s">
        <v>634</v>
      </c>
    </row>
    <row r="232" spans="1:14" ht="3.75" customHeight="1" x14ac:dyDescent="0.2">
      <c r="A232" s="114"/>
      <c r="J232" s="36"/>
      <c r="K232" s="78"/>
      <c r="L232" s="36"/>
    </row>
    <row r="233" spans="1:14" x14ac:dyDescent="0.2">
      <c r="A233" s="114" t="s">
        <v>290</v>
      </c>
      <c r="D233" t="s">
        <v>623</v>
      </c>
      <c r="J233" s="69">
        <f>N83</f>
        <v>0</v>
      </c>
      <c r="K233" s="78"/>
      <c r="L233" s="69"/>
    </row>
    <row r="234" spans="1:14" x14ac:dyDescent="0.2">
      <c r="A234" s="114"/>
      <c r="D234" t="s">
        <v>120</v>
      </c>
      <c r="J234" s="69">
        <f>N85</f>
        <v>0</v>
      </c>
      <c r="K234" s="78"/>
      <c r="L234" s="69"/>
      <c r="N234" s="6"/>
    </row>
    <row r="235" spans="1:14" x14ac:dyDescent="0.2">
      <c r="A235" s="114"/>
      <c r="D235" t="s">
        <v>723</v>
      </c>
      <c r="J235" s="69">
        <f>N87</f>
        <v>0</v>
      </c>
      <c r="K235" s="78"/>
      <c r="L235" s="69"/>
      <c r="N235" s="6"/>
    </row>
    <row r="236" spans="1:14" x14ac:dyDescent="0.2">
      <c r="A236" s="114"/>
      <c r="D236" t="s">
        <v>724</v>
      </c>
      <c r="J236" s="69">
        <f>N89</f>
        <v>0</v>
      </c>
      <c r="K236" s="78"/>
      <c r="L236" s="69"/>
      <c r="N236" s="6"/>
    </row>
    <row r="237" spans="1:14" x14ac:dyDescent="0.2">
      <c r="A237" s="114"/>
      <c r="D237" t="s">
        <v>149</v>
      </c>
      <c r="J237" s="69">
        <f>N91</f>
        <v>0</v>
      </c>
      <c r="K237" s="78"/>
      <c r="L237" s="69"/>
      <c r="N237" s="6"/>
    </row>
    <row r="238" spans="1:14" x14ac:dyDescent="0.2">
      <c r="A238" s="114"/>
      <c r="D238" t="s">
        <v>708</v>
      </c>
      <c r="J238" s="69">
        <f>N93</f>
        <v>0</v>
      </c>
      <c r="K238" s="78"/>
      <c r="L238" s="69"/>
      <c r="N238" s="6"/>
    </row>
    <row r="239" spans="1:14" x14ac:dyDescent="0.2">
      <c r="A239" s="114"/>
      <c r="D239" t="str">
        <f>'Conversion Worksheet'!C100</f>
        <v>Other long-term liability #1</v>
      </c>
      <c r="J239" s="69">
        <f>N96</f>
        <v>0</v>
      </c>
      <c r="K239" s="78"/>
      <c r="L239" s="69"/>
      <c r="N239" s="6"/>
    </row>
    <row r="240" spans="1:14" x14ac:dyDescent="0.2">
      <c r="A240" s="114"/>
      <c r="D240" t="str">
        <f>'Conversion Worksheet'!C101</f>
        <v>Other long-term liability #2</v>
      </c>
      <c r="J240" s="69">
        <f>N98</f>
        <v>0</v>
      </c>
      <c r="K240" s="78"/>
      <c r="L240" s="69"/>
      <c r="N240" s="6" t="s">
        <v>638</v>
      </c>
    </row>
    <row r="241" spans="1:14" x14ac:dyDescent="0.2">
      <c r="A241" s="114"/>
      <c r="E241" s="35" t="s">
        <v>70</v>
      </c>
      <c r="J241" s="69"/>
      <c r="K241" s="78"/>
      <c r="L241" s="69">
        <f>N83</f>
        <v>0</v>
      </c>
      <c r="N241" s="6" t="s">
        <v>23</v>
      </c>
    </row>
    <row r="242" spans="1:14" x14ac:dyDescent="0.2">
      <c r="A242" s="114"/>
      <c r="E242" s="466" t="s">
        <v>777</v>
      </c>
      <c r="J242" s="69"/>
      <c r="K242" s="78"/>
      <c r="L242" s="69">
        <f>N85</f>
        <v>0</v>
      </c>
    </row>
    <row r="243" spans="1:14" x14ac:dyDescent="0.2">
      <c r="A243" s="114"/>
      <c r="E243" s="466" t="s">
        <v>776</v>
      </c>
      <c r="J243" s="69"/>
      <c r="K243" s="78"/>
      <c r="L243" s="69">
        <f>N87</f>
        <v>0</v>
      </c>
    </row>
    <row r="244" spans="1:14" x14ac:dyDescent="0.2">
      <c r="A244" s="114"/>
      <c r="E244" s="466" t="s">
        <v>775</v>
      </c>
      <c r="J244" s="69"/>
      <c r="K244" s="78"/>
      <c r="L244" s="69">
        <f>N89</f>
        <v>0</v>
      </c>
    </row>
    <row r="245" spans="1:14" x14ac:dyDescent="0.2">
      <c r="A245" s="114"/>
      <c r="E245" s="466" t="s">
        <v>774</v>
      </c>
      <c r="J245" s="69"/>
      <c r="K245" s="78"/>
      <c r="L245" s="69">
        <f>N91</f>
        <v>0</v>
      </c>
      <c r="N245" s="6"/>
    </row>
    <row r="246" spans="1:14" x14ac:dyDescent="0.2">
      <c r="A246" s="114"/>
      <c r="E246" s="466" t="s">
        <v>773</v>
      </c>
      <c r="J246" s="69"/>
      <c r="K246" s="78"/>
      <c r="L246" s="69">
        <f>N93</f>
        <v>0</v>
      </c>
      <c r="N246" s="6"/>
    </row>
    <row r="247" spans="1:14" x14ac:dyDescent="0.2">
      <c r="A247" s="114"/>
      <c r="E247" s="35" t="str">
        <f>CONCATENATE(D239," - current")</f>
        <v>Other long-term liability #1 - current</v>
      </c>
      <c r="G247" s="38"/>
      <c r="J247" s="69"/>
      <c r="K247" s="78"/>
      <c r="L247" s="69">
        <f>N96</f>
        <v>0</v>
      </c>
      <c r="N247" s="6"/>
    </row>
    <row r="248" spans="1:14" x14ac:dyDescent="0.2">
      <c r="A248" s="114"/>
      <c r="E248" s="35" t="str">
        <f>CONCATENATE(D240," - current")</f>
        <v>Other long-term liability #2 - current</v>
      </c>
      <c r="G248" s="38"/>
      <c r="I248" s="5">
        <f>SUM(J233:J248)-SUM(L233:L248)</f>
        <v>0</v>
      </c>
      <c r="J248" s="69"/>
      <c r="K248" s="78"/>
      <c r="L248" s="69">
        <f>N98</f>
        <v>0</v>
      </c>
      <c r="N248" s="6"/>
    </row>
    <row r="249" spans="1:14" ht="4.5" customHeight="1" x14ac:dyDescent="0.2">
      <c r="A249" s="114"/>
      <c r="J249" s="36"/>
      <c r="K249" s="78"/>
      <c r="L249" s="36"/>
    </row>
    <row r="250" spans="1:14" x14ac:dyDescent="0.2">
      <c r="A250" s="114" t="s">
        <v>291</v>
      </c>
      <c r="D250" t="s">
        <v>269</v>
      </c>
      <c r="J250" s="69">
        <f t="shared" ref="J250:J266" si="1">J108</f>
        <v>0</v>
      </c>
      <c r="K250" s="78"/>
      <c r="L250" s="69"/>
    </row>
    <row r="251" spans="1:14" x14ac:dyDescent="0.2">
      <c r="A251" s="114"/>
      <c r="D251" t="s">
        <v>270</v>
      </c>
      <c r="J251" s="69">
        <f t="shared" si="1"/>
        <v>0</v>
      </c>
      <c r="K251" s="78"/>
      <c r="L251" s="69"/>
    </row>
    <row r="252" spans="1:14" x14ac:dyDescent="0.2">
      <c r="A252" s="114"/>
      <c r="D252" t="s">
        <v>271</v>
      </c>
      <c r="J252" s="69">
        <f t="shared" si="1"/>
        <v>0</v>
      </c>
      <c r="K252" s="78"/>
      <c r="L252" s="69"/>
    </row>
    <row r="253" spans="1:14" x14ac:dyDescent="0.2">
      <c r="A253" s="114"/>
      <c r="D253" t="s">
        <v>272</v>
      </c>
      <c r="J253" s="69">
        <f t="shared" si="1"/>
        <v>0</v>
      </c>
      <c r="K253" s="78"/>
      <c r="L253" s="69"/>
    </row>
    <row r="254" spans="1:14" x14ac:dyDescent="0.2">
      <c r="A254" s="114"/>
      <c r="D254" t="s">
        <v>273</v>
      </c>
      <c r="J254" s="69">
        <f t="shared" si="1"/>
        <v>0</v>
      </c>
      <c r="K254" s="78"/>
      <c r="L254" s="69"/>
    </row>
    <row r="255" spans="1:14" x14ac:dyDescent="0.2">
      <c r="A255" s="114"/>
      <c r="D255" t="s">
        <v>274</v>
      </c>
      <c r="J255" s="69">
        <f t="shared" si="1"/>
        <v>0</v>
      </c>
      <c r="K255" s="78"/>
      <c r="L255" s="69"/>
    </row>
    <row r="256" spans="1:14" x14ac:dyDescent="0.2">
      <c r="A256" s="114"/>
      <c r="D256" t="s">
        <v>275</v>
      </c>
      <c r="J256" s="69">
        <f t="shared" si="1"/>
        <v>0</v>
      </c>
      <c r="K256" s="78"/>
      <c r="L256" s="69"/>
    </row>
    <row r="257" spans="1:12" x14ac:dyDescent="0.2">
      <c r="A257" s="114"/>
      <c r="D257" t="s">
        <v>386</v>
      </c>
      <c r="J257" s="69">
        <f t="shared" si="1"/>
        <v>0</v>
      </c>
      <c r="K257" s="78"/>
      <c r="L257" s="69"/>
    </row>
    <row r="258" spans="1:12" x14ac:dyDescent="0.2">
      <c r="A258" s="114"/>
      <c r="D258" t="s">
        <v>449</v>
      </c>
      <c r="J258" s="69">
        <f t="shared" si="1"/>
        <v>0</v>
      </c>
      <c r="K258" s="78"/>
      <c r="L258" s="69"/>
    </row>
    <row r="259" spans="1:12" x14ac:dyDescent="0.2">
      <c r="A259" s="114"/>
      <c r="D259" t="s">
        <v>243</v>
      </c>
      <c r="J259" s="69">
        <f t="shared" si="1"/>
        <v>0</v>
      </c>
      <c r="K259" s="78"/>
      <c r="L259" s="69"/>
    </row>
    <row r="260" spans="1:12" x14ac:dyDescent="0.2">
      <c r="A260" s="114"/>
      <c r="D260" t="s">
        <v>244</v>
      </c>
      <c r="J260" s="69">
        <f t="shared" si="1"/>
        <v>0</v>
      </c>
      <c r="K260" s="78"/>
      <c r="L260" s="69"/>
    </row>
    <row r="261" spans="1:12" x14ac:dyDescent="0.2">
      <c r="A261" s="114"/>
      <c r="D261" t="s">
        <v>277</v>
      </c>
      <c r="J261" s="69">
        <f t="shared" si="1"/>
        <v>0</v>
      </c>
      <c r="K261" s="78"/>
      <c r="L261" s="69"/>
    </row>
    <row r="262" spans="1:12" x14ac:dyDescent="0.2">
      <c r="A262" s="114"/>
      <c r="D262" t="s">
        <v>279</v>
      </c>
      <c r="J262" s="69">
        <f t="shared" si="1"/>
        <v>0</v>
      </c>
      <c r="K262" s="78"/>
      <c r="L262" s="69"/>
    </row>
    <row r="263" spans="1:12" x14ac:dyDescent="0.2">
      <c r="A263" s="114"/>
      <c r="D263" t="s">
        <v>280</v>
      </c>
      <c r="J263" s="69">
        <f t="shared" si="1"/>
        <v>0</v>
      </c>
      <c r="K263" s="78"/>
      <c r="L263" s="69"/>
    </row>
    <row r="264" spans="1:12" x14ac:dyDescent="0.2">
      <c r="A264" s="114"/>
      <c r="D264" t="s">
        <v>278</v>
      </c>
      <c r="J264" s="69">
        <f t="shared" si="1"/>
        <v>0</v>
      </c>
      <c r="K264" s="78"/>
      <c r="L264" s="69"/>
    </row>
    <row r="265" spans="1:12" x14ac:dyDescent="0.2">
      <c r="A265" s="114"/>
      <c r="D265" t="s">
        <v>263</v>
      </c>
      <c r="J265" s="69">
        <f t="shared" si="1"/>
        <v>0</v>
      </c>
      <c r="K265" s="78"/>
      <c r="L265" s="69"/>
    </row>
    <row r="266" spans="1:12" x14ac:dyDescent="0.2">
      <c r="A266" s="114"/>
      <c r="D266" t="s">
        <v>55</v>
      </c>
      <c r="J266" s="69">
        <f t="shared" si="1"/>
        <v>0</v>
      </c>
      <c r="K266" s="78"/>
      <c r="L266" s="69"/>
    </row>
    <row r="267" spans="1:12" x14ac:dyDescent="0.2">
      <c r="A267" s="114"/>
      <c r="E267" t="s">
        <v>351</v>
      </c>
      <c r="J267" s="69"/>
      <c r="K267" s="78"/>
      <c r="L267" s="69">
        <f>J125</f>
        <v>0</v>
      </c>
    </row>
    <row r="268" spans="1:12" x14ac:dyDescent="0.2">
      <c r="A268" s="114"/>
      <c r="D268" t="s">
        <v>143</v>
      </c>
      <c r="J268" s="69">
        <f>L125+N125</f>
        <v>0</v>
      </c>
      <c r="K268" s="78"/>
      <c r="L268" s="69"/>
    </row>
    <row r="269" spans="1:12" x14ac:dyDescent="0.2">
      <c r="A269" s="114"/>
      <c r="E269" t="s">
        <v>269</v>
      </c>
      <c r="H269" t="s">
        <v>352</v>
      </c>
      <c r="J269" s="69"/>
      <c r="K269" s="78"/>
      <c r="L269" s="69">
        <f t="shared" ref="L269:L285" si="2">L108</f>
        <v>0</v>
      </c>
    </row>
    <row r="270" spans="1:12" x14ac:dyDescent="0.2">
      <c r="A270" s="114"/>
      <c r="E270" t="s">
        <v>270</v>
      </c>
      <c r="H270" t="s">
        <v>352</v>
      </c>
      <c r="J270" s="69"/>
      <c r="K270" s="78"/>
      <c r="L270" s="69">
        <f t="shared" si="2"/>
        <v>0</v>
      </c>
    </row>
    <row r="271" spans="1:12" x14ac:dyDescent="0.2">
      <c r="A271" s="114"/>
      <c r="E271" t="s">
        <v>271</v>
      </c>
      <c r="H271" t="s">
        <v>352</v>
      </c>
      <c r="J271" s="69"/>
      <c r="K271" s="78"/>
      <c r="L271" s="69">
        <f t="shared" si="2"/>
        <v>0</v>
      </c>
    </row>
    <row r="272" spans="1:12" x14ac:dyDescent="0.2">
      <c r="A272" s="114"/>
      <c r="E272" t="s">
        <v>272</v>
      </c>
      <c r="H272" t="s">
        <v>352</v>
      </c>
      <c r="J272" s="69"/>
      <c r="K272" s="78"/>
      <c r="L272" s="69">
        <f t="shared" si="2"/>
        <v>0</v>
      </c>
    </row>
    <row r="273" spans="1:14" x14ac:dyDescent="0.2">
      <c r="A273" s="114"/>
      <c r="E273" t="s">
        <v>273</v>
      </c>
      <c r="H273" t="s">
        <v>352</v>
      </c>
      <c r="J273" s="69"/>
      <c r="K273" s="78"/>
      <c r="L273" s="69">
        <f t="shared" si="2"/>
        <v>0</v>
      </c>
    </row>
    <row r="274" spans="1:14" x14ac:dyDescent="0.2">
      <c r="A274" s="114"/>
      <c r="E274" t="s">
        <v>274</v>
      </c>
      <c r="H274" t="s">
        <v>352</v>
      </c>
      <c r="J274" s="69"/>
      <c r="K274" s="78"/>
      <c r="L274" s="69">
        <f t="shared" si="2"/>
        <v>0</v>
      </c>
    </row>
    <row r="275" spans="1:14" x14ac:dyDescent="0.2">
      <c r="A275" s="114"/>
      <c r="E275" t="s">
        <v>275</v>
      </c>
      <c r="H275" t="s">
        <v>352</v>
      </c>
      <c r="J275" s="69"/>
      <c r="K275" s="78"/>
      <c r="L275" s="69">
        <f t="shared" si="2"/>
        <v>0</v>
      </c>
    </row>
    <row r="276" spans="1:14" x14ac:dyDescent="0.2">
      <c r="A276" s="114"/>
      <c r="E276" t="s">
        <v>386</v>
      </c>
      <c r="H276" t="s">
        <v>352</v>
      </c>
      <c r="J276" s="69"/>
      <c r="K276" s="78"/>
      <c r="L276" s="69">
        <f t="shared" si="2"/>
        <v>0</v>
      </c>
      <c r="N276" s="6" t="s">
        <v>636</v>
      </c>
    </row>
    <row r="277" spans="1:14" x14ac:dyDescent="0.2">
      <c r="A277" s="114"/>
      <c r="E277" t="s">
        <v>449</v>
      </c>
      <c r="H277" t="s">
        <v>352</v>
      </c>
      <c r="J277" s="69"/>
      <c r="K277" s="78"/>
      <c r="L277" s="69">
        <f t="shared" si="2"/>
        <v>0</v>
      </c>
      <c r="N277" s="6" t="s">
        <v>637</v>
      </c>
    </row>
    <row r="278" spans="1:14" x14ac:dyDescent="0.2">
      <c r="A278" s="114"/>
      <c r="E278" t="s">
        <v>243</v>
      </c>
      <c r="H278" t="s">
        <v>352</v>
      </c>
      <c r="J278" s="69"/>
      <c r="K278" s="78"/>
      <c r="L278" s="69">
        <f t="shared" si="2"/>
        <v>0</v>
      </c>
    </row>
    <row r="279" spans="1:14" x14ac:dyDescent="0.2">
      <c r="A279" s="114"/>
      <c r="E279" t="s">
        <v>244</v>
      </c>
      <c r="H279" t="s">
        <v>352</v>
      </c>
      <c r="J279" s="69"/>
      <c r="K279" s="78"/>
      <c r="L279" s="69">
        <f t="shared" si="2"/>
        <v>0</v>
      </c>
    </row>
    <row r="280" spans="1:14" x14ac:dyDescent="0.2">
      <c r="A280" s="114"/>
      <c r="E280" t="s">
        <v>277</v>
      </c>
      <c r="H280" t="s">
        <v>352</v>
      </c>
      <c r="J280" s="69"/>
      <c r="K280" s="78"/>
      <c r="L280" s="69">
        <f t="shared" si="2"/>
        <v>0</v>
      </c>
    </row>
    <row r="281" spans="1:14" x14ac:dyDescent="0.2">
      <c r="A281" s="114"/>
      <c r="E281" t="s">
        <v>279</v>
      </c>
      <c r="H281" t="s">
        <v>352</v>
      </c>
      <c r="J281" s="69"/>
      <c r="K281" s="78"/>
      <c r="L281" s="69">
        <f t="shared" si="2"/>
        <v>0</v>
      </c>
    </row>
    <row r="282" spans="1:14" x14ac:dyDescent="0.2">
      <c r="A282" s="114"/>
      <c r="E282" t="s">
        <v>280</v>
      </c>
      <c r="H282" t="s">
        <v>352</v>
      </c>
      <c r="J282" s="69"/>
      <c r="K282" s="78"/>
      <c r="L282" s="69">
        <f t="shared" si="2"/>
        <v>0</v>
      </c>
    </row>
    <row r="283" spans="1:14" x14ac:dyDescent="0.2">
      <c r="A283" s="114"/>
      <c r="E283" t="s">
        <v>490</v>
      </c>
      <c r="H283" t="s">
        <v>352</v>
      </c>
      <c r="J283" s="69"/>
      <c r="K283" s="78"/>
      <c r="L283" s="69">
        <f t="shared" si="2"/>
        <v>0</v>
      </c>
    </row>
    <row r="284" spans="1:14" x14ac:dyDescent="0.2">
      <c r="A284" s="114"/>
      <c r="E284" t="s">
        <v>263</v>
      </c>
      <c r="H284" t="s">
        <v>352</v>
      </c>
      <c r="J284" s="69"/>
      <c r="K284" s="78"/>
      <c r="L284" s="69">
        <f t="shared" si="2"/>
        <v>0</v>
      </c>
    </row>
    <row r="285" spans="1:14" x14ac:dyDescent="0.2">
      <c r="A285" s="114"/>
      <c r="E285" t="s">
        <v>55</v>
      </c>
      <c r="H285" t="s">
        <v>352</v>
      </c>
      <c r="J285" s="69"/>
      <c r="K285" s="78"/>
      <c r="L285" s="69">
        <f t="shared" si="2"/>
        <v>0</v>
      </c>
    </row>
    <row r="286" spans="1:14" x14ac:dyDescent="0.2">
      <c r="A286" s="114"/>
      <c r="E286" t="s">
        <v>269</v>
      </c>
      <c r="H286" t="s">
        <v>353</v>
      </c>
      <c r="J286" s="69"/>
      <c r="K286" s="78"/>
      <c r="L286" s="69">
        <f t="shared" ref="L286:L302" si="3">N108</f>
        <v>0</v>
      </c>
    </row>
    <row r="287" spans="1:14" x14ac:dyDescent="0.2">
      <c r="A287" s="114"/>
      <c r="E287" t="s">
        <v>270</v>
      </c>
      <c r="H287" t="s">
        <v>353</v>
      </c>
      <c r="J287" s="69"/>
      <c r="K287" s="78"/>
      <c r="L287" s="69">
        <f t="shared" si="3"/>
        <v>0</v>
      </c>
    </row>
    <row r="288" spans="1:14" x14ac:dyDescent="0.2">
      <c r="A288" s="114"/>
      <c r="E288" t="s">
        <v>271</v>
      </c>
      <c r="H288" t="s">
        <v>353</v>
      </c>
      <c r="J288" s="69"/>
      <c r="K288" s="78"/>
      <c r="L288" s="69">
        <f t="shared" si="3"/>
        <v>0</v>
      </c>
    </row>
    <row r="289" spans="1:12" x14ac:dyDescent="0.2">
      <c r="A289" s="114"/>
      <c r="E289" t="s">
        <v>272</v>
      </c>
      <c r="H289" t="s">
        <v>353</v>
      </c>
      <c r="J289" s="69"/>
      <c r="K289" s="78"/>
      <c r="L289" s="69">
        <f t="shared" si="3"/>
        <v>0</v>
      </c>
    </row>
    <row r="290" spans="1:12" x14ac:dyDescent="0.2">
      <c r="A290" s="114"/>
      <c r="E290" t="s">
        <v>273</v>
      </c>
      <c r="H290" t="s">
        <v>353</v>
      </c>
      <c r="J290" s="69"/>
      <c r="K290" s="78"/>
      <c r="L290" s="69">
        <f t="shared" si="3"/>
        <v>0</v>
      </c>
    </row>
    <row r="291" spans="1:12" x14ac:dyDescent="0.2">
      <c r="A291" s="114"/>
      <c r="E291" t="s">
        <v>274</v>
      </c>
      <c r="H291" t="s">
        <v>353</v>
      </c>
      <c r="J291" s="69"/>
      <c r="K291" s="78"/>
      <c r="L291" s="69">
        <f t="shared" si="3"/>
        <v>0</v>
      </c>
    </row>
    <row r="292" spans="1:12" x14ac:dyDescent="0.2">
      <c r="A292" s="114"/>
      <c r="E292" t="s">
        <v>275</v>
      </c>
      <c r="H292" t="s">
        <v>353</v>
      </c>
      <c r="J292" s="69"/>
      <c r="K292" s="78"/>
      <c r="L292" s="69">
        <f t="shared" si="3"/>
        <v>0</v>
      </c>
    </row>
    <row r="293" spans="1:12" x14ac:dyDescent="0.2">
      <c r="A293" s="114"/>
      <c r="E293" t="s">
        <v>122</v>
      </c>
      <c r="H293" t="s">
        <v>353</v>
      </c>
      <c r="J293" s="69"/>
      <c r="K293" s="78"/>
      <c r="L293" s="69">
        <f t="shared" si="3"/>
        <v>0</v>
      </c>
    </row>
    <row r="294" spans="1:12" x14ac:dyDescent="0.2">
      <c r="A294" s="114"/>
      <c r="E294" t="s">
        <v>389</v>
      </c>
      <c r="H294" t="s">
        <v>353</v>
      </c>
      <c r="J294" s="69"/>
      <c r="K294" s="78"/>
      <c r="L294" s="69">
        <f t="shared" si="3"/>
        <v>0</v>
      </c>
    </row>
    <row r="295" spans="1:12" x14ac:dyDescent="0.2">
      <c r="A295" s="114"/>
      <c r="E295" t="s">
        <v>243</v>
      </c>
      <c r="H295" t="s">
        <v>353</v>
      </c>
      <c r="J295" s="69"/>
      <c r="K295" s="78"/>
      <c r="L295" s="69">
        <f t="shared" si="3"/>
        <v>0</v>
      </c>
    </row>
    <row r="296" spans="1:12" x14ac:dyDescent="0.2">
      <c r="A296" s="114"/>
      <c r="E296" t="s">
        <v>244</v>
      </c>
      <c r="H296" t="s">
        <v>353</v>
      </c>
      <c r="J296" s="69"/>
      <c r="K296" s="78"/>
      <c r="L296" s="69">
        <f t="shared" si="3"/>
        <v>0</v>
      </c>
    </row>
    <row r="297" spans="1:12" x14ac:dyDescent="0.2">
      <c r="A297" s="114"/>
      <c r="E297" t="s">
        <v>277</v>
      </c>
      <c r="H297" t="s">
        <v>353</v>
      </c>
      <c r="J297" s="69"/>
      <c r="K297" s="78"/>
      <c r="L297" s="69">
        <f t="shared" si="3"/>
        <v>0</v>
      </c>
    </row>
    <row r="298" spans="1:12" x14ac:dyDescent="0.2">
      <c r="A298" s="114"/>
      <c r="E298" t="s">
        <v>279</v>
      </c>
      <c r="H298" t="s">
        <v>353</v>
      </c>
      <c r="J298" s="69"/>
      <c r="K298" s="78"/>
      <c r="L298" s="69">
        <f t="shared" si="3"/>
        <v>0</v>
      </c>
    </row>
    <row r="299" spans="1:12" x14ac:dyDescent="0.2">
      <c r="A299" s="114"/>
      <c r="E299" t="s">
        <v>280</v>
      </c>
      <c r="H299" t="s">
        <v>353</v>
      </c>
      <c r="J299" s="69"/>
      <c r="K299" s="78"/>
      <c r="L299" s="69">
        <f t="shared" si="3"/>
        <v>0</v>
      </c>
    </row>
    <row r="300" spans="1:12" x14ac:dyDescent="0.2">
      <c r="A300" s="114"/>
      <c r="E300" t="s">
        <v>278</v>
      </c>
      <c r="H300" t="s">
        <v>353</v>
      </c>
      <c r="J300" s="69"/>
      <c r="K300" s="78"/>
      <c r="L300" s="69">
        <f t="shared" si="3"/>
        <v>0</v>
      </c>
    </row>
    <row r="301" spans="1:12" x14ac:dyDescent="0.2">
      <c r="A301" s="114"/>
      <c r="E301" t="s">
        <v>263</v>
      </c>
      <c r="H301" t="s">
        <v>353</v>
      </c>
      <c r="J301" s="69"/>
      <c r="K301" s="78"/>
      <c r="L301" s="69">
        <f t="shared" si="3"/>
        <v>0</v>
      </c>
    </row>
    <row r="302" spans="1:12" x14ac:dyDescent="0.2">
      <c r="A302" s="114"/>
      <c r="E302" t="s">
        <v>55</v>
      </c>
      <c r="H302" t="s">
        <v>353</v>
      </c>
      <c r="J302" s="69"/>
      <c r="K302" s="78"/>
      <c r="L302" s="69">
        <f t="shared" si="3"/>
        <v>0</v>
      </c>
    </row>
    <row r="303" spans="1:12" x14ac:dyDescent="0.2">
      <c r="A303" s="114"/>
      <c r="I303" s="5">
        <f>SUM(J250:J303)-SUM(L250:L303)</f>
        <v>0</v>
      </c>
      <c r="J303" s="69"/>
      <c r="K303" s="78"/>
      <c r="L303" s="69" t="s">
        <v>359</v>
      </c>
    </row>
    <row r="304" spans="1:12" ht="3.75" customHeight="1" x14ac:dyDescent="0.2">
      <c r="A304" s="114"/>
      <c r="J304" s="78"/>
      <c r="K304" s="78"/>
      <c r="L304" s="78"/>
    </row>
    <row r="305" spans="1:14" ht="12.75" customHeight="1" x14ac:dyDescent="0.2">
      <c r="A305" s="114" t="s">
        <v>292</v>
      </c>
      <c r="E305" t="s">
        <v>244</v>
      </c>
      <c r="F305" s="11"/>
      <c r="G305" s="11"/>
      <c r="J305" s="69">
        <f>L132</f>
        <v>0</v>
      </c>
      <c r="K305" s="78"/>
      <c r="L305" s="69"/>
    </row>
    <row r="306" spans="1:14" ht="12.75" customHeight="1" x14ac:dyDescent="0.2">
      <c r="A306" s="114"/>
      <c r="F306" t="s">
        <v>683</v>
      </c>
      <c r="I306" s="5">
        <f>SUM(J305:J306)-SUM(L305:L306)</f>
        <v>0</v>
      </c>
      <c r="J306" s="69"/>
      <c r="K306" s="78"/>
      <c r="L306" s="69">
        <f>L132</f>
        <v>0</v>
      </c>
    </row>
    <row r="307" spans="1:14" ht="4.5" customHeight="1" x14ac:dyDescent="0.2">
      <c r="A307" s="114"/>
      <c r="J307" s="78"/>
      <c r="K307" s="78"/>
      <c r="L307" s="78"/>
    </row>
    <row r="308" spans="1:14" x14ac:dyDescent="0.2">
      <c r="A308" s="114" t="s">
        <v>293</v>
      </c>
      <c r="D308" t="s">
        <v>401</v>
      </c>
      <c r="J308" s="69">
        <f>N139</f>
        <v>0</v>
      </c>
      <c r="K308" s="78"/>
      <c r="L308" s="69"/>
    </row>
    <row r="309" spans="1:14" x14ac:dyDescent="0.2">
      <c r="E309" s="461" t="s">
        <v>744</v>
      </c>
      <c r="J309" s="69"/>
      <c r="K309" s="78"/>
      <c r="L309" s="69">
        <f>N154</f>
        <v>0</v>
      </c>
    </row>
    <row r="310" spans="1:14" x14ac:dyDescent="0.2">
      <c r="E310" t="s">
        <v>113</v>
      </c>
      <c r="J310" s="69"/>
      <c r="K310" s="78"/>
      <c r="L310" s="69">
        <f>L162</f>
        <v>0</v>
      </c>
    </row>
    <row r="311" spans="1:14" x14ac:dyDescent="0.2">
      <c r="E311" t="s">
        <v>354</v>
      </c>
      <c r="F311" t="s">
        <v>414</v>
      </c>
      <c r="J311" s="69"/>
      <c r="K311" s="78"/>
      <c r="L311" s="69">
        <f>L164</f>
        <v>0</v>
      </c>
    </row>
    <row r="312" spans="1:14" x14ac:dyDescent="0.2">
      <c r="E312" s="126" t="s">
        <v>737</v>
      </c>
      <c r="J312" s="69"/>
      <c r="K312" s="78"/>
      <c r="L312" s="69">
        <f>L167</f>
        <v>0</v>
      </c>
    </row>
    <row r="313" spans="1:14" x14ac:dyDescent="0.2">
      <c r="E313" t="s">
        <v>354</v>
      </c>
      <c r="F313" t="s">
        <v>269</v>
      </c>
      <c r="J313" s="69"/>
      <c r="K313" s="78"/>
      <c r="L313" s="69">
        <f>L180</f>
        <v>0</v>
      </c>
    </row>
    <row r="314" spans="1:14" x14ac:dyDescent="0.2">
      <c r="E314" t="s">
        <v>354</v>
      </c>
      <c r="F314" t="s">
        <v>270</v>
      </c>
      <c r="J314" s="69"/>
      <c r="K314" s="78"/>
      <c r="L314" s="69">
        <f t="shared" ref="L314:L329" si="4">L181</f>
        <v>0</v>
      </c>
    </row>
    <row r="315" spans="1:14" x14ac:dyDescent="0.2">
      <c r="E315" t="s">
        <v>354</v>
      </c>
      <c r="F315" t="s">
        <v>271</v>
      </c>
      <c r="J315" s="69"/>
      <c r="K315" s="78"/>
      <c r="L315" s="69">
        <f t="shared" si="4"/>
        <v>0</v>
      </c>
    </row>
    <row r="316" spans="1:14" x14ac:dyDescent="0.2">
      <c r="E316" t="s">
        <v>354</v>
      </c>
      <c r="F316" t="s">
        <v>272</v>
      </c>
      <c r="J316" s="69"/>
      <c r="K316" s="78"/>
      <c r="L316" s="69">
        <f t="shared" si="4"/>
        <v>0</v>
      </c>
    </row>
    <row r="317" spans="1:14" x14ac:dyDescent="0.2">
      <c r="E317" t="s">
        <v>354</v>
      </c>
      <c r="F317" t="s">
        <v>273</v>
      </c>
      <c r="J317" s="69"/>
      <c r="K317" s="78"/>
      <c r="L317" s="69">
        <f t="shared" si="4"/>
        <v>0</v>
      </c>
    </row>
    <row r="318" spans="1:14" x14ac:dyDescent="0.2">
      <c r="E318" t="s">
        <v>354</v>
      </c>
      <c r="F318" t="s">
        <v>274</v>
      </c>
      <c r="J318" s="69"/>
      <c r="K318" s="78"/>
      <c r="L318" s="69">
        <f t="shared" si="4"/>
        <v>0</v>
      </c>
    </row>
    <row r="319" spans="1:14" x14ac:dyDescent="0.2">
      <c r="E319" t="s">
        <v>354</v>
      </c>
      <c r="F319" t="s">
        <v>275</v>
      </c>
      <c r="J319" s="69"/>
      <c r="K319" s="78"/>
      <c r="L319" s="69">
        <f t="shared" si="4"/>
        <v>0</v>
      </c>
    </row>
    <row r="320" spans="1:14" x14ac:dyDescent="0.2">
      <c r="E320" t="s">
        <v>354</v>
      </c>
      <c r="F320" t="s">
        <v>386</v>
      </c>
      <c r="J320" s="69"/>
      <c r="K320" s="78"/>
      <c r="L320" s="69">
        <f t="shared" si="4"/>
        <v>0</v>
      </c>
      <c r="N320" s="6" t="s">
        <v>755</v>
      </c>
    </row>
    <row r="321" spans="5:14" x14ac:dyDescent="0.2">
      <c r="E321" t="s">
        <v>354</v>
      </c>
      <c r="F321" t="s">
        <v>449</v>
      </c>
      <c r="J321" s="69"/>
      <c r="K321" s="78"/>
      <c r="L321" s="69">
        <f t="shared" si="4"/>
        <v>0</v>
      </c>
    </row>
    <row r="322" spans="5:14" x14ac:dyDescent="0.2">
      <c r="E322" t="s">
        <v>354</v>
      </c>
      <c r="F322" t="s">
        <v>243</v>
      </c>
      <c r="J322" s="69"/>
      <c r="K322" s="78"/>
      <c r="L322" s="69">
        <f t="shared" si="4"/>
        <v>0</v>
      </c>
    </row>
    <row r="323" spans="5:14" x14ac:dyDescent="0.2">
      <c r="E323" t="s">
        <v>354</v>
      </c>
      <c r="F323" t="s">
        <v>244</v>
      </c>
      <c r="J323" s="69"/>
      <c r="K323" s="78"/>
      <c r="L323" s="69">
        <f t="shared" si="4"/>
        <v>0</v>
      </c>
    </row>
    <row r="324" spans="5:14" x14ac:dyDescent="0.2">
      <c r="E324" t="s">
        <v>354</v>
      </c>
      <c r="F324" t="s">
        <v>277</v>
      </c>
      <c r="J324" s="69"/>
      <c r="K324" s="78"/>
      <c r="L324" s="69">
        <f t="shared" si="4"/>
        <v>0</v>
      </c>
    </row>
    <row r="325" spans="5:14" x14ac:dyDescent="0.2">
      <c r="E325" t="s">
        <v>354</v>
      </c>
      <c r="F325" t="s">
        <v>279</v>
      </c>
      <c r="J325" s="69"/>
      <c r="K325" s="78"/>
      <c r="L325" s="69">
        <f t="shared" si="4"/>
        <v>0</v>
      </c>
    </row>
    <row r="326" spans="5:14" x14ac:dyDescent="0.2">
      <c r="E326" t="s">
        <v>354</v>
      </c>
      <c r="F326" t="s">
        <v>280</v>
      </c>
      <c r="J326" s="69"/>
      <c r="K326" s="78"/>
      <c r="L326" s="69">
        <f t="shared" si="4"/>
        <v>0</v>
      </c>
    </row>
    <row r="327" spans="5:14" x14ac:dyDescent="0.2">
      <c r="E327" t="s">
        <v>354</v>
      </c>
      <c r="F327" t="s">
        <v>278</v>
      </c>
      <c r="J327" s="69"/>
      <c r="K327" s="78"/>
      <c r="L327" s="69">
        <f t="shared" si="4"/>
        <v>0</v>
      </c>
    </row>
    <row r="328" spans="5:14" x14ac:dyDescent="0.2">
      <c r="E328" t="s">
        <v>354</v>
      </c>
      <c r="F328" t="s">
        <v>263</v>
      </c>
      <c r="J328" s="69"/>
      <c r="K328" s="78"/>
      <c r="L328" s="69">
        <f t="shared" si="4"/>
        <v>0</v>
      </c>
      <c r="N328" s="162"/>
    </row>
    <row r="329" spans="5:14" x14ac:dyDescent="0.2">
      <c r="E329" t="s">
        <v>354</v>
      </c>
      <c r="F329" t="s">
        <v>55</v>
      </c>
      <c r="J329" s="69"/>
      <c r="K329" s="78"/>
      <c r="L329" s="69">
        <f t="shared" si="4"/>
        <v>0</v>
      </c>
    </row>
    <row r="330" spans="5:14" s="766" customFormat="1" x14ac:dyDescent="0.2">
      <c r="E330" s="766" t="s">
        <v>1660</v>
      </c>
      <c r="J330" s="768"/>
      <c r="K330" s="78"/>
      <c r="L330" s="768">
        <f>L169</f>
        <v>0</v>
      </c>
    </row>
    <row r="331" spans="5:14" x14ac:dyDescent="0.2">
      <c r="E331" t="s">
        <v>19</v>
      </c>
      <c r="I331" s="5"/>
      <c r="J331" s="69"/>
      <c r="K331" s="78"/>
      <c r="L331" s="69">
        <f>N202</f>
        <v>0</v>
      </c>
    </row>
    <row r="332" spans="5:14" ht="13.5" thickBot="1" x14ac:dyDescent="0.25">
      <c r="J332" s="62">
        <f>SUM(J210:J331)</f>
        <v>0</v>
      </c>
      <c r="K332" s="258"/>
      <c r="L332" s="62">
        <f>SUM(L210:L331)</f>
        <v>0</v>
      </c>
    </row>
    <row r="333" spans="5:14" ht="13.5" thickTop="1" x14ac:dyDescent="0.2">
      <c r="J333" s="36"/>
      <c r="K333" s="36"/>
      <c r="L333" s="36"/>
    </row>
    <row r="334" spans="5:14" x14ac:dyDescent="0.2">
      <c r="J334" s="36"/>
      <c r="K334" s="36"/>
      <c r="L334" s="36"/>
    </row>
    <row r="335" spans="5:14" x14ac:dyDescent="0.2">
      <c r="J335" s="36"/>
      <c r="K335" s="36"/>
      <c r="L335" s="36"/>
    </row>
    <row r="336" spans="5:14" x14ac:dyDescent="0.2">
      <c r="J336" s="36"/>
      <c r="K336" s="36"/>
      <c r="L336" s="36"/>
    </row>
  </sheetData>
  <sheetProtection algorithmName="SHA-512" hashValue="rJaOF0T2tNUudHkD7RZ7NXSYxLK/lczso0l9+XsTb1ol82+KWWOMOU2faDeaDgVWEkE+Z1sjwRV39/o5FybKQQ==" saltValue="t8KYf14HADv3JuvM2OFYyg==" spinCount="100000" sheet="1" objects="1" scenarios="1"/>
  <mergeCells count="48">
    <mergeCell ref="C21:N25"/>
    <mergeCell ref="C57:L58"/>
    <mergeCell ref="C34:L35"/>
    <mergeCell ref="C41:L42"/>
    <mergeCell ref="B31:N31"/>
    <mergeCell ref="B38:N38"/>
    <mergeCell ref="N41:N42"/>
    <mergeCell ref="C50:L50"/>
    <mergeCell ref="C27:N29"/>
    <mergeCell ref="N57:N58"/>
    <mergeCell ref="N34:N35"/>
    <mergeCell ref="N44:N45"/>
    <mergeCell ref="B48:N48"/>
    <mergeCell ref="C44:L45"/>
    <mergeCell ref="C53:L54"/>
    <mergeCell ref="N53:N54"/>
    <mergeCell ref="C6:N7"/>
    <mergeCell ref="C9:N10"/>
    <mergeCell ref="C15:N16"/>
    <mergeCell ref="C18:N19"/>
    <mergeCell ref="A2:N2"/>
    <mergeCell ref="A4:N4"/>
    <mergeCell ref="C12:N13"/>
    <mergeCell ref="C75:J75"/>
    <mergeCell ref="C77:J78"/>
    <mergeCell ref="B80:N80"/>
    <mergeCell ref="C60:L60"/>
    <mergeCell ref="B73:N73"/>
    <mergeCell ref="B64:N64"/>
    <mergeCell ref="C66:J66"/>
    <mergeCell ref="C68:J68"/>
    <mergeCell ref="A129:A130"/>
    <mergeCell ref="L132:L133"/>
    <mergeCell ref="C100:L101"/>
    <mergeCell ref="C93:J94"/>
    <mergeCell ref="B129:N130"/>
    <mergeCell ref="B103:N103"/>
    <mergeCell ref="N93:N94"/>
    <mergeCell ref="B207:N207"/>
    <mergeCell ref="C105:J106"/>
    <mergeCell ref="L106:N106"/>
    <mergeCell ref="C132:J132"/>
    <mergeCell ref="C153:J153"/>
    <mergeCell ref="C140:J141"/>
    <mergeCell ref="C145:J146"/>
    <mergeCell ref="C149:J150"/>
    <mergeCell ref="C171:J176"/>
    <mergeCell ref="B137:N137"/>
  </mergeCells>
  <phoneticPr fontId="0" type="noConversion"/>
  <printOptions horizontalCentered="1"/>
  <pageMargins left="0.5" right="0.45" top="0.65" bottom="0.59" header="0.5" footer="0.5"/>
  <pageSetup scale="61" orientation="portrait" r:id="rId1"/>
  <headerFooter alignWithMargins="0">
    <oddHeader>&amp;R&amp;"Arial,Bold"&amp;12Entry  I</oddHeader>
    <oddFooter>&amp;R&amp;P</oddFooter>
  </headerFooter>
  <rowBreaks count="4" manualBreakCount="4">
    <brk id="78" max="13" man="1"/>
    <brk id="135" max="13" man="1"/>
    <brk id="205" max="13" man="1"/>
    <brk id="248" max="13" man="1"/>
  </rowBreaks>
  <ignoredErrors>
    <ignoredError sqref="B6 B9 B12 B15 B18 B21 B27 B34 B41 B44 B50 B53 B57 B60 B66 B68 B75 B77 B83 B85 B148 B152 B157 B164 B132 B105 B144 B87 B89 B91 B93 B96 B98 B16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2:X160"/>
  <sheetViews>
    <sheetView topLeftCell="A84" zoomScaleNormal="100" workbookViewId="0">
      <selection activeCell="A11" sqref="A11"/>
    </sheetView>
  </sheetViews>
  <sheetFormatPr defaultRowHeight="12.75" x14ac:dyDescent="0.2"/>
  <cols>
    <col min="1" max="1" width="15.28515625" customWidth="1"/>
    <col min="2" max="2" width="55.5703125" bestFit="1" customWidth="1"/>
    <col min="3" max="3" width="29.28515625" customWidth="1"/>
    <col min="4" max="4" width="21.42578125" customWidth="1"/>
    <col min="5" max="5" width="18.28515625" customWidth="1"/>
    <col min="6" max="6" width="30.85546875" customWidth="1"/>
    <col min="7" max="7" width="18.28515625" customWidth="1"/>
    <col min="8" max="8" width="20" customWidth="1"/>
    <col min="9" max="9" width="19.7109375" customWidth="1"/>
    <col min="10" max="10" width="19.42578125" customWidth="1"/>
    <col min="11" max="11" width="24.28515625" customWidth="1"/>
    <col min="12" max="12" width="18.28515625" customWidth="1"/>
    <col min="13" max="13" width="20" customWidth="1"/>
    <col min="14" max="14" width="16.7109375" customWidth="1"/>
    <col min="15" max="15" width="19.42578125" customWidth="1"/>
    <col min="16" max="16" width="50.5703125" customWidth="1"/>
    <col min="17" max="17" width="13.85546875" customWidth="1"/>
    <col min="18" max="18" width="30.85546875" customWidth="1"/>
    <col min="19" max="19" width="12.42578125" customWidth="1"/>
    <col min="20" max="20" width="18.7109375" customWidth="1"/>
    <col min="21" max="21" width="33" customWidth="1"/>
    <col min="22" max="22" width="15" bestFit="1" customWidth="1"/>
  </cols>
  <sheetData>
    <row r="2" spans="1:24" ht="15.75" x14ac:dyDescent="0.25">
      <c r="A2" s="1243" t="s">
        <v>1082</v>
      </c>
      <c r="B2" s="1244"/>
      <c r="C2" s="1245"/>
    </row>
    <row r="5" spans="1:24" ht="98.25" customHeight="1" x14ac:dyDescent="0.2">
      <c r="A5" s="1246" t="s">
        <v>1123</v>
      </c>
      <c r="B5" s="1246"/>
      <c r="C5" s="1246"/>
    </row>
    <row r="11" spans="1:24" x14ac:dyDescent="0.2">
      <c r="A11" s="479" t="s">
        <v>341</v>
      </c>
      <c r="B11" s="480" t="s">
        <v>1125</v>
      </c>
      <c r="C11" s="480"/>
    </row>
    <row r="14" spans="1:24" x14ac:dyDescent="0.2">
      <c r="B14" s="23" t="s">
        <v>1083</v>
      </c>
      <c r="C14" s="623" t="s">
        <v>1543</v>
      </c>
    </row>
    <row r="15" spans="1:24" x14ac:dyDescent="0.2">
      <c r="A15" s="543"/>
      <c r="B15" s="569" t="s">
        <v>781</v>
      </c>
      <c r="C15" s="543" t="str">
        <f>VLOOKUP(C14,'Jb. TSERS 2019 Summary'!B312:C615,2,FALSE)</f>
        <v>N/A</v>
      </c>
      <c r="D15" s="543"/>
      <c r="E15" s="543"/>
      <c r="F15" s="543"/>
      <c r="G15" s="543"/>
      <c r="H15" s="543"/>
      <c r="I15" s="543"/>
      <c r="J15" s="543"/>
      <c r="K15" s="543"/>
      <c r="L15" s="543"/>
      <c r="M15" s="543"/>
      <c r="N15" s="8">
        <f>(O29+P29+H29-M29-39000)*0.8</f>
        <v>-31200</v>
      </c>
      <c r="O15" s="543"/>
      <c r="P15" s="543"/>
      <c r="Q15" s="543"/>
      <c r="R15" s="543"/>
      <c r="S15" s="543"/>
      <c r="T15" s="543"/>
      <c r="U15" s="543"/>
      <c r="V15" s="543"/>
      <c r="W15" s="543"/>
      <c r="X15" s="543"/>
    </row>
    <row r="16" spans="1:24" x14ac:dyDescent="0.2">
      <c r="A16" s="543"/>
      <c r="B16" s="543"/>
      <c r="C16" s="543"/>
      <c r="D16" s="543"/>
      <c r="E16" s="543"/>
      <c r="F16" s="543"/>
      <c r="G16" s="543"/>
      <c r="H16" s="8"/>
      <c r="I16" s="543"/>
      <c r="J16" s="543"/>
      <c r="K16" s="543"/>
      <c r="L16" s="543"/>
      <c r="M16" s="543"/>
      <c r="N16" s="543"/>
      <c r="O16" s="543"/>
      <c r="P16" s="543"/>
      <c r="Q16" s="543"/>
      <c r="R16" s="543"/>
      <c r="S16" s="543"/>
      <c r="T16" s="543"/>
      <c r="U16" s="543"/>
      <c r="V16" s="543"/>
      <c r="W16" s="543"/>
      <c r="X16" s="543"/>
    </row>
    <row r="17" spans="1:24" s="541" customFormat="1" ht="57.75" customHeight="1" x14ac:dyDescent="0.2">
      <c r="A17" s="543"/>
      <c r="B17" s="82" t="s">
        <v>1697</v>
      </c>
      <c r="C17" s="624">
        <v>0</v>
      </c>
      <c r="D17" s="543"/>
      <c r="E17" s="543"/>
      <c r="F17" s="543"/>
      <c r="G17" s="543"/>
      <c r="H17" s="543"/>
      <c r="I17" s="543"/>
      <c r="J17" s="543"/>
      <c r="K17" s="543"/>
      <c r="L17" s="543"/>
      <c r="M17" s="543"/>
      <c r="N17" s="543"/>
      <c r="O17" s="543"/>
      <c r="P17" s="543"/>
      <c r="Q17" s="543"/>
      <c r="R17" s="543"/>
      <c r="S17" s="543"/>
      <c r="T17" s="543"/>
      <c r="U17" s="543"/>
      <c r="V17" s="543"/>
      <c r="W17" s="543"/>
      <c r="X17" s="543"/>
    </row>
    <row r="18" spans="1:24" hidden="1" x14ac:dyDescent="0.2">
      <c r="A18" s="541"/>
      <c r="B18" s="541"/>
      <c r="C18" s="541"/>
      <c r="D18" s="541"/>
      <c r="E18" s="541"/>
      <c r="F18" s="541"/>
      <c r="G18" s="541"/>
      <c r="H18" s="541"/>
      <c r="I18" s="541"/>
      <c r="J18" s="541"/>
      <c r="K18" s="541"/>
      <c r="L18" s="541"/>
      <c r="M18" s="541"/>
      <c r="N18" s="541"/>
      <c r="O18" s="541"/>
      <c r="P18" s="541"/>
      <c r="Q18" s="541"/>
      <c r="R18" s="541"/>
      <c r="S18" s="541"/>
      <c r="T18" s="541"/>
      <c r="U18" s="541"/>
      <c r="V18" s="541"/>
      <c r="W18" s="543"/>
      <c r="X18" s="543"/>
    </row>
    <row r="19" spans="1:24" hidden="1" x14ac:dyDescent="0.2">
      <c r="A19" s="541"/>
      <c r="B19" s="541">
        <v>2</v>
      </c>
      <c r="C19" s="541">
        <v>3</v>
      </c>
      <c r="D19" s="541">
        <v>4</v>
      </c>
      <c r="E19" s="541"/>
      <c r="F19" s="541">
        <v>5</v>
      </c>
      <c r="G19" s="541">
        <v>6</v>
      </c>
      <c r="H19" s="541">
        <v>7</v>
      </c>
      <c r="I19" s="541">
        <v>8</v>
      </c>
      <c r="J19" s="541">
        <v>9</v>
      </c>
      <c r="K19" s="541">
        <v>10</v>
      </c>
      <c r="L19" s="541">
        <v>11</v>
      </c>
      <c r="M19" s="541">
        <v>12</v>
      </c>
      <c r="N19" s="541">
        <v>13</v>
      </c>
      <c r="O19" s="541">
        <v>14</v>
      </c>
      <c r="P19" s="541">
        <v>15</v>
      </c>
      <c r="Q19" s="541">
        <v>16</v>
      </c>
      <c r="R19" s="541">
        <v>17</v>
      </c>
      <c r="S19" s="541">
        <v>18</v>
      </c>
      <c r="T19" s="541">
        <v>19</v>
      </c>
      <c r="U19" s="541">
        <v>20</v>
      </c>
      <c r="V19" s="541">
        <v>21</v>
      </c>
      <c r="W19" s="543"/>
      <c r="X19" s="543"/>
    </row>
    <row r="20" spans="1:24" ht="15" hidden="1" x14ac:dyDescent="0.25">
      <c r="A20" s="541"/>
      <c r="B20" s="541"/>
      <c r="C20" s="541"/>
      <c r="D20" s="541"/>
      <c r="E20" s="541"/>
      <c r="F20" s="52"/>
      <c r="G20" s="52"/>
      <c r="H20" s="541"/>
      <c r="I20" s="541"/>
      <c r="J20" s="476" t="s">
        <v>778</v>
      </c>
      <c r="K20" s="476"/>
      <c r="L20" s="476"/>
      <c r="M20" s="476"/>
      <c r="N20" s="541"/>
      <c r="O20" s="476" t="s">
        <v>779</v>
      </c>
      <c r="P20" s="476"/>
      <c r="Q20" s="476"/>
      <c r="R20" s="476"/>
      <c r="S20" s="541"/>
      <c r="T20" s="476" t="s">
        <v>780</v>
      </c>
      <c r="U20" s="476"/>
      <c r="V20" s="476"/>
      <c r="W20" s="543"/>
      <c r="X20" s="543"/>
    </row>
    <row r="21" spans="1:24" ht="105" x14ac:dyDescent="0.25">
      <c r="A21" s="477" t="s">
        <v>781</v>
      </c>
      <c r="B21" s="477" t="s">
        <v>782</v>
      </c>
      <c r="C21" s="477" t="s">
        <v>1129</v>
      </c>
      <c r="D21" s="477" t="s">
        <v>1130</v>
      </c>
      <c r="E21" s="477" t="s">
        <v>1151</v>
      </c>
      <c r="F21" s="477" t="s">
        <v>1152</v>
      </c>
      <c r="G21" s="477" t="s">
        <v>1131</v>
      </c>
      <c r="H21" s="477" t="s">
        <v>1132</v>
      </c>
      <c r="I21" s="477"/>
      <c r="J21" s="477" t="s">
        <v>784</v>
      </c>
      <c r="K21" s="477" t="s">
        <v>785</v>
      </c>
      <c r="L21" s="477" t="s">
        <v>786</v>
      </c>
      <c r="M21" s="477" t="s">
        <v>787</v>
      </c>
      <c r="N21" s="477"/>
      <c r="O21" s="477" t="s">
        <v>784</v>
      </c>
      <c r="P21" s="477" t="s">
        <v>785</v>
      </c>
      <c r="Q21" s="477" t="s">
        <v>786</v>
      </c>
      <c r="R21" s="477" t="s">
        <v>787</v>
      </c>
      <c r="S21" s="477"/>
      <c r="T21" s="477" t="s">
        <v>788</v>
      </c>
      <c r="U21" s="477" t="s">
        <v>789</v>
      </c>
      <c r="V21" s="477" t="s">
        <v>1153</v>
      </c>
      <c r="W21" s="543"/>
      <c r="X21" s="543"/>
    </row>
    <row r="22" spans="1:24" ht="15" x14ac:dyDescent="0.25">
      <c r="A22" s="477"/>
      <c r="B22" s="477"/>
      <c r="C22" s="477"/>
      <c r="D22" s="477"/>
      <c r="E22" s="477"/>
      <c r="F22" s="477"/>
      <c r="G22" s="477"/>
      <c r="H22" s="477"/>
      <c r="I22" s="477"/>
      <c r="J22" s="477"/>
      <c r="K22" s="477"/>
      <c r="L22" s="477"/>
      <c r="M22" s="477"/>
      <c r="N22" s="477"/>
      <c r="O22" s="477"/>
      <c r="P22" s="477"/>
      <c r="Q22" s="477"/>
      <c r="R22" s="477"/>
      <c r="S22" s="477"/>
      <c r="T22" s="477"/>
      <c r="U22" s="477"/>
      <c r="V22" s="477"/>
      <c r="W22" s="543"/>
      <c r="X22" s="543"/>
    </row>
    <row r="23" spans="1:24" ht="15" x14ac:dyDescent="0.25">
      <c r="A23" s="477" t="s">
        <v>1154</v>
      </c>
      <c r="B23" s="477"/>
      <c r="C23" s="477"/>
      <c r="D23" s="477"/>
      <c r="E23" s="477"/>
      <c r="F23" s="477"/>
      <c r="G23" s="477"/>
      <c r="H23" s="477"/>
      <c r="I23" s="477"/>
      <c r="J23" s="477"/>
      <c r="K23" s="477"/>
      <c r="L23" s="477"/>
      <c r="M23" s="477"/>
      <c r="N23" s="477"/>
      <c r="O23" s="477"/>
      <c r="P23" s="477"/>
      <c r="Q23" s="477"/>
      <c r="R23" s="477"/>
      <c r="S23" s="477"/>
      <c r="T23" s="477"/>
      <c r="U23" s="477"/>
      <c r="V23" s="477"/>
      <c r="W23" s="543"/>
      <c r="X23" s="543"/>
    </row>
    <row r="24" spans="1:24" x14ac:dyDescent="0.2">
      <c r="A24" s="23" t="str">
        <f>C15</f>
        <v>N/A</v>
      </c>
      <c r="B24" s="541" t="str">
        <f>C14</f>
        <v>NO AGENCY CHOSEN</v>
      </c>
      <c r="C24" s="574">
        <f>VLOOKUP($A$24,'Jb. TSERS 2019 Summary'!$A:$V,3,FALSE)</f>
        <v>0</v>
      </c>
      <c r="D24" s="574">
        <f>VLOOKUP($A$24,'Jb. TSERS 2019 Summary'!$A:$V,4,FALSE)</f>
        <v>0</v>
      </c>
      <c r="E24" s="570">
        <f>C24-D24</f>
        <v>0</v>
      </c>
      <c r="F24" s="681">
        <f>VLOOKUP($A$24,'Jb. TSERS 2019 Summary'!A:V,6,FALSE)</f>
        <v>0</v>
      </c>
      <c r="G24" s="681">
        <f>VLOOKUP($A$24,'Ja. TSERS 2018 Summary'!$A:$U,6,FALSE)</f>
        <v>0</v>
      </c>
      <c r="H24" s="681">
        <f>VLOOKUP($A$24,'Jb. TSERS 2019 Summary'!$A:$V,5,FALSE)</f>
        <v>0</v>
      </c>
      <c r="I24" s="36"/>
      <c r="J24" s="681">
        <f>VLOOKUP($A$24,'Jb. TSERS 2019 Summary'!$A:$V,8,FALSE)</f>
        <v>0</v>
      </c>
      <c r="K24" s="681">
        <f>VLOOKUP($A$24,'Jb. TSERS 2019 Summary'!$A:$V,9,FALSE)</f>
        <v>0</v>
      </c>
      <c r="L24" s="681">
        <f>VLOOKUP($A$24,'Jb. TSERS 2019 Summary'!$A:$V,10,FALSE)</f>
        <v>0</v>
      </c>
      <c r="M24" s="681">
        <f>VLOOKUP($A$24,'Jb. TSERS 2019 Summary'!$A:$V,11,FALSE)</f>
        <v>0</v>
      </c>
      <c r="N24" s="681"/>
      <c r="O24" s="681">
        <f>VLOOKUP($A$24,'Jb. TSERS 2019 Summary'!$A:$V,13,FALSE)</f>
        <v>0</v>
      </c>
      <c r="P24" s="681">
        <f>VLOOKUP($A$24,'Jb. TSERS 2019 Summary'!$A:$V,15,FALSE)</f>
        <v>0</v>
      </c>
      <c r="Q24" s="681">
        <f>VLOOKUP($A$24,'Jb. TSERS 2019 Summary'!$A:$V,14,FALSE)</f>
        <v>0</v>
      </c>
      <c r="R24" s="681">
        <f>VLOOKUP($A$24,'Jb. TSERS 2019 Summary'!$A:$V,16,FALSE)</f>
        <v>0</v>
      </c>
      <c r="S24" s="36"/>
      <c r="T24" s="681">
        <f>VLOOKUP($A$24,'Jb. TSERS 2019 Summary'!$A:$V,18,FALSE)</f>
        <v>0</v>
      </c>
      <c r="U24" s="681">
        <f>VLOOKUP($A$24,'Jb. TSERS 2019 Summary'!$A:$V,19,FALSE)</f>
        <v>0</v>
      </c>
      <c r="V24" s="681">
        <f>VLOOKUP($A$24,'Jb. TSERS 2019 Summary'!$A:$V,20,FALSE)</f>
        <v>0</v>
      </c>
      <c r="W24" s="543"/>
      <c r="X24" s="543"/>
    </row>
    <row r="25" spans="1:24" x14ac:dyDescent="0.2">
      <c r="A25" s="541"/>
      <c r="B25" s="541"/>
      <c r="C25" s="541"/>
      <c r="D25" s="541"/>
      <c r="E25" s="541"/>
      <c r="F25" s="541"/>
      <c r="G25" s="541"/>
      <c r="H25" s="541"/>
      <c r="I25" s="541"/>
      <c r="J25" s="541"/>
      <c r="K25" s="541"/>
      <c r="L25" s="541"/>
      <c r="M25" s="541"/>
      <c r="N25" s="541"/>
      <c r="O25" s="541"/>
      <c r="P25" s="541"/>
      <c r="Q25" s="541"/>
      <c r="R25" s="541"/>
      <c r="S25" s="541"/>
      <c r="T25" s="541"/>
      <c r="U25" s="541"/>
      <c r="V25" s="541"/>
      <c r="W25" s="543"/>
      <c r="X25" s="543"/>
    </row>
    <row r="26" spans="1:24" s="741" customFormat="1" x14ac:dyDescent="0.2">
      <c r="A26" s="736"/>
      <c r="B26" s="737" t="s">
        <v>1668</v>
      </c>
      <c r="F26" s="558">
        <f>'Jb. TSERS 2019 Summary'!F309</f>
        <v>1592389727</v>
      </c>
      <c r="G26" s="558">
        <f>'Ja. TSERS 2018 Summary'!F307</f>
        <v>7934441000</v>
      </c>
      <c r="H26" s="558">
        <f>'Jb. TSERS 2019 Summary'!E309</f>
        <v>9956088997</v>
      </c>
      <c r="I26" s="558"/>
      <c r="J26" s="558">
        <f>'Jb. TSERS 2019 Summary'!H309</f>
        <v>726602001</v>
      </c>
      <c r="K26" s="558">
        <f>'Jb. TSERS 2019 Summary'!I309</f>
        <v>948817000</v>
      </c>
      <c r="L26" s="558">
        <f>'Jb. TSERS 2019 Summary'!J309</f>
        <v>1997931003</v>
      </c>
      <c r="M26" s="558">
        <f>'Jb. TSERS 2019 Summary'!K309</f>
        <v>111458981</v>
      </c>
      <c r="N26" s="558"/>
      <c r="O26" s="558">
        <f>'Jb. TSERS 2019 Summary'!M309</f>
        <v>99915995</v>
      </c>
      <c r="P26" s="558">
        <f>'Jb. TSERS 2019 Summary'!N309</f>
        <v>0</v>
      </c>
      <c r="Q26" s="558">
        <f>'Jb. TSERS 2019 Summary'!O309</f>
        <v>0</v>
      </c>
      <c r="R26" s="558">
        <f>'Jb. TSERS 2019 Summary'!P309</f>
        <v>111458461</v>
      </c>
      <c r="S26" s="558"/>
      <c r="T26" s="558">
        <f>'Jb. TSERS 2019 Summary'!R309</f>
        <v>2280352001</v>
      </c>
      <c r="U26" s="558">
        <f>'Jb. TSERS 2019 Summary'!S309</f>
        <v>-425</v>
      </c>
      <c r="V26" s="558">
        <f>'Jb. TSERS 2019 Summary'!T309</f>
        <v>2280351576</v>
      </c>
      <c r="W26" s="742"/>
      <c r="X26" s="742"/>
    </row>
    <row r="27" spans="1:24" x14ac:dyDescent="0.2">
      <c r="A27" s="23"/>
      <c r="B27" s="541"/>
      <c r="C27" s="541"/>
      <c r="D27" s="541"/>
      <c r="E27" s="541"/>
      <c r="F27" s="568"/>
      <c r="G27" s="568"/>
      <c r="H27" s="568"/>
      <c r="I27" s="541"/>
      <c r="J27" s="568"/>
      <c r="K27" s="568"/>
      <c r="L27" s="568"/>
      <c r="M27" s="568"/>
      <c r="N27" s="541"/>
      <c r="O27" s="568"/>
      <c r="P27" s="568"/>
      <c r="Q27" s="568"/>
      <c r="R27" s="568"/>
      <c r="S27" s="541"/>
      <c r="T27" s="568"/>
      <c r="U27" s="568"/>
      <c r="V27" s="568"/>
      <c r="W27" s="543"/>
      <c r="X27" s="543"/>
    </row>
    <row r="28" spans="1:24" ht="15" x14ac:dyDescent="0.25">
      <c r="A28" s="571" t="s">
        <v>1155</v>
      </c>
      <c r="B28" s="541"/>
      <c r="C28" s="541"/>
      <c r="D28" s="541"/>
      <c r="E28" s="541"/>
      <c r="F28" s="568"/>
      <c r="G28" s="568"/>
      <c r="H28" s="568"/>
      <c r="I28" s="541"/>
      <c r="J28" s="568"/>
      <c r="K28" s="568"/>
      <c r="L28" s="568"/>
      <c r="M28" s="568"/>
      <c r="N28" s="541"/>
      <c r="O28" s="568"/>
      <c r="P28" s="568"/>
      <c r="Q28" s="568"/>
      <c r="R28" s="568"/>
      <c r="S28" s="541"/>
      <c r="T28" s="568"/>
      <c r="U28" s="568"/>
      <c r="V28" s="568"/>
      <c r="W28" s="543"/>
      <c r="X28" s="543"/>
    </row>
    <row r="29" spans="1:24" x14ac:dyDescent="0.2">
      <c r="A29" s="23" t="str">
        <f>C15</f>
        <v>N/A</v>
      </c>
      <c r="B29" s="541" t="str">
        <f>C14</f>
        <v>NO AGENCY CHOSEN</v>
      </c>
      <c r="C29" s="574">
        <f>VLOOKUP($A$24,'Ja. TSERS 2018 Summary'!$A:$U,3,FALSE)</f>
        <v>0</v>
      </c>
      <c r="D29" s="574">
        <f>VLOOKUP($A$24,'Ja. TSERS 2018 Summary'!$A:$U,4,FALSE)</f>
        <v>0</v>
      </c>
      <c r="E29" s="570">
        <f>C29-D29</f>
        <v>0</v>
      </c>
      <c r="F29" s="681">
        <f>VLOOKUP($A$24,'Ja. TSERS 2018 Summary'!$A:$U,7,FALSE)</f>
        <v>0</v>
      </c>
      <c r="G29" s="681">
        <f>VLOOKUP($A$24,'Ja. TSERS 2018 Summary'!$A:$U,5,FALSE)</f>
        <v>0</v>
      </c>
      <c r="H29" s="681">
        <f>VLOOKUP($A$24,'Ja. TSERS 2018 Summary'!$A:$U,6,FALSE)</f>
        <v>0</v>
      </c>
      <c r="I29" s="36"/>
      <c r="J29" s="681">
        <f>VLOOKUP($A$24,'Ja. TSERS 2018 Summary'!$A:$U,9,FALSE)</f>
        <v>0</v>
      </c>
      <c r="K29" s="681">
        <f>VLOOKUP($A$24,'Ja. TSERS 2018 Summary'!$A:$U,10,FALSE)</f>
        <v>0</v>
      </c>
      <c r="L29" s="681">
        <f>VLOOKUP($A$24,'Ja. TSERS 2018 Summary'!$A:$U,11,FALSE)</f>
        <v>0</v>
      </c>
      <c r="M29" s="681">
        <f>VLOOKUP($A$24,'Ja. TSERS 2018 Summary'!$A:$U,12,FALSE)</f>
        <v>0</v>
      </c>
      <c r="N29" s="36"/>
      <c r="O29" s="681">
        <f>VLOOKUP($A$24,'Ja. TSERS 2018 Summary'!$A:$U,14,FALSE)</f>
        <v>0</v>
      </c>
      <c r="P29" s="681">
        <f>VLOOKUP($A$24,'Ja. TSERS 2018 Summary'!$A:$U,15,FALSE)</f>
        <v>0</v>
      </c>
      <c r="Q29" s="681">
        <f>VLOOKUP($A$24,'Ja. TSERS 2018 Summary'!$A:$U,16,FALSE)</f>
        <v>0</v>
      </c>
      <c r="R29" s="681">
        <f>VLOOKUP($A$24,'Ja. TSERS 2018 Summary'!$A:$U,17,FALSE)</f>
        <v>0</v>
      </c>
      <c r="S29" s="36"/>
      <c r="T29" s="681">
        <f>VLOOKUP($A$24,'Ja. TSERS 2018 Summary'!$A:$U,19,FALSE)</f>
        <v>0</v>
      </c>
      <c r="U29" s="681">
        <f>VLOOKUP($A$24,'Ja. TSERS 2018 Summary'!$A:$U,20,FALSE)</f>
        <v>0</v>
      </c>
      <c r="V29" s="681">
        <f>VLOOKUP($A$24,'Ja. TSERS 2018 Summary'!$A:$U,21,FALSE)</f>
        <v>0</v>
      </c>
      <c r="W29" s="543"/>
      <c r="X29" s="543"/>
    </row>
    <row r="30" spans="1:24" x14ac:dyDescent="0.2">
      <c r="A30" s="23"/>
      <c r="B30" s="541"/>
      <c r="C30" s="541"/>
      <c r="D30" s="541"/>
      <c r="E30" s="541"/>
      <c r="F30" s="568"/>
      <c r="G30" s="568"/>
      <c r="H30" s="568"/>
      <c r="I30" s="541"/>
      <c r="J30" s="568"/>
      <c r="K30" s="568"/>
      <c r="L30" s="568"/>
      <c r="M30" s="568"/>
      <c r="N30" s="541"/>
      <c r="O30" s="568"/>
      <c r="P30" s="568"/>
      <c r="Q30" s="568"/>
      <c r="R30" s="568"/>
      <c r="S30" s="541"/>
      <c r="T30" s="568"/>
      <c r="U30" s="568"/>
      <c r="V30" s="568"/>
      <c r="W30" s="543"/>
      <c r="X30" s="543"/>
    </row>
    <row r="31" spans="1:24" s="741" customFormat="1" x14ac:dyDescent="0.2">
      <c r="A31" s="736"/>
      <c r="B31" s="737" t="s">
        <v>1527</v>
      </c>
      <c r="F31" s="558">
        <f>'Ja. TSERS 2018 Summary'!G307</f>
        <v>1435701943</v>
      </c>
      <c r="G31" s="558">
        <f>'Ja. TSERS 2018 Summary'!E307</f>
        <v>9191032996</v>
      </c>
      <c r="H31" s="558">
        <f>'Ja. TSERS 2018 Summary'!F307</f>
        <v>7934441000</v>
      </c>
      <c r="I31" s="558"/>
      <c r="J31" s="558">
        <f>'Ja. TSERS 2018 Summary'!I307</f>
        <v>172004000</v>
      </c>
      <c r="K31" s="558">
        <f>'Ja. TSERS 2018 Summary'!J307</f>
        <v>3783077000</v>
      </c>
      <c r="L31" s="558">
        <f>'Ja. TSERS 2018 Summary'!K307</f>
        <v>1253522000</v>
      </c>
      <c r="M31" s="558">
        <f>'Ja. TSERS 2018 Summary'!L307</f>
        <v>115997289</v>
      </c>
      <c r="N31" s="558"/>
      <c r="O31" s="558">
        <f>'Ja. TSERS 2018 Summary'!N307</f>
        <v>259577000</v>
      </c>
      <c r="P31" s="558">
        <f>'Ja. TSERS 2018 Summary'!O307</f>
        <v>2709278000</v>
      </c>
      <c r="Q31" s="558">
        <f>'Ja. TSERS 2018 Summary'!P307</f>
        <v>0</v>
      </c>
      <c r="R31" s="558">
        <f>'Ja. TSERS 2018 Summary'!Q307</f>
        <v>115997085</v>
      </c>
      <c r="S31" s="558"/>
      <c r="T31" s="558">
        <f>'Ja. TSERS 2018 Summary'!S307</f>
        <v>2138252000</v>
      </c>
      <c r="U31" s="558">
        <f>'Ja. TSERS 2018 Summary'!T307</f>
        <v>143</v>
      </c>
      <c r="V31" s="558">
        <f>'Ja. TSERS 2018 Summary'!U307</f>
        <v>2138252143</v>
      </c>
      <c r="W31" s="742"/>
      <c r="X31" s="742"/>
    </row>
    <row r="32" spans="1:24" x14ac:dyDescent="0.2">
      <c r="A32" s="23"/>
      <c r="B32" s="541"/>
      <c r="C32" s="541"/>
      <c r="D32" s="541"/>
      <c r="E32" s="541"/>
      <c r="F32" s="568"/>
      <c r="G32" s="568"/>
      <c r="H32" s="568"/>
      <c r="I32" s="541"/>
      <c r="J32" s="568"/>
      <c r="K32" s="568"/>
      <c r="L32" s="568"/>
      <c r="M32" s="568"/>
      <c r="N32" s="541"/>
      <c r="O32" s="568"/>
      <c r="P32" s="568"/>
      <c r="Q32" s="568"/>
      <c r="R32" s="568"/>
      <c r="S32" s="541"/>
      <c r="T32" s="568"/>
      <c r="U32" s="568"/>
      <c r="V32" s="568"/>
      <c r="W32" s="543"/>
      <c r="X32" s="543"/>
    </row>
    <row r="33" spans="1:24" x14ac:dyDescent="0.2">
      <c r="A33" s="23"/>
      <c r="B33" s="541"/>
      <c r="C33" s="541"/>
      <c r="D33" s="541"/>
      <c r="E33" s="541"/>
      <c r="F33" s="568"/>
      <c r="G33" s="568"/>
      <c r="H33" s="568"/>
      <c r="I33" s="541"/>
      <c r="J33" s="82"/>
      <c r="K33" s="8">
        <f>K29-P29</f>
        <v>0</v>
      </c>
      <c r="L33" s="568"/>
      <c r="M33" s="568"/>
      <c r="N33" s="541"/>
      <c r="O33" s="568"/>
      <c r="P33" s="568"/>
      <c r="Q33" s="568"/>
      <c r="R33" s="568"/>
      <c r="S33" s="541"/>
      <c r="T33" s="568"/>
      <c r="U33" s="568"/>
      <c r="V33" s="568"/>
      <c r="W33" s="543"/>
      <c r="X33" s="543"/>
    </row>
    <row r="34" spans="1:24" ht="15" x14ac:dyDescent="0.25">
      <c r="A34" s="569"/>
      <c r="B34" s="616"/>
      <c r="C34" s="580"/>
      <c r="D34" s="580"/>
      <c r="E34" s="580"/>
      <c r="F34" s="612"/>
      <c r="G34" s="612"/>
      <c r="H34" s="612"/>
      <c r="I34" s="580"/>
      <c r="J34" s="612"/>
      <c r="K34" s="612"/>
      <c r="L34" s="612"/>
      <c r="M34" s="612"/>
      <c r="N34" s="580"/>
      <c r="O34" s="612"/>
      <c r="P34" s="568"/>
      <c r="Q34" s="568"/>
      <c r="R34" s="568"/>
      <c r="S34" s="541"/>
      <c r="T34" s="568"/>
      <c r="U34" s="568"/>
      <c r="V34" s="568"/>
      <c r="W34" s="543"/>
      <c r="X34" s="543"/>
    </row>
    <row r="35" spans="1:24" x14ac:dyDescent="0.2">
      <c r="A35" s="569"/>
      <c r="B35" s="580" t="s">
        <v>1193</v>
      </c>
      <c r="C35" s="580"/>
      <c r="D35" s="8">
        <f>G24</f>
        <v>0</v>
      </c>
      <c r="E35" s="617"/>
      <c r="F35" s="612"/>
      <c r="G35" s="612"/>
      <c r="H35" s="612"/>
      <c r="I35" s="580"/>
      <c r="J35" s="612"/>
      <c r="K35" s="612"/>
      <c r="L35" s="612"/>
      <c r="M35" s="612"/>
      <c r="N35" s="580"/>
      <c r="O35" s="612"/>
      <c r="P35" s="568"/>
      <c r="Q35" s="568"/>
      <c r="R35" s="568"/>
      <c r="S35" s="541"/>
      <c r="T35" s="568"/>
      <c r="U35" s="568"/>
      <c r="V35" s="568"/>
      <c r="W35" s="543"/>
      <c r="X35" s="543"/>
    </row>
    <row r="36" spans="1:24" ht="15" x14ac:dyDescent="0.25">
      <c r="A36" s="569"/>
      <c r="B36" s="580" t="s">
        <v>1194</v>
      </c>
      <c r="C36" s="580"/>
      <c r="D36" s="8"/>
      <c r="E36" s="617">
        <f>H24</f>
        <v>0</v>
      </c>
      <c r="F36" s="477"/>
      <c r="G36" s="612"/>
      <c r="H36" s="580"/>
      <c r="I36" s="612"/>
      <c r="J36" s="612"/>
      <c r="K36" s="612"/>
      <c r="L36" s="612"/>
      <c r="M36" s="580"/>
      <c r="N36" s="612"/>
      <c r="O36" s="580"/>
      <c r="P36" s="568"/>
      <c r="Q36" s="568"/>
      <c r="R36" s="568"/>
      <c r="S36" s="541"/>
      <c r="T36" s="568"/>
      <c r="U36" s="568"/>
      <c r="V36" s="568"/>
      <c r="W36" s="543"/>
      <c r="X36" s="543"/>
    </row>
    <row r="37" spans="1:24" x14ac:dyDescent="0.2">
      <c r="A37" s="569"/>
      <c r="B37" s="580" t="s">
        <v>1173</v>
      </c>
      <c r="C37" s="580"/>
      <c r="D37" s="8">
        <f>V24</f>
        <v>0</v>
      </c>
      <c r="E37" s="617"/>
      <c r="F37" s="612"/>
      <c r="G37" s="612"/>
      <c r="H37" s="580"/>
      <c r="I37" s="612"/>
      <c r="J37" s="612"/>
      <c r="K37" s="612"/>
      <c r="L37" s="612"/>
      <c r="M37" s="580"/>
      <c r="N37" s="612"/>
      <c r="O37" s="580"/>
      <c r="P37" s="568"/>
      <c r="Q37" s="568"/>
      <c r="R37" s="568"/>
      <c r="S37" s="541"/>
      <c r="T37" s="568"/>
      <c r="U37" s="568"/>
      <c r="V37" s="568"/>
      <c r="W37" s="543"/>
      <c r="X37" s="543"/>
    </row>
    <row r="38" spans="1:24" x14ac:dyDescent="0.2">
      <c r="A38" s="569"/>
      <c r="B38" s="580" t="s">
        <v>1174</v>
      </c>
      <c r="C38" s="580"/>
      <c r="D38" s="8"/>
      <c r="E38" s="617">
        <f>J29</f>
        <v>0</v>
      </c>
      <c r="F38" s="612"/>
      <c r="G38" s="612"/>
      <c r="H38" s="580"/>
      <c r="I38" s="612"/>
      <c r="J38" s="612"/>
      <c r="K38" s="612"/>
      <c r="L38" s="612"/>
      <c r="M38" s="580"/>
      <c r="N38" s="612"/>
      <c r="O38" s="580"/>
      <c r="P38" s="568"/>
      <c r="Q38" s="568"/>
      <c r="R38" s="568"/>
      <c r="S38" s="541"/>
      <c r="T38" s="568"/>
      <c r="U38" s="568"/>
      <c r="V38" s="568"/>
      <c r="W38" s="543"/>
      <c r="X38" s="543"/>
    </row>
    <row r="39" spans="1:24" x14ac:dyDescent="0.2">
      <c r="A39" s="569"/>
      <c r="B39" s="580" t="s">
        <v>1175</v>
      </c>
      <c r="C39" s="580"/>
      <c r="D39" s="8"/>
      <c r="E39" s="617">
        <f>IF(K29-P29&gt;0,K29-P29,0)</f>
        <v>0</v>
      </c>
      <c r="F39" s="612"/>
      <c r="G39" s="612"/>
      <c r="H39" s="580"/>
      <c r="I39" s="612"/>
      <c r="J39" s="612"/>
      <c r="K39" s="612"/>
      <c r="L39" s="612"/>
      <c r="M39" s="580"/>
      <c r="N39" s="612"/>
      <c r="O39" s="580"/>
      <c r="P39" s="568"/>
      <c r="Q39" s="568"/>
      <c r="R39" s="568"/>
      <c r="S39" s="541"/>
      <c r="T39" s="568"/>
      <c r="U39" s="568"/>
      <c r="V39" s="568"/>
      <c r="W39" s="543"/>
      <c r="X39" s="543"/>
    </row>
    <row r="40" spans="1:24" x14ac:dyDescent="0.2">
      <c r="A40" s="569"/>
      <c r="B40" s="580" t="s">
        <v>1176</v>
      </c>
      <c r="C40" s="580"/>
      <c r="D40" s="8"/>
      <c r="E40" s="617">
        <f>L29</f>
        <v>0</v>
      </c>
      <c r="F40" s="104"/>
      <c r="G40" s="104"/>
      <c r="H40" s="104"/>
      <c r="I40" s="104"/>
      <c r="J40" s="104"/>
      <c r="K40" s="104"/>
      <c r="L40" s="104"/>
      <c r="M40" s="104"/>
      <c r="N40" s="104"/>
      <c r="O40" s="580"/>
      <c r="P40" s="568"/>
      <c r="Q40" s="568"/>
      <c r="R40" s="568"/>
      <c r="S40" s="541"/>
      <c r="T40" s="568"/>
      <c r="U40" s="568"/>
      <c r="V40" s="568"/>
      <c r="W40" s="543"/>
      <c r="X40" s="543"/>
    </row>
    <row r="41" spans="1:24" x14ac:dyDescent="0.2">
      <c r="A41" s="569"/>
      <c r="B41" s="82" t="s">
        <v>1177</v>
      </c>
      <c r="C41" s="580"/>
      <c r="D41" s="8"/>
      <c r="E41" s="617">
        <f>M29</f>
        <v>0</v>
      </c>
      <c r="F41" s="104"/>
      <c r="G41" s="104"/>
      <c r="H41" s="104"/>
      <c r="I41" s="104"/>
      <c r="J41" s="104"/>
      <c r="K41" s="104"/>
      <c r="L41" s="104"/>
      <c r="M41" s="104"/>
      <c r="N41" s="104"/>
      <c r="O41" s="580"/>
      <c r="P41" s="568"/>
      <c r="Q41" s="568"/>
      <c r="R41" s="568"/>
      <c r="S41" s="541"/>
      <c r="T41" s="568"/>
      <c r="U41" s="568"/>
      <c r="V41" s="568"/>
      <c r="W41" s="543"/>
      <c r="X41" s="543"/>
    </row>
    <row r="42" spans="1:24" x14ac:dyDescent="0.2">
      <c r="A42" s="569"/>
      <c r="B42" s="82" t="s">
        <v>1178</v>
      </c>
      <c r="C42" s="580"/>
      <c r="D42" s="8">
        <f>O29</f>
        <v>0</v>
      </c>
      <c r="E42" s="375"/>
      <c r="F42" s="581"/>
      <c r="G42" s="581"/>
      <c r="H42" s="581"/>
      <c r="I42" s="580"/>
      <c r="J42" s="572"/>
      <c r="K42" s="580"/>
      <c r="L42" s="580"/>
      <c r="M42" s="580"/>
      <c r="N42" s="580"/>
      <c r="O42" s="580"/>
      <c r="P42" s="568"/>
      <c r="Q42" s="568"/>
      <c r="R42" s="568"/>
      <c r="S42" s="541"/>
      <c r="T42" s="568"/>
      <c r="U42" s="568"/>
      <c r="V42" s="568"/>
      <c r="W42" s="543"/>
      <c r="X42" s="543"/>
    </row>
    <row r="43" spans="1:24" x14ac:dyDescent="0.2">
      <c r="A43" s="569"/>
      <c r="B43" s="580" t="s">
        <v>1179</v>
      </c>
      <c r="C43" s="580"/>
      <c r="D43" s="8">
        <f>IF(P29-K29&gt;0,P29-K29,0)</f>
        <v>0</v>
      </c>
      <c r="E43" s="617"/>
      <c r="F43" s="581"/>
      <c r="G43" s="581"/>
      <c r="H43" s="581"/>
      <c r="I43" s="580"/>
      <c r="J43" s="572"/>
      <c r="K43" s="580"/>
      <c r="L43" s="580"/>
      <c r="M43" s="580"/>
      <c r="N43" s="580"/>
      <c r="O43" s="580"/>
      <c r="P43" s="568"/>
      <c r="Q43" s="568"/>
      <c r="R43" s="568"/>
      <c r="S43" s="541"/>
      <c r="T43" s="568"/>
      <c r="U43" s="568"/>
      <c r="V43" s="568"/>
      <c r="W43" s="543"/>
      <c r="X43" s="543"/>
    </row>
    <row r="44" spans="1:24" ht="15" x14ac:dyDescent="0.25">
      <c r="A44" s="569"/>
      <c r="B44" s="620" t="s">
        <v>1180</v>
      </c>
      <c r="C44" s="618"/>
      <c r="D44" s="621">
        <f>Q29</f>
        <v>0</v>
      </c>
      <c r="E44" s="621"/>
      <c r="F44" s="619"/>
      <c r="G44" s="619"/>
      <c r="H44" s="619"/>
      <c r="I44" s="619"/>
      <c r="J44" s="619"/>
      <c r="K44" s="619"/>
      <c r="L44" s="619"/>
      <c r="M44" s="619"/>
      <c r="N44" s="619"/>
      <c r="O44" s="580"/>
      <c r="P44" s="568"/>
      <c r="Q44" s="568"/>
      <c r="R44" s="568"/>
      <c r="S44" s="541"/>
      <c r="T44" s="568"/>
      <c r="U44" s="568"/>
      <c r="V44" s="568"/>
      <c r="W44" s="543"/>
      <c r="X44" s="543"/>
    </row>
    <row r="45" spans="1:24" x14ac:dyDescent="0.2">
      <c r="A45" s="569"/>
      <c r="B45" s="620" t="s">
        <v>1181</v>
      </c>
      <c r="C45" s="618"/>
      <c r="D45" s="621">
        <f>R29</f>
        <v>0</v>
      </c>
      <c r="E45" s="621"/>
      <c r="F45" s="613"/>
      <c r="G45" s="613"/>
      <c r="H45" s="613"/>
      <c r="I45" s="580"/>
      <c r="J45" s="580"/>
      <c r="K45" s="580"/>
      <c r="L45" s="580"/>
      <c r="M45" s="580"/>
      <c r="N45" s="580"/>
      <c r="O45" s="580"/>
      <c r="P45" s="568"/>
      <c r="Q45" s="568"/>
      <c r="R45" s="568"/>
      <c r="S45" s="541"/>
      <c r="T45" s="568"/>
      <c r="U45" s="568"/>
      <c r="V45" s="568"/>
      <c r="W45" s="543"/>
      <c r="X45" s="543"/>
    </row>
    <row r="46" spans="1:24" x14ac:dyDescent="0.2">
      <c r="A46" s="569"/>
      <c r="B46" s="580" t="s">
        <v>1182</v>
      </c>
      <c r="C46" s="618"/>
      <c r="D46" s="621">
        <f>J24</f>
        <v>0</v>
      </c>
      <c r="E46" s="621"/>
      <c r="F46" s="580"/>
      <c r="G46" s="580"/>
      <c r="H46" s="580"/>
      <c r="I46" s="580"/>
      <c r="J46" s="580"/>
      <c r="K46" s="580"/>
      <c r="L46" s="580"/>
      <c r="M46" s="580"/>
      <c r="N46" s="580"/>
      <c r="O46" s="580"/>
      <c r="P46" s="568"/>
      <c r="Q46" s="568"/>
      <c r="R46" s="568"/>
      <c r="S46" s="541"/>
      <c r="T46" s="568"/>
      <c r="U46" s="568"/>
      <c r="V46" s="568"/>
      <c r="W46" s="543"/>
      <c r="X46" s="543"/>
    </row>
    <row r="47" spans="1:24" x14ac:dyDescent="0.2">
      <c r="A47" s="569"/>
      <c r="B47" s="580" t="s">
        <v>1183</v>
      </c>
      <c r="C47" s="618"/>
      <c r="D47" s="621">
        <f>IF(K24-P24&gt;0,K24-P24,0)</f>
        <v>0</v>
      </c>
      <c r="E47" s="621"/>
      <c r="F47" s="614"/>
      <c r="G47" s="614"/>
      <c r="H47" s="614"/>
      <c r="I47" s="580"/>
      <c r="J47" s="580"/>
      <c r="K47" s="580"/>
      <c r="L47" s="580"/>
      <c r="M47" s="580"/>
      <c r="N47" s="580"/>
      <c r="O47" s="580"/>
      <c r="P47" s="568"/>
      <c r="Q47" s="568"/>
      <c r="R47" s="568"/>
      <c r="S47" s="541"/>
      <c r="T47" s="568"/>
      <c r="U47" s="568"/>
      <c r="V47" s="568"/>
      <c r="W47" s="543"/>
      <c r="X47" s="543"/>
    </row>
    <row r="48" spans="1:24" x14ac:dyDescent="0.2">
      <c r="A48" s="569"/>
      <c r="B48" s="580" t="s">
        <v>1184</v>
      </c>
      <c r="C48" s="618"/>
      <c r="D48" s="621">
        <f>L24</f>
        <v>0</v>
      </c>
      <c r="E48" s="375"/>
      <c r="F48" s="580"/>
      <c r="G48" s="580"/>
      <c r="H48" s="580"/>
      <c r="I48" s="580"/>
      <c r="J48" s="580"/>
      <c r="K48" s="580"/>
      <c r="L48" s="580"/>
      <c r="M48" s="580"/>
      <c r="N48" s="580"/>
      <c r="O48" s="580"/>
      <c r="P48" s="568"/>
      <c r="Q48" s="568"/>
      <c r="R48" s="568"/>
      <c r="S48" s="541"/>
      <c r="T48" s="568"/>
      <c r="U48" s="568"/>
      <c r="V48" s="568"/>
      <c r="W48" s="543"/>
      <c r="X48" s="543"/>
    </row>
    <row r="49" spans="1:24" ht="15" x14ac:dyDescent="0.25">
      <c r="A49" s="569"/>
      <c r="B49" s="82" t="s">
        <v>1185</v>
      </c>
      <c r="C49" s="618"/>
      <c r="D49" s="621">
        <f>M24</f>
        <v>0</v>
      </c>
      <c r="E49" s="375"/>
      <c r="F49" s="615"/>
      <c r="G49" s="615"/>
      <c r="H49" s="615"/>
      <c r="I49" s="616"/>
      <c r="J49" s="616"/>
      <c r="K49" s="616"/>
      <c r="L49" s="616"/>
      <c r="M49" s="616"/>
      <c r="N49" s="616"/>
      <c r="O49" s="580"/>
      <c r="P49" s="568"/>
      <c r="Q49" s="568"/>
      <c r="R49" s="568"/>
      <c r="S49" s="541"/>
      <c r="T49" s="568"/>
      <c r="U49" s="568"/>
      <c r="V49" s="568"/>
      <c r="W49" s="543"/>
      <c r="X49" s="543"/>
    </row>
    <row r="50" spans="1:24" x14ac:dyDescent="0.2">
      <c r="A50" s="569"/>
      <c r="B50" s="82" t="s">
        <v>1186</v>
      </c>
      <c r="C50" s="618"/>
      <c r="D50" s="621"/>
      <c r="E50" s="375">
        <f>O24</f>
        <v>0</v>
      </c>
      <c r="F50" s="580"/>
      <c r="G50" s="580"/>
      <c r="H50" s="580"/>
      <c r="I50" s="580"/>
      <c r="J50" s="580"/>
      <c r="K50" s="580"/>
      <c r="L50" s="580"/>
      <c r="M50" s="580"/>
      <c r="N50" s="580"/>
      <c r="O50" s="580"/>
      <c r="P50" s="568"/>
      <c r="Q50" s="568"/>
      <c r="R50" s="568"/>
      <c r="S50" s="541"/>
      <c r="T50" s="568"/>
      <c r="U50" s="568"/>
      <c r="V50" s="568"/>
      <c r="W50" s="543"/>
      <c r="X50" s="543"/>
    </row>
    <row r="51" spans="1:24" x14ac:dyDescent="0.2">
      <c r="A51" s="569"/>
      <c r="B51" s="580" t="s">
        <v>1187</v>
      </c>
      <c r="C51" s="580"/>
      <c r="D51" s="8"/>
      <c r="E51" s="617">
        <f>IF(P24-K24&gt;0,P24-K24,0)</f>
        <v>0</v>
      </c>
      <c r="F51" s="580"/>
      <c r="G51" s="580"/>
      <c r="H51" s="580"/>
      <c r="I51" s="580"/>
      <c r="J51" s="580"/>
      <c r="K51" s="580"/>
      <c r="L51" s="614"/>
      <c r="M51" s="580"/>
      <c r="N51" s="580"/>
      <c r="O51" s="580"/>
      <c r="P51" s="568"/>
      <c r="Q51" s="568"/>
      <c r="R51" s="568"/>
      <c r="S51" s="541"/>
      <c r="T51" s="568"/>
      <c r="U51" s="568"/>
      <c r="V51" s="568"/>
      <c r="W51" s="543"/>
      <c r="X51" s="543"/>
    </row>
    <row r="52" spans="1:24" x14ac:dyDescent="0.2">
      <c r="A52" s="569"/>
      <c r="B52" s="620" t="s">
        <v>1188</v>
      </c>
      <c r="C52" s="580"/>
      <c r="D52" s="8"/>
      <c r="E52" s="617">
        <f>Q24</f>
        <v>0</v>
      </c>
      <c r="F52" s="580"/>
      <c r="G52" s="580"/>
      <c r="H52" s="580"/>
      <c r="I52" s="580"/>
      <c r="J52" s="580"/>
      <c r="K52" s="580"/>
      <c r="L52" s="614"/>
      <c r="M52" s="580"/>
      <c r="N52" s="580"/>
      <c r="O52" s="580"/>
      <c r="P52" s="568"/>
      <c r="Q52" s="568"/>
      <c r="R52" s="568"/>
      <c r="S52" s="541"/>
      <c r="T52" s="568"/>
      <c r="U52" s="568"/>
      <c r="V52" s="568"/>
      <c r="W52" s="543"/>
      <c r="X52" s="543"/>
    </row>
    <row r="53" spans="1:24" x14ac:dyDescent="0.2">
      <c r="A53" s="569"/>
      <c r="B53" s="620" t="s">
        <v>1189</v>
      </c>
      <c r="C53" s="580"/>
      <c r="D53" s="8"/>
      <c r="E53" s="617">
        <f>R24</f>
        <v>0</v>
      </c>
      <c r="F53" s="580"/>
      <c r="G53" s="580"/>
      <c r="H53" s="580"/>
      <c r="I53" s="580"/>
      <c r="J53" s="580"/>
      <c r="K53" s="580"/>
      <c r="L53" s="613"/>
      <c r="M53" s="580"/>
      <c r="N53" s="580"/>
      <c r="O53" s="580"/>
      <c r="P53" s="568"/>
      <c r="Q53" s="568"/>
      <c r="R53" s="568"/>
      <c r="S53" s="541"/>
      <c r="T53" s="568"/>
      <c r="U53" s="568"/>
      <c r="V53" s="568"/>
      <c r="W53" s="543"/>
      <c r="X53" s="543"/>
    </row>
    <row r="54" spans="1:24" x14ac:dyDescent="0.2">
      <c r="A54" s="569"/>
      <c r="B54" s="580" t="s">
        <v>1190</v>
      </c>
      <c r="C54" s="580"/>
      <c r="D54" s="8"/>
      <c r="E54" s="617">
        <f>C17</f>
        <v>0</v>
      </c>
      <c r="F54" s="580"/>
      <c r="G54" s="580"/>
      <c r="H54" s="580"/>
      <c r="I54" s="580"/>
      <c r="J54" s="580"/>
      <c r="K54" s="580"/>
      <c r="L54" s="614"/>
      <c r="M54" s="580"/>
      <c r="N54" s="580"/>
      <c r="O54" s="580"/>
      <c r="P54" s="568"/>
      <c r="Q54" s="568"/>
      <c r="R54" s="568"/>
      <c r="S54" s="541"/>
      <c r="T54" s="568"/>
      <c r="U54" s="568"/>
      <c r="V54" s="568"/>
      <c r="W54" s="543"/>
      <c r="X54" s="543"/>
    </row>
    <row r="55" spans="1:24" x14ac:dyDescent="0.2">
      <c r="A55" s="569"/>
      <c r="B55" s="580" t="s">
        <v>1191</v>
      </c>
      <c r="C55" s="580"/>
      <c r="D55" s="8">
        <f>IF(C17-F24&gt;0,C17-F24,0)</f>
        <v>0</v>
      </c>
      <c r="E55" s="617">
        <f>IF(F24-C17&gt;0,F24-C17,0)</f>
        <v>0</v>
      </c>
      <c r="F55" s="614"/>
      <c r="G55" s="614"/>
      <c r="H55" s="614"/>
      <c r="I55" s="614"/>
      <c r="J55" s="614"/>
      <c r="K55" s="614"/>
      <c r="L55" s="614"/>
      <c r="M55" s="613"/>
      <c r="N55" s="614"/>
      <c r="O55" s="580"/>
      <c r="P55" s="568"/>
      <c r="Q55" s="568"/>
      <c r="R55" s="568"/>
      <c r="S55" s="541"/>
      <c r="T55" s="568"/>
      <c r="U55" s="568"/>
      <c r="V55" s="568"/>
      <c r="W55" s="543"/>
      <c r="X55" s="543"/>
    </row>
    <row r="56" spans="1:24" x14ac:dyDescent="0.2">
      <c r="A56" s="569"/>
      <c r="B56" s="580" t="s">
        <v>1192</v>
      </c>
      <c r="C56" s="580"/>
      <c r="D56" s="8">
        <f>IF(SUM(E35:E55)&gt;SUM(D35:D55),SUM(E35:E55)-SUM(D35:D55),0)</f>
        <v>0</v>
      </c>
      <c r="E56" s="617">
        <f>IF(SUM(D35:D55)&gt;SUM(E35:E55),SUM(D35:D55)-SUM(E35:E55),0)</f>
        <v>0</v>
      </c>
      <c r="F56" s="580"/>
      <c r="G56" s="580"/>
      <c r="H56" s="580"/>
      <c r="I56" s="580"/>
      <c r="J56" s="580"/>
      <c r="K56" s="580"/>
      <c r="L56" s="580"/>
      <c r="M56" s="580"/>
      <c r="N56" s="580"/>
      <c r="O56" s="580"/>
      <c r="P56" s="568"/>
      <c r="Q56" s="568"/>
      <c r="R56" s="568"/>
      <c r="S56" s="541"/>
      <c r="T56" s="568"/>
      <c r="U56" s="568"/>
      <c r="V56" s="568"/>
      <c r="W56" s="543"/>
      <c r="X56" s="543"/>
    </row>
    <row r="57" spans="1:24" x14ac:dyDescent="0.2">
      <c r="A57" s="569"/>
      <c r="B57" s="580"/>
      <c r="C57" s="580"/>
      <c r="D57" s="8">
        <f>SUM(D35:D56)</f>
        <v>0</v>
      </c>
      <c r="E57" s="8">
        <f>SUM(E35:E56)</f>
        <v>0</v>
      </c>
      <c r="F57" s="613"/>
      <c r="G57" s="613"/>
      <c r="H57" s="613"/>
      <c r="I57" s="613"/>
      <c r="J57" s="613"/>
      <c r="K57" s="613"/>
      <c r="L57" s="613"/>
      <c r="M57" s="613"/>
      <c r="N57" s="613"/>
      <c r="O57" s="580"/>
      <c r="P57" s="568"/>
      <c r="Q57" s="568"/>
      <c r="R57" s="568"/>
      <c r="S57" s="541"/>
      <c r="T57" s="568"/>
      <c r="U57" s="568"/>
      <c r="V57" s="568"/>
      <c r="W57" s="543"/>
      <c r="X57" s="543"/>
    </row>
    <row r="58" spans="1:24" x14ac:dyDescent="0.2">
      <c r="A58" s="569"/>
      <c r="B58" s="580"/>
      <c r="C58" s="580"/>
      <c r="D58" s="580"/>
      <c r="E58" s="580"/>
      <c r="F58" s="580"/>
      <c r="G58" s="580"/>
      <c r="H58" s="580"/>
      <c r="I58" s="580"/>
      <c r="J58" s="580"/>
      <c r="K58" s="580"/>
      <c r="L58" s="580"/>
      <c r="M58" s="580"/>
      <c r="N58" s="580"/>
      <c r="O58" s="580"/>
      <c r="P58" s="568"/>
      <c r="Q58" s="568"/>
      <c r="R58" s="568"/>
      <c r="S58" s="541"/>
      <c r="T58" s="568"/>
      <c r="U58" s="568"/>
      <c r="V58" s="568"/>
      <c r="W58" s="543"/>
      <c r="X58" s="543"/>
    </row>
    <row r="59" spans="1:24" ht="15" x14ac:dyDescent="0.25">
      <c r="A59" s="569"/>
      <c r="B59" s="616"/>
      <c r="C59" s="615"/>
      <c r="D59" s="615"/>
      <c r="E59" s="615"/>
      <c r="F59" s="615"/>
      <c r="G59" s="615"/>
      <c r="H59" s="615"/>
      <c r="I59" s="615"/>
      <c r="J59" s="615"/>
      <c r="K59" s="615"/>
      <c r="L59" s="615"/>
      <c r="M59" s="615"/>
      <c r="N59" s="615"/>
      <c r="O59" s="580"/>
      <c r="P59" s="568"/>
      <c r="Q59" s="568"/>
      <c r="R59" s="568"/>
      <c r="S59" s="541"/>
      <c r="T59" s="568"/>
      <c r="U59" s="568"/>
      <c r="V59" s="568"/>
      <c r="W59" s="543"/>
      <c r="X59" s="543"/>
    </row>
    <row r="60" spans="1:24" x14ac:dyDescent="0.2">
      <c r="A60" s="569"/>
      <c r="B60" s="580"/>
      <c r="C60" s="580"/>
      <c r="D60" s="580"/>
      <c r="E60" s="612"/>
      <c r="F60" s="612"/>
      <c r="G60" s="612"/>
      <c r="H60" s="580"/>
      <c r="I60" s="612"/>
      <c r="J60" s="612"/>
      <c r="K60" s="612"/>
      <c r="L60" s="612"/>
      <c r="M60" s="580"/>
      <c r="N60" s="612"/>
      <c r="O60" s="580"/>
      <c r="P60" s="568"/>
      <c r="Q60" s="568"/>
      <c r="R60" s="568"/>
      <c r="S60" s="541"/>
      <c r="T60" s="568"/>
      <c r="U60" s="568"/>
      <c r="V60" s="568"/>
      <c r="W60" s="543"/>
      <c r="X60" s="543"/>
    </row>
    <row r="61" spans="1:24" ht="15" x14ac:dyDescent="0.25">
      <c r="A61" s="569"/>
      <c r="B61" s="616"/>
      <c r="C61" s="580"/>
      <c r="D61" s="580"/>
      <c r="E61" s="612"/>
      <c r="F61" s="612"/>
      <c r="G61" s="612"/>
      <c r="H61" s="580"/>
      <c r="I61" s="612"/>
      <c r="J61" s="612"/>
      <c r="K61" s="612"/>
      <c r="L61" s="612"/>
      <c r="M61" s="580"/>
      <c r="N61" s="612"/>
      <c r="O61" s="580"/>
      <c r="P61" s="568"/>
      <c r="Q61" s="568"/>
      <c r="R61" s="568"/>
      <c r="S61" s="541"/>
      <c r="T61" s="568"/>
      <c r="U61" s="568"/>
      <c r="V61" s="568"/>
      <c r="W61" s="543"/>
      <c r="X61" s="543"/>
    </row>
    <row r="62" spans="1:24" x14ac:dyDescent="0.2">
      <c r="A62" s="483" t="s">
        <v>342</v>
      </c>
      <c r="B62" s="1247" t="s">
        <v>1088</v>
      </c>
      <c r="C62" s="1248"/>
      <c r="D62" s="1248"/>
      <c r="E62" s="1248"/>
      <c r="F62" s="1248"/>
      <c r="G62" s="1248"/>
      <c r="H62" s="1248"/>
      <c r="I62" s="1249"/>
    </row>
    <row r="63" spans="1:24" x14ac:dyDescent="0.2">
      <c r="A63" s="483"/>
      <c r="B63" s="484"/>
      <c r="C63" s="484"/>
      <c r="D63" s="484"/>
      <c r="E63" s="484"/>
      <c r="F63" s="484"/>
      <c r="G63" s="484"/>
      <c r="H63" s="484"/>
      <c r="I63" s="484"/>
    </row>
    <row r="64" spans="1:24" s="493" customFormat="1" x14ac:dyDescent="0.2">
      <c r="A64" s="483"/>
      <c r="B64" s="1250" t="s">
        <v>1128</v>
      </c>
      <c r="C64" s="1251"/>
      <c r="D64" s="1251"/>
      <c r="E64" s="1252"/>
      <c r="F64" s="484"/>
      <c r="G64" s="484"/>
      <c r="H64" s="484"/>
      <c r="I64" s="484"/>
    </row>
    <row r="65" spans="1:9" x14ac:dyDescent="0.2">
      <c r="A65" s="483"/>
      <c r="B65" s="504" t="s">
        <v>1098</v>
      </c>
      <c r="C65" s="501">
        <v>0</v>
      </c>
      <c r="D65" s="484"/>
      <c r="E65" s="505"/>
      <c r="F65" s="484"/>
      <c r="G65" s="484"/>
      <c r="H65" s="484"/>
      <c r="I65" s="484"/>
    </row>
    <row r="66" spans="1:9" s="493" customFormat="1" x14ac:dyDescent="0.2">
      <c r="A66" s="483"/>
      <c r="B66" s="504" t="s">
        <v>1099</v>
      </c>
      <c r="C66" s="501">
        <v>0</v>
      </c>
      <c r="D66" s="484"/>
      <c r="E66" s="505"/>
      <c r="F66" s="484"/>
      <c r="G66" s="484"/>
      <c r="H66" s="484"/>
      <c r="I66" s="484"/>
    </row>
    <row r="67" spans="1:9" s="493" customFormat="1" x14ac:dyDescent="0.2">
      <c r="A67" s="483"/>
      <c r="B67" s="506" t="s">
        <v>1100</v>
      </c>
      <c r="C67" s="501">
        <f>SUM(C65:C66)</f>
        <v>0</v>
      </c>
      <c r="D67" s="484" t="str">
        <f>IF(C67=1,"=100%","DOES NOT EQUAL 100%!!!")</f>
        <v>DOES NOT EQUAL 100%!!!</v>
      </c>
      <c r="E67" s="505"/>
      <c r="F67" s="484"/>
      <c r="G67" s="484"/>
      <c r="H67" s="484"/>
      <c r="I67" s="484"/>
    </row>
    <row r="68" spans="1:9" s="493" customFormat="1" x14ac:dyDescent="0.2">
      <c r="A68" s="483"/>
      <c r="B68" s="507"/>
      <c r="C68" s="501"/>
      <c r="D68" s="484"/>
      <c r="E68" s="505"/>
      <c r="F68" s="484"/>
      <c r="G68" s="484"/>
      <c r="H68" s="484"/>
      <c r="I68" s="484"/>
    </row>
    <row r="69" spans="1:9" s="493" customFormat="1" x14ac:dyDescent="0.2">
      <c r="A69" s="483"/>
      <c r="B69" s="507" t="s">
        <v>1101</v>
      </c>
      <c r="C69" s="501"/>
      <c r="D69" s="484"/>
      <c r="E69" s="505"/>
      <c r="F69" s="484"/>
      <c r="G69" s="484"/>
      <c r="H69" s="484"/>
      <c r="I69" s="484"/>
    </row>
    <row r="70" spans="1:9" s="493" customFormat="1" x14ac:dyDescent="0.2">
      <c r="A70" s="483"/>
      <c r="B70" s="508" t="s">
        <v>269</v>
      </c>
      <c r="C70" s="501">
        <v>0</v>
      </c>
      <c r="D70" s="484"/>
      <c r="E70" s="505"/>
      <c r="F70" s="484"/>
      <c r="G70" s="484"/>
      <c r="H70" s="484"/>
      <c r="I70" s="484"/>
    </row>
    <row r="71" spans="1:9" s="493" customFormat="1" x14ac:dyDescent="0.2">
      <c r="A71" s="483"/>
      <c r="B71" s="508" t="s">
        <v>270</v>
      </c>
      <c r="C71" s="501">
        <f>'H. Other Liabilities &amp; Expenses'!L192</f>
        <v>0</v>
      </c>
      <c r="D71" s="484"/>
      <c r="E71" s="505"/>
      <c r="F71" s="484"/>
      <c r="G71" s="484"/>
      <c r="H71" s="484"/>
      <c r="I71" s="484"/>
    </row>
    <row r="72" spans="1:9" s="493" customFormat="1" x14ac:dyDescent="0.2">
      <c r="A72" s="483"/>
      <c r="B72" s="508" t="s">
        <v>271</v>
      </c>
      <c r="C72" s="501">
        <f>'H. Other Liabilities &amp; Expenses'!L193</f>
        <v>0</v>
      </c>
      <c r="D72" s="484"/>
      <c r="E72" s="505"/>
      <c r="F72" s="484"/>
      <c r="G72" s="484"/>
      <c r="H72" s="484"/>
      <c r="I72" s="484"/>
    </row>
    <row r="73" spans="1:9" s="493" customFormat="1" x14ac:dyDescent="0.2">
      <c r="A73" s="483"/>
      <c r="B73" s="508" t="s">
        <v>272</v>
      </c>
      <c r="C73" s="501">
        <f>'H. Other Liabilities &amp; Expenses'!L194</f>
        <v>0</v>
      </c>
      <c r="D73" s="484"/>
      <c r="E73" s="505"/>
      <c r="F73" s="484"/>
      <c r="G73" s="484"/>
      <c r="H73" s="484"/>
      <c r="I73" s="484"/>
    </row>
    <row r="74" spans="1:9" s="493" customFormat="1" x14ac:dyDescent="0.2">
      <c r="A74" s="483"/>
      <c r="B74" s="508" t="s">
        <v>273</v>
      </c>
      <c r="C74" s="501">
        <f>'H. Other Liabilities &amp; Expenses'!L195</f>
        <v>0</v>
      </c>
      <c r="D74" s="484"/>
      <c r="E74" s="505"/>
      <c r="F74" s="484"/>
      <c r="G74" s="484"/>
      <c r="H74" s="484"/>
      <c r="I74" s="484"/>
    </row>
    <row r="75" spans="1:9" s="493" customFormat="1" x14ac:dyDescent="0.2">
      <c r="A75" s="483"/>
      <c r="B75" s="508" t="s">
        <v>274</v>
      </c>
      <c r="C75" s="501">
        <f>'H. Other Liabilities &amp; Expenses'!L196</f>
        <v>0</v>
      </c>
      <c r="D75" s="484"/>
      <c r="E75" s="505"/>
      <c r="F75" s="484"/>
      <c r="G75" s="484"/>
      <c r="H75" s="484"/>
      <c r="I75" s="484"/>
    </row>
    <row r="76" spans="1:9" s="493" customFormat="1" x14ac:dyDescent="0.2">
      <c r="A76" s="483"/>
      <c r="B76" s="508" t="s">
        <v>275</v>
      </c>
      <c r="C76" s="501">
        <f>'H. Other Liabilities &amp; Expenses'!L197</f>
        <v>0</v>
      </c>
      <c r="D76" s="484"/>
      <c r="E76" s="505"/>
      <c r="F76" s="484"/>
      <c r="G76" s="484"/>
      <c r="H76" s="484"/>
      <c r="I76" s="484"/>
    </row>
    <row r="77" spans="1:9" s="493" customFormat="1" x14ac:dyDescent="0.2">
      <c r="A77" s="483"/>
      <c r="B77" s="508" t="s">
        <v>388</v>
      </c>
      <c r="C77" s="501">
        <f>'H. Other Liabilities &amp; Expenses'!L198</f>
        <v>0</v>
      </c>
      <c r="D77" s="484"/>
      <c r="E77" s="505"/>
      <c r="F77" s="484"/>
      <c r="G77" s="484"/>
      <c r="H77" s="484"/>
      <c r="I77" s="484"/>
    </row>
    <row r="78" spans="1:9" s="493" customFormat="1" x14ac:dyDescent="0.2">
      <c r="A78" s="483"/>
      <c r="B78" s="508" t="s">
        <v>389</v>
      </c>
      <c r="C78" s="501">
        <f>'H. Other Liabilities &amp; Expenses'!L199</f>
        <v>0</v>
      </c>
      <c r="D78" s="484"/>
      <c r="E78" s="505"/>
      <c r="F78" s="484"/>
      <c r="G78" s="484"/>
      <c r="H78" s="484"/>
      <c r="I78" s="484"/>
    </row>
    <row r="79" spans="1:9" s="493" customFormat="1" x14ac:dyDescent="0.2">
      <c r="A79" s="483"/>
      <c r="B79" s="508" t="s">
        <v>243</v>
      </c>
      <c r="C79" s="501">
        <f>'H. Other Liabilities &amp; Expenses'!L200</f>
        <v>0</v>
      </c>
      <c r="D79" s="484"/>
      <c r="E79" s="505"/>
      <c r="F79" s="484"/>
      <c r="G79" s="484"/>
      <c r="H79" s="484"/>
      <c r="I79" s="484"/>
    </row>
    <row r="80" spans="1:9" s="493" customFormat="1" x14ac:dyDescent="0.2">
      <c r="A80" s="483"/>
      <c r="B80" s="508" t="s">
        <v>244</v>
      </c>
      <c r="C80" s="501">
        <f>'H. Other Liabilities &amp; Expenses'!L201</f>
        <v>0</v>
      </c>
      <c r="D80" s="484"/>
      <c r="E80" s="505"/>
      <c r="F80" s="484"/>
      <c r="G80" s="484"/>
      <c r="H80" s="484"/>
      <c r="I80" s="484"/>
    </row>
    <row r="81" spans="1:9" s="493" customFormat="1" x14ac:dyDescent="0.2">
      <c r="A81" s="483"/>
      <c r="B81" s="508" t="s">
        <v>277</v>
      </c>
      <c r="C81" s="501">
        <f>'H. Other Liabilities &amp; Expenses'!L202</f>
        <v>0</v>
      </c>
      <c r="D81" s="484"/>
      <c r="E81" s="505"/>
      <c r="F81" s="484"/>
      <c r="G81" s="484"/>
      <c r="H81" s="484"/>
      <c r="I81" s="484"/>
    </row>
    <row r="82" spans="1:9" s="493" customFormat="1" x14ac:dyDescent="0.2">
      <c r="A82" s="483"/>
      <c r="B82" s="508" t="s">
        <v>279</v>
      </c>
      <c r="C82" s="501">
        <f>'H. Other Liabilities &amp; Expenses'!L203</f>
        <v>0</v>
      </c>
      <c r="D82" s="484"/>
      <c r="E82" s="505"/>
      <c r="F82" s="484"/>
      <c r="G82" s="484"/>
      <c r="H82" s="484"/>
      <c r="I82" s="484"/>
    </row>
    <row r="83" spans="1:9" s="493" customFormat="1" x14ac:dyDescent="0.2">
      <c r="A83" s="483"/>
      <c r="B83" s="508" t="s">
        <v>280</v>
      </c>
      <c r="C83" s="501">
        <f>'H. Other Liabilities &amp; Expenses'!L204</f>
        <v>0</v>
      </c>
      <c r="D83" s="484"/>
      <c r="E83" s="505"/>
      <c r="F83" s="484"/>
      <c r="G83" s="484"/>
      <c r="H83" s="484"/>
      <c r="I83" s="484"/>
    </row>
    <row r="84" spans="1:9" s="493" customFormat="1" x14ac:dyDescent="0.2">
      <c r="A84" s="483"/>
      <c r="B84" s="508" t="s">
        <v>390</v>
      </c>
      <c r="C84" s="501">
        <f>'H. Other Liabilities &amp; Expenses'!L205</f>
        <v>0</v>
      </c>
      <c r="D84" s="484"/>
      <c r="E84" s="505"/>
      <c r="F84" s="484"/>
      <c r="G84" s="484"/>
      <c r="H84" s="484"/>
      <c r="I84" s="484"/>
    </row>
    <row r="85" spans="1:9" s="493" customFormat="1" x14ac:dyDescent="0.2">
      <c r="A85" s="483"/>
      <c r="B85" s="508" t="s">
        <v>263</v>
      </c>
      <c r="C85" s="501">
        <f>'H. Other Liabilities &amp; Expenses'!L206</f>
        <v>0</v>
      </c>
      <c r="D85" s="484"/>
      <c r="E85" s="505"/>
      <c r="F85" s="484"/>
      <c r="G85" s="484"/>
      <c r="H85" s="484"/>
      <c r="I85" s="484"/>
    </row>
    <row r="86" spans="1:9" s="493" customFormat="1" x14ac:dyDescent="0.2">
      <c r="A86" s="483"/>
      <c r="B86" s="508" t="s">
        <v>55</v>
      </c>
      <c r="C86" s="501">
        <f>'H. Other Liabilities &amp; Expenses'!L207</f>
        <v>0</v>
      </c>
      <c r="D86" s="484"/>
      <c r="E86" s="505"/>
      <c r="F86" s="484"/>
      <c r="G86" s="484"/>
      <c r="H86" s="484"/>
      <c r="I86" s="484"/>
    </row>
    <row r="87" spans="1:9" s="493" customFormat="1" x14ac:dyDescent="0.2">
      <c r="A87" s="483"/>
      <c r="B87" s="509" t="s">
        <v>1102</v>
      </c>
      <c r="C87" s="510">
        <f>SUM(C70:C86)</f>
        <v>0</v>
      </c>
      <c r="D87" s="539" t="str">
        <f>IF(C87=C65,"Equals Governmental Fund","DOES NOT EQUAL Governmental Fund!!!")</f>
        <v>Equals Governmental Fund</v>
      </c>
      <c r="E87" s="511"/>
      <c r="F87" s="484"/>
      <c r="G87" s="484"/>
      <c r="H87" s="484"/>
      <c r="I87" s="484"/>
    </row>
    <row r="88" spans="1:9" s="493" customFormat="1" x14ac:dyDescent="0.2">
      <c r="A88" s="483"/>
      <c r="B88" s="484"/>
      <c r="C88" s="501"/>
      <c r="D88" s="484"/>
      <c r="E88" s="484"/>
      <c r="F88" s="484"/>
      <c r="G88" s="484"/>
      <c r="H88" s="484"/>
      <c r="I88" s="484"/>
    </row>
    <row r="89" spans="1:9" x14ac:dyDescent="0.2">
      <c r="A89" s="165"/>
      <c r="B89" s="41"/>
      <c r="C89" s="32"/>
      <c r="D89" s="32"/>
      <c r="E89" s="32"/>
      <c r="F89" s="32"/>
      <c r="G89" s="32"/>
      <c r="H89" s="32"/>
      <c r="I89" s="32"/>
    </row>
    <row r="90" spans="1:9" x14ac:dyDescent="0.2">
      <c r="A90" s="165"/>
      <c r="B90" s="34"/>
      <c r="C90" s="485" t="s">
        <v>1085</v>
      </c>
      <c r="D90" s="485" t="s">
        <v>1086</v>
      </c>
    </row>
    <row r="91" spans="1:9" x14ac:dyDescent="0.2">
      <c r="A91" s="165"/>
      <c r="B91" s="467" t="s">
        <v>741</v>
      </c>
      <c r="C91" s="486">
        <f t="shared" ref="C91:C118" si="0">G131</f>
        <v>0</v>
      </c>
      <c r="D91" s="486">
        <f t="shared" ref="D91:D118" si="1">H131</f>
        <v>0</v>
      </c>
    </row>
    <row r="92" spans="1:9" x14ac:dyDescent="0.2">
      <c r="A92" s="165"/>
      <c r="B92" s="467" t="s">
        <v>1084</v>
      </c>
      <c r="C92" s="486">
        <f t="shared" si="0"/>
        <v>0</v>
      </c>
      <c r="D92" s="486">
        <f t="shared" si="1"/>
        <v>0</v>
      </c>
      <c r="E92" s="478"/>
    </row>
    <row r="93" spans="1:9" x14ac:dyDescent="0.2">
      <c r="A93" s="165"/>
      <c r="B93" s="512" t="s">
        <v>1104</v>
      </c>
      <c r="C93" s="486">
        <f t="shared" si="0"/>
        <v>0</v>
      </c>
      <c r="D93" s="486">
        <f t="shared" si="1"/>
        <v>0</v>
      </c>
      <c r="E93" s="478"/>
    </row>
    <row r="94" spans="1:9" s="493" customFormat="1" x14ac:dyDescent="0.2">
      <c r="A94" s="165"/>
      <c r="B94" s="512" t="s">
        <v>1105</v>
      </c>
      <c r="C94" s="486">
        <f t="shared" si="0"/>
        <v>0</v>
      </c>
      <c r="D94" s="486">
        <f t="shared" si="1"/>
        <v>0</v>
      </c>
      <c r="E94" s="478"/>
    </row>
    <row r="95" spans="1:9" s="493" customFormat="1" x14ac:dyDescent="0.2">
      <c r="A95" s="165"/>
      <c r="B95" s="512" t="s">
        <v>1106</v>
      </c>
      <c r="C95" s="486">
        <f t="shared" si="0"/>
        <v>0</v>
      </c>
      <c r="D95" s="486">
        <f t="shared" si="1"/>
        <v>0</v>
      </c>
      <c r="E95" s="478"/>
    </row>
    <row r="96" spans="1:9" s="493" customFormat="1" x14ac:dyDescent="0.2">
      <c r="A96" s="165"/>
      <c r="B96" s="512" t="s">
        <v>1107</v>
      </c>
      <c r="C96" s="486">
        <f t="shared" si="0"/>
        <v>0</v>
      </c>
      <c r="D96" s="486">
        <f t="shared" si="1"/>
        <v>0</v>
      </c>
      <c r="E96" s="478"/>
    </row>
    <row r="97" spans="1:5" s="493" customFormat="1" x14ac:dyDescent="0.2">
      <c r="A97" s="165"/>
      <c r="B97" s="512" t="s">
        <v>1108</v>
      </c>
      <c r="C97" s="486">
        <f t="shared" si="0"/>
        <v>0</v>
      </c>
      <c r="D97" s="486">
        <f t="shared" si="1"/>
        <v>0</v>
      </c>
      <c r="E97" s="478"/>
    </row>
    <row r="98" spans="1:5" s="493" customFormat="1" x14ac:dyDescent="0.2">
      <c r="A98" s="165"/>
      <c r="B98" s="512" t="s">
        <v>1109</v>
      </c>
      <c r="C98" s="486">
        <f t="shared" si="0"/>
        <v>0</v>
      </c>
      <c r="D98" s="486">
        <f t="shared" si="1"/>
        <v>0</v>
      </c>
      <c r="E98" s="478"/>
    </row>
    <row r="99" spans="1:5" s="493" customFormat="1" ht="55.5" customHeight="1" x14ac:dyDescent="0.2">
      <c r="A99" s="165"/>
      <c r="B99" s="512" t="s">
        <v>1110</v>
      </c>
      <c r="C99" s="486">
        <f t="shared" si="0"/>
        <v>0</v>
      </c>
      <c r="D99" s="486">
        <f t="shared" si="1"/>
        <v>0</v>
      </c>
      <c r="E99" s="478"/>
    </row>
    <row r="100" spans="1:5" s="493" customFormat="1" x14ac:dyDescent="0.2">
      <c r="A100" s="165"/>
      <c r="B100" s="512" t="s">
        <v>1111</v>
      </c>
      <c r="C100" s="486">
        <f t="shared" si="0"/>
        <v>0</v>
      </c>
      <c r="D100" s="486">
        <f t="shared" si="1"/>
        <v>0</v>
      </c>
      <c r="E100" s="478"/>
    </row>
    <row r="101" spans="1:5" s="493" customFormat="1" x14ac:dyDescent="0.2">
      <c r="A101" s="165"/>
      <c r="B101" s="512" t="s">
        <v>1112</v>
      </c>
      <c r="C101" s="486">
        <f t="shared" si="0"/>
        <v>0</v>
      </c>
      <c r="D101" s="486">
        <f t="shared" si="1"/>
        <v>0</v>
      </c>
      <c r="E101" s="478"/>
    </row>
    <row r="102" spans="1:5" s="493" customFormat="1" x14ac:dyDescent="0.2">
      <c r="A102" s="165"/>
      <c r="B102" s="512" t="s">
        <v>1113</v>
      </c>
      <c r="C102" s="486">
        <f t="shared" si="0"/>
        <v>0</v>
      </c>
      <c r="D102" s="486">
        <f t="shared" si="1"/>
        <v>0</v>
      </c>
      <c r="E102" s="478"/>
    </row>
    <row r="103" spans="1:5" s="493" customFormat="1" x14ac:dyDescent="0.2">
      <c r="A103" s="165"/>
      <c r="B103" s="512" t="s">
        <v>1114</v>
      </c>
      <c r="C103" s="486">
        <f t="shared" si="0"/>
        <v>0</v>
      </c>
      <c r="D103" s="486">
        <f t="shared" si="1"/>
        <v>0</v>
      </c>
      <c r="E103" s="478"/>
    </row>
    <row r="104" spans="1:5" s="493" customFormat="1" x14ac:dyDescent="0.2">
      <c r="A104" s="165"/>
      <c r="B104" s="512" t="s">
        <v>1115</v>
      </c>
      <c r="C104" s="486">
        <f t="shared" si="0"/>
        <v>0</v>
      </c>
      <c r="D104" s="486">
        <f t="shared" si="1"/>
        <v>0</v>
      </c>
      <c r="E104" s="478"/>
    </row>
    <row r="105" spans="1:5" s="493" customFormat="1" x14ac:dyDescent="0.2">
      <c r="A105" s="165"/>
      <c r="B105" s="512" t="s">
        <v>1116</v>
      </c>
      <c r="C105" s="486">
        <f t="shared" si="0"/>
        <v>0</v>
      </c>
      <c r="D105" s="486">
        <f t="shared" si="1"/>
        <v>0</v>
      </c>
      <c r="E105" s="478"/>
    </row>
    <row r="106" spans="1:5" s="493" customFormat="1" x14ac:dyDescent="0.2">
      <c r="A106" s="165"/>
      <c r="B106" s="512" t="s">
        <v>1117</v>
      </c>
      <c r="C106" s="486">
        <f t="shared" si="0"/>
        <v>0</v>
      </c>
      <c r="D106" s="486">
        <f t="shared" si="1"/>
        <v>0</v>
      </c>
      <c r="E106" s="478"/>
    </row>
    <row r="107" spans="1:5" s="493" customFormat="1" x14ac:dyDescent="0.2">
      <c r="A107" s="165"/>
      <c r="B107" s="512" t="s">
        <v>1118</v>
      </c>
      <c r="C107" s="486">
        <f t="shared" si="0"/>
        <v>0</v>
      </c>
      <c r="D107" s="486">
        <f t="shared" si="1"/>
        <v>0</v>
      </c>
      <c r="E107" s="478"/>
    </row>
    <row r="108" spans="1:5" s="493" customFormat="1" x14ac:dyDescent="0.2">
      <c r="A108" s="165"/>
      <c r="B108" s="512" t="s">
        <v>1119</v>
      </c>
      <c r="C108" s="486">
        <f t="shared" si="0"/>
        <v>0</v>
      </c>
      <c r="D108" s="486">
        <f t="shared" si="1"/>
        <v>0</v>
      </c>
      <c r="E108" s="478"/>
    </row>
    <row r="109" spans="1:5" s="493" customFormat="1" x14ac:dyDescent="0.2">
      <c r="A109" s="165"/>
      <c r="B109" s="512" t="s">
        <v>1120</v>
      </c>
      <c r="C109" s="486">
        <f t="shared" si="0"/>
        <v>0</v>
      </c>
      <c r="D109" s="486">
        <f t="shared" si="1"/>
        <v>0</v>
      </c>
      <c r="E109" s="478"/>
    </row>
    <row r="110" spans="1:5" ht="25.5" x14ac:dyDescent="0.2">
      <c r="A110" s="165"/>
      <c r="B110" s="579" t="s">
        <v>1195</v>
      </c>
      <c r="C110" s="486">
        <f t="shared" si="0"/>
        <v>0</v>
      </c>
      <c r="D110" s="486">
        <f t="shared" si="1"/>
        <v>0</v>
      </c>
      <c r="E110" s="987"/>
    </row>
    <row r="111" spans="1:5" ht="25.5" x14ac:dyDescent="0.2">
      <c r="A111" s="165"/>
      <c r="B111" s="579" t="s">
        <v>1158</v>
      </c>
      <c r="C111" s="486">
        <f t="shared" si="0"/>
        <v>0</v>
      </c>
      <c r="D111" s="486">
        <f t="shared" si="1"/>
        <v>0</v>
      </c>
      <c r="E111" s="478"/>
    </row>
    <row r="112" spans="1:5" x14ac:dyDescent="0.2">
      <c r="A112" s="165"/>
      <c r="B112" s="579" t="s">
        <v>1196</v>
      </c>
      <c r="C112" s="486">
        <f t="shared" si="0"/>
        <v>0</v>
      </c>
      <c r="D112" s="486">
        <f t="shared" si="1"/>
        <v>0</v>
      </c>
      <c r="E112" s="478"/>
    </row>
    <row r="113" spans="1:9" ht="38.25" x14ac:dyDescent="0.2">
      <c r="A113" s="165"/>
      <c r="B113" s="579" t="s">
        <v>1197</v>
      </c>
      <c r="C113" s="486">
        <f t="shared" si="0"/>
        <v>0</v>
      </c>
      <c r="D113" s="486">
        <f t="shared" si="1"/>
        <v>0</v>
      </c>
      <c r="E113" s="478"/>
    </row>
    <row r="114" spans="1:9" s="541" customFormat="1" ht="25.5" x14ac:dyDescent="0.2">
      <c r="A114" s="165"/>
      <c r="B114" s="579" t="s">
        <v>1198</v>
      </c>
      <c r="C114" s="486">
        <f t="shared" si="0"/>
        <v>0</v>
      </c>
      <c r="D114" s="486">
        <f t="shared" si="1"/>
        <v>0</v>
      </c>
      <c r="E114" s="478"/>
    </row>
    <row r="115" spans="1:9" s="541" customFormat="1" ht="25.5" x14ac:dyDescent="0.2">
      <c r="A115" s="165"/>
      <c r="B115" s="579" t="s">
        <v>1199</v>
      </c>
      <c r="C115" s="486">
        <f t="shared" si="0"/>
        <v>0</v>
      </c>
      <c r="D115" s="486">
        <f t="shared" si="1"/>
        <v>0</v>
      </c>
    </row>
    <row r="116" spans="1:9" s="541" customFormat="1" x14ac:dyDescent="0.2">
      <c r="A116" s="165"/>
      <c r="B116" s="579" t="s">
        <v>1200</v>
      </c>
      <c r="C116" s="486">
        <f t="shared" si="0"/>
        <v>0</v>
      </c>
      <c r="D116" s="486">
        <f t="shared" si="1"/>
        <v>0</v>
      </c>
    </row>
    <row r="117" spans="1:9" s="541" customFormat="1" ht="38.25" x14ac:dyDescent="0.2">
      <c r="A117" s="165"/>
      <c r="B117" s="579" t="s">
        <v>1201</v>
      </c>
      <c r="C117" s="486">
        <f t="shared" si="0"/>
        <v>0</v>
      </c>
      <c r="D117" s="486">
        <f t="shared" si="1"/>
        <v>0</v>
      </c>
      <c r="E117" s="478"/>
    </row>
    <row r="118" spans="1:9" s="541" customFormat="1" x14ac:dyDescent="0.2">
      <c r="A118" s="165"/>
      <c r="B118" s="579" t="s">
        <v>1087</v>
      </c>
      <c r="C118" s="486">
        <f t="shared" si="0"/>
        <v>0</v>
      </c>
      <c r="D118" s="486">
        <f t="shared" si="1"/>
        <v>0</v>
      </c>
      <c r="E118" s="987"/>
    </row>
    <row r="119" spans="1:9" s="541" customFormat="1" x14ac:dyDescent="0.2">
      <c r="A119" s="165"/>
      <c r="B119" s="542"/>
      <c r="C119" s="486"/>
      <c r="D119" s="486"/>
    </row>
    <row r="120" spans="1:9" s="541" customFormat="1" x14ac:dyDescent="0.2">
      <c r="A120" s="165"/>
      <c r="B120" s="542"/>
      <c r="C120" s="486"/>
      <c r="D120" s="486"/>
    </row>
    <row r="121" spans="1:9" x14ac:dyDescent="0.2">
      <c r="A121" s="165"/>
      <c r="B121" s="467"/>
      <c r="C121" s="486">
        <f>G159</f>
        <v>0</v>
      </c>
      <c r="D121" s="486">
        <f>H159</f>
        <v>0</v>
      </c>
    </row>
    <row r="122" spans="1:9" x14ac:dyDescent="0.2">
      <c r="A122" s="165"/>
      <c r="B122" s="34"/>
      <c r="C122" s="481"/>
      <c r="D122" s="481"/>
      <c r="G122" s="461"/>
      <c r="H122" s="461"/>
      <c r="I122" s="461"/>
    </row>
    <row r="123" spans="1:9" ht="13.5" thickBot="1" x14ac:dyDescent="0.25">
      <c r="A123" s="165"/>
      <c r="B123" s="34"/>
      <c r="C123" s="487">
        <f>SUM(C91:C122)</f>
        <v>0</v>
      </c>
      <c r="D123" s="487">
        <f>SUM(D91:D122)</f>
        <v>0</v>
      </c>
      <c r="E123" s="478"/>
      <c r="G123" s="461"/>
      <c r="H123" s="461"/>
      <c r="I123" s="461"/>
    </row>
    <row r="124" spans="1:9" ht="13.5" thickTop="1" x14ac:dyDescent="0.2">
      <c r="A124" s="165"/>
      <c r="B124" s="34"/>
      <c r="C124" s="481"/>
      <c r="D124" s="481"/>
    </row>
    <row r="125" spans="1:9" x14ac:dyDescent="0.2">
      <c r="A125" s="165"/>
      <c r="B125" s="34"/>
      <c r="C125" s="481"/>
      <c r="D125" s="481"/>
    </row>
    <row r="126" spans="1:9" x14ac:dyDescent="0.2">
      <c r="A126" s="165"/>
      <c r="B126" s="1242" t="s">
        <v>1121</v>
      </c>
      <c r="C126" s="1242"/>
      <c r="D126" s="1242"/>
      <c r="E126" s="1242"/>
      <c r="F126" s="1242"/>
      <c r="G126" s="1242"/>
      <c r="H126" s="1242"/>
    </row>
    <row r="127" spans="1:9" x14ac:dyDescent="0.2">
      <c r="A127" s="165"/>
      <c r="B127" s="1242"/>
      <c r="C127" s="1242"/>
      <c r="D127" s="1242"/>
      <c r="E127" s="1242"/>
      <c r="F127" s="1242"/>
      <c r="G127" s="1242"/>
      <c r="H127" s="1242"/>
    </row>
    <row r="128" spans="1:9" ht="18" x14ac:dyDescent="0.2">
      <c r="C128" s="513"/>
      <c r="D128" s="514"/>
      <c r="E128" s="515"/>
      <c r="F128" s="516"/>
      <c r="G128" s="1211" t="s">
        <v>466</v>
      </c>
      <c r="H128" s="1212"/>
    </row>
    <row r="129" spans="2:9" x14ac:dyDescent="0.2">
      <c r="C129" s="517"/>
      <c r="D129" s="518"/>
      <c r="E129" s="519"/>
      <c r="F129" s="496"/>
      <c r="G129" s="497"/>
      <c r="H129" s="130"/>
    </row>
    <row r="130" spans="2:9" x14ac:dyDescent="0.2">
      <c r="B130" s="82"/>
      <c r="C130" s="520" t="s">
        <v>658</v>
      </c>
      <c r="D130" s="113" t="s">
        <v>659</v>
      </c>
      <c r="E130" s="521" t="s">
        <v>1122</v>
      </c>
      <c r="F130" s="496"/>
      <c r="G130" s="59" t="s">
        <v>658</v>
      </c>
      <c r="H130" s="60" t="s">
        <v>659</v>
      </c>
    </row>
    <row r="131" spans="2:9" x14ac:dyDescent="0.2">
      <c r="B131" s="467" t="s">
        <v>741</v>
      </c>
      <c r="C131" s="524"/>
      <c r="D131" s="525"/>
      <c r="E131" s="522">
        <f>C131-D131</f>
        <v>0</v>
      </c>
      <c r="G131" s="97">
        <f>IF(E131&lt;0,0,E131)</f>
        <v>0</v>
      </c>
      <c r="H131" s="530">
        <f>IF(E131&gt;0,0,E131*-1)</f>
        <v>0</v>
      </c>
    </row>
    <row r="132" spans="2:9" x14ac:dyDescent="0.2">
      <c r="B132" s="467" t="s">
        <v>1084</v>
      </c>
      <c r="C132" s="526">
        <f>C65*(D35+D36)</f>
        <v>0</v>
      </c>
      <c r="D132" s="527">
        <f>C65*(E35+E36)</f>
        <v>0</v>
      </c>
      <c r="E132" s="522">
        <f>C132-D132</f>
        <v>0</v>
      </c>
      <c r="G132" s="255">
        <f>IF(E132&lt;0,0,E132)</f>
        <v>0</v>
      </c>
      <c r="H132" s="531">
        <f>IF(E132&gt;0,0,E132*-1)</f>
        <v>0</v>
      </c>
      <c r="I132" s="478"/>
    </row>
    <row r="133" spans="2:9" x14ac:dyDescent="0.2">
      <c r="B133" s="512" t="s">
        <v>1104</v>
      </c>
      <c r="C133" s="526">
        <f>C70*(D37+D55+D56)</f>
        <v>0</v>
      </c>
      <c r="D133" s="527">
        <f>C70*(E37+E55+E56)</f>
        <v>0</v>
      </c>
      <c r="E133" s="522">
        <f t="shared" ref="E133:E159" si="2">C133-D133</f>
        <v>0</v>
      </c>
      <c r="F133" s="5"/>
      <c r="G133" s="255">
        <f>IF(E133&lt;0,0,E133-E160)</f>
        <v>0</v>
      </c>
      <c r="H133" s="531">
        <f>IF(E133&gt;0,0,-E133+E160)</f>
        <v>0</v>
      </c>
      <c r="I133" s="987"/>
    </row>
    <row r="134" spans="2:9" x14ac:dyDescent="0.2">
      <c r="B134" s="512" t="s">
        <v>1105</v>
      </c>
      <c r="C134" s="526">
        <f>C71*($D$38+$D$56+$D$57)</f>
        <v>0</v>
      </c>
      <c r="D134" s="527">
        <f>C71*($E$38+$E$56+$E$57)</f>
        <v>0</v>
      </c>
      <c r="E134" s="522">
        <f t="shared" si="2"/>
        <v>0</v>
      </c>
      <c r="G134" s="255">
        <f t="shared" ref="G134:G151" si="3">IF(E134&lt;0,0,E134)</f>
        <v>0</v>
      </c>
      <c r="H134" s="531">
        <f t="shared" ref="H134:H151" si="4">IF(E134&gt;0,0,E134*-1)</f>
        <v>0</v>
      </c>
    </row>
    <row r="135" spans="2:9" x14ac:dyDescent="0.2">
      <c r="B135" s="512" t="s">
        <v>1106</v>
      </c>
      <c r="C135" s="526">
        <f t="shared" ref="C135:C149" si="5">C72*($D$38+$D$56+$D$57)</f>
        <v>0</v>
      </c>
      <c r="D135" s="527">
        <f t="shared" ref="D135:D149" si="6">C72*($E$38+$E$56+$E$57)</f>
        <v>0</v>
      </c>
      <c r="E135" s="522">
        <f t="shared" si="2"/>
        <v>0</v>
      </c>
      <c r="G135" s="255">
        <f t="shared" si="3"/>
        <v>0</v>
      </c>
      <c r="H135" s="531">
        <f t="shared" si="4"/>
        <v>0</v>
      </c>
    </row>
    <row r="136" spans="2:9" x14ac:dyDescent="0.2">
      <c r="B136" s="512" t="s">
        <v>1107</v>
      </c>
      <c r="C136" s="526">
        <f t="shared" si="5"/>
        <v>0</v>
      </c>
      <c r="D136" s="527">
        <f t="shared" si="6"/>
        <v>0</v>
      </c>
      <c r="E136" s="522">
        <f t="shared" si="2"/>
        <v>0</v>
      </c>
      <c r="G136" s="255">
        <f t="shared" si="3"/>
        <v>0</v>
      </c>
      <c r="H136" s="531">
        <f t="shared" si="4"/>
        <v>0</v>
      </c>
    </row>
    <row r="137" spans="2:9" x14ac:dyDescent="0.2">
      <c r="B137" s="512" t="s">
        <v>1108</v>
      </c>
      <c r="C137" s="526">
        <f t="shared" si="5"/>
        <v>0</v>
      </c>
      <c r="D137" s="527">
        <f t="shared" si="6"/>
        <v>0</v>
      </c>
      <c r="E137" s="522">
        <f t="shared" si="2"/>
        <v>0</v>
      </c>
      <c r="G137" s="255">
        <f t="shared" si="3"/>
        <v>0</v>
      </c>
      <c r="H137" s="531">
        <f t="shared" si="4"/>
        <v>0</v>
      </c>
    </row>
    <row r="138" spans="2:9" x14ac:dyDescent="0.2">
      <c r="B138" s="512" t="s">
        <v>1109</v>
      </c>
      <c r="C138" s="526">
        <f t="shared" si="5"/>
        <v>0</v>
      </c>
      <c r="D138" s="527">
        <f t="shared" si="6"/>
        <v>0</v>
      </c>
      <c r="E138" s="522">
        <f t="shared" si="2"/>
        <v>0</v>
      </c>
      <c r="G138" s="255">
        <f t="shared" si="3"/>
        <v>0</v>
      </c>
      <c r="H138" s="531">
        <f t="shared" si="4"/>
        <v>0</v>
      </c>
    </row>
    <row r="139" spans="2:9" x14ac:dyDescent="0.2">
      <c r="B139" s="512" t="s">
        <v>1110</v>
      </c>
      <c r="C139" s="526">
        <f t="shared" si="5"/>
        <v>0</v>
      </c>
      <c r="D139" s="527">
        <f t="shared" si="6"/>
        <v>0</v>
      </c>
      <c r="E139" s="522">
        <f t="shared" si="2"/>
        <v>0</v>
      </c>
      <c r="G139" s="255">
        <f t="shared" si="3"/>
        <v>0</v>
      </c>
      <c r="H139" s="531">
        <f t="shared" si="4"/>
        <v>0</v>
      </c>
    </row>
    <row r="140" spans="2:9" x14ac:dyDescent="0.2">
      <c r="B140" s="512" t="s">
        <v>1111</v>
      </c>
      <c r="C140" s="526">
        <f t="shared" si="5"/>
        <v>0</v>
      </c>
      <c r="D140" s="527">
        <f t="shared" si="6"/>
        <v>0</v>
      </c>
      <c r="E140" s="522">
        <f t="shared" si="2"/>
        <v>0</v>
      </c>
      <c r="G140" s="255">
        <f t="shared" si="3"/>
        <v>0</v>
      </c>
      <c r="H140" s="531">
        <f t="shared" si="4"/>
        <v>0</v>
      </c>
    </row>
    <row r="141" spans="2:9" x14ac:dyDescent="0.2">
      <c r="B141" s="512" t="s">
        <v>1112</v>
      </c>
      <c r="C141" s="526">
        <f t="shared" si="5"/>
        <v>0</v>
      </c>
      <c r="D141" s="527">
        <f t="shared" si="6"/>
        <v>0</v>
      </c>
      <c r="E141" s="522">
        <f t="shared" si="2"/>
        <v>0</v>
      </c>
      <c r="G141" s="255">
        <f t="shared" si="3"/>
        <v>0</v>
      </c>
      <c r="H141" s="531">
        <f t="shared" si="4"/>
        <v>0</v>
      </c>
    </row>
    <row r="142" spans="2:9" x14ac:dyDescent="0.2">
      <c r="B142" s="512" t="s">
        <v>1113</v>
      </c>
      <c r="C142" s="526">
        <f t="shared" si="5"/>
        <v>0</v>
      </c>
      <c r="D142" s="527">
        <f t="shared" si="6"/>
        <v>0</v>
      </c>
      <c r="E142" s="522">
        <f t="shared" si="2"/>
        <v>0</v>
      </c>
      <c r="G142" s="255">
        <f t="shared" si="3"/>
        <v>0</v>
      </c>
      <c r="H142" s="531">
        <f t="shared" si="4"/>
        <v>0</v>
      </c>
    </row>
    <row r="143" spans="2:9" x14ac:dyDescent="0.2">
      <c r="B143" s="512" t="s">
        <v>1114</v>
      </c>
      <c r="C143" s="526">
        <f t="shared" si="5"/>
        <v>0</v>
      </c>
      <c r="D143" s="527">
        <f t="shared" si="6"/>
        <v>0</v>
      </c>
      <c r="E143" s="522">
        <f t="shared" si="2"/>
        <v>0</v>
      </c>
      <c r="G143" s="255">
        <f t="shared" si="3"/>
        <v>0</v>
      </c>
      <c r="H143" s="531">
        <f t="shared" si="4"/>
        <v>0</v>
      </c>
    </row>
    <row r="144" spans="2:9" x14ac:dyDescent="0.2">
      <c r="B144" s="512" t="s">
        <v>1115</v>
      </c>
      <c r="C144" s="526">
        <f t="shared" si="5"/>
        <v>0</v>
      </c>
      <c r="D144" s="527">
        <f t="shared" si="6"/>
        <v>0</v>
      </c>
      <c r="E144" s="522">
        <f t="shared" si="2"/>
        <v>0</v>
      </c>
      <c r="G144" s="255">
        <f t="shared" si="3"/>
        <v>0</v>
      </c>
      <c r="H144" s="531">
        <f t="shared" si="4"/>
        <v>0</v>
      </c>
    </row>
    <row r="145" spans="2:9" x14ac:dyDescent="0.2">
      <c r="B145" s="512" t="s">
        <v>1116</v>
      </c>
      <c r="C145" s="526">
        <f t="shared" si="5"/>
        <v>0</v>
      </c>
      <c r="D145" s="527">
        <f t="shared" si="6"/>
        <v>0</v>
      </c>
      <c r="E145" s="522">
        <f t="shared" si="2"/>
        <v>0</v>
      </c>
      <c r="G145" s="255">
        <f t="shared" si="3"/>
        <v>0</v>
      </c>
      <c r="H145" s="531">
        <f t="shared" si="4"/>
        <v>0</v>
      </c>
    </row>
    <row r="146" spans="2:9" x14ac:dyDescent="0.2">
      <c r="B146" s="512" t="s">
        <v>1117</v>
      </c>
      <c r="C146" s="526">
        <f t="shared" si="5"/>
        <v>0</v>
      </c>
      <c r="D146" s="527">
        <f t="shared" si="6"/>
        <v>0</v>
      </c>
      <c r="E146" s="522">
        <f t="shared" si="2"/>
        <v>0</v>
      </c>
      <c r="G146" s="255">
        <f t="shared" si="3"/>
        <v>0</v>
      </c>
      <c r="H146" s="531">
        <f t="shared" si="4"/>
        <v>0</v>
      </c>
    </row>
    <row r="147" spans="2:9" x14ac:dyDescent="0.2">
      <c r="B147" s="512" t="s">
        <v>1118</v>
      </c>
      <c r="C147" s="526">
        <f t="shared" si="5"/>
        <v>0</v>
      </c>
      <c r="D147" s="527">
        <f t="shared" si="6"/>
        <v>0</v>
      </c>
      <c r="E147" s="522">
        <f t="shared" si="2"/>
        <v>0</v>
      </c>
      <c r="G147" s="255">
        <f t="shared" si="3"/>
        <v>0</v>
      </c>
      <c r="H147" s="531">
        <f t="shared" si="4"/>
        <v>0</v>
      </c>
    </row>
    <row r="148" spans="2:9" x14ac:dyDescent="0.2">
      <c r="B148" s="512" t="s">
        <v>1119</v>
      </c>
      <c r="C148" s="526">
        <f t="shared" si="5"/>
        <v>0</v>
      </c>
      <c r="D148" s="527">
        <f t="shared" si="6"/>
        <v>0</v>
      </c>
      <c r="E148" s="522">
        <f t="shared" si="2"/>
        <v>0</v>
      </c>
      <c r="G148" s="255">
        <f t="shared" si="3"/>
        <v>0</v>
      </c>
      <c r="H148" s="531">
        <f t="shared" si="4"/>
        <v>0</v>
      </c>
    </row>
    <row r="149" spans="2:9" x14ac:dyDescent="0.2">
      <c r="B149" s="512" t="s">
        <v>1120</v>
      </c>
      <c r="C149" s="526">
        <f t="shared" si="5"/>
        <v>0</v>
      </c>
      <c r="D149" s="527">
        <f t="shared" si="6"/>
        <v>0</v>
      </c>
      <c r="E149" s="522">
        <f t="shared" si="2"/>
        <v>0</v>
      </c>
      <c r="G149" s="255">
        <f t="shared" si="3"/>
        <v>0</v>
      </c>
      <c r="H149" s="531">
        <f t="shared" si="4"/>
        <v>0</v>
      </c>
    </row>
    <row r="150" spans="2:9" ht="25.5" x14ac:dyDescent="0.2">
      <c r="B150" s="579" t="s">
        <v>1195</v>
      </c>
      <c r="C150" s="526">
        <f t="shared" ref="C150:D157" si="7">$C$70*(D38+D46)</f>
        <v>0</v>
      </c>
      <c r="D150" s="527">
        <f t="shared" si="7"/>
        <v>0</v>
      </c>
      <c r="E150" s="622">
        <f t="shared" si="2"/>
        <v>0</v>
      </c>
      <c r="G150" s="255">
        <f t="shared" si="3"/>
        <v>0</v>
      </c>
      <c r="H150" s="531">
        <f t="shared" si="4"/>
        <v>0</v>
      </c>
      <c r="I150" s="987"/>
    </row>
    <row r="151" spans="2:9" ht="25.5" x14ac:dyDescent="0.2">
      <c r="B151" s="579" t="s">
        <v>1158</v>
      </c>
      <c r="C151" s="526">
        <f t="shared" si="7"/>
        <v>0</v>
      </c>
      <c r="D151" s="527">
        <f t="shared" si="7"/>
        <v>0</v>
      </c>
      <c r="E151" s="622">
        <f t="shared" si="2"/>
        <v>0</v>
      </c>
      <c r="G151" s="255">
        <f t="shared" si="3"/>
        <v>0</v>
      </c>
      <c r="H151" s="531">
        <f t="shared" si="4"/>
        <v>0</v>
      </c>
      <c r="I151" s="478"/>
    </row>
    <row r="152" spans="2:9" s="541" customFormat="1" x14ac:dyDescent="0.2">
      <c r="B152" s="579" t="s">
        <v>1196</v>
      </c>
      <c r="C152" s="526">
        <f t="shared" si="7"/>
        <v>0</v>
      </c>
      <c r="D152" s="527">
        <f t="shared" si="7"/>
        <v>0</v>
      </c>
      <c r="E152" s="622">
        <f t="shared" si="2"/>
        <v>0</v>
      </c>
      <c r="G152" s="255">
        <f t="shared" ref="G152:G159" si="8">IF(E152&lt;0,0,E152)</f>
        <v>0</v>
      </c>
      <c r="H152" s="531">
        <f t="shared" ref="H152:H159" si="9">IF(E152&gt;0,0,E152*-1)</f>
        <v>0</v>
      </c>
      <c r="I152" s="478"/>
    </row>
    <row r="153" spans="2:9" ht="38.25" x14ac:dyDescent="0.2">
      <c r="B153" s="579" t="s">
        <v>1197</v>
      </c>
      <c r="C153" s="526">
        <f t="shared" si="7"/>
        <v>0</v>
      </c>
      <c r="D153" s="527">
        <f t="shared" si="7"/>
        <v>0</v>
      </c>
      <c r="E153" s="622">
        <f t="shared" si="2"/>
        <v>0</v>
      </c>
      <c r="G153" s="255">
        <f t="shared" si="8"/>
        <v>0</v>
      </c>
      <c r="H153" s="531">
        <f t="shared" si="9"/>
        <v>0</v>
      </c>
      <c r="I153" s="478"/>
    </row>
    <row r="154" spans="2:9" s="541" customFormat="1" ht="25.5" x14ac:dyDescent="0.2">
      <c r="B154" s="579" t="s">
        <v>1198</v>
      </c>
      <c r="C154" s="526">
        <f t="shared" si="7"/>
        <v>0</v>
      </c>
      <c r="D154" s="527">
        <f t="shared" si="7"/>
        <v>0</v>
      </c>
      <c r="E154" s="622">
        <f t="shared" si="2"/>
        <v>0</v>
      </c>
      <c r="G154" s="255">
        <f t="shared" si="8"/>
        <v>0</v>
      </c>
      <c r="H154" s="531">
        <f t="shared" si="9"/>
        <v>0</v>
      </c>
      <c r="I154" s="478"/>
    </row>
    <row r="155" spans="2:9" ht="25.5" x14ac:dyDescent="0.2">
      <c r="B155" s="579" t="s">
        <v>1199</v>
      </c>
      <c r="C155" s="526">
        <f t="shared" si="7"/>
        <v>0</v>
      </c>
      <c r="D155" s="527">
        <f t="shared" si="7"/>
        <v>0</v>
      </c>
      <c r="E155" s="622">
        <f t="shared" si="2"/>
        <v>0</v>
      </c>
      <c r="G155" s="255">
        <f t="shared" si="8"/>
        <v>0</v>
      </c>
      <c r="H155" s="531">
        <f t="shared" si="9"/>
        <v>0</v>
      </c>
    </row>
    <row r="156" spans="2:9" s="541" customFormat="1" x14ac:dyDescent="0.2">
      <c r="B156" s="579" t="s">
        <v>1200</v>
      </c>
      <c r="C156" s="526">
        <f t="shared" si="7"/>
        <v>0</v>
      </c>
      <c r="D156" s="527">
        <f t="shared" si="7"/>
        <v>0</v>
      </c>
      <c r="E156" s="622">
        <f t="shared" si="2"/>
        <v>0</v>
      </c>
      <c r="G156" s="255">
        <f t="shared" si="8"/>
        <v>0</v>
      </c>
      <c r="H156" s="531">
        <f t="shared" si="9"/>
        <v>0</v>
      </c>
    </row>
    <row r="157" spans="2:9" s="541" customFormat="1" ht="38.25" x14ac:dyDescent="0.2">
      <c r="B157" s="579" t="s">
        <v>1201</v>
      </c>
      <c r="C157" s="526">
        <f t="shared" si="7"/>
        <v>0</v>
      </c>
      <c r="D157" s="527">
        <f t="shared" si="7"/>
        <v>0</v>
      </c>
      <c r="E157" s="622">
        <f t="shared" si="2"/>
        <v>0</v>
      </c>
      <c r="G157" s="255">
        <f t="shared" si="8"/>
        <v>0</v>
      </c>
      <c r="H157" s="531">
        <f t="shared" si="9"/>
        <v>0</v>
      </c>
      <c r="I157" s="478"/>
    </row>
    <row r="158" spans="2:9" s="541" customFormat="1" x14ac:dyDescent="0.2">
      <c r="B158" s="579" t="s">
        <v>1087</v>
      </c>
      <c r="C158" s="526">
        <f>C65*D54</f>
        <v>0</v>
      </c>
      <c r="D158" s="527">
        <f>C65*E54</f>
        <v>0</v>
      </c>
      <c r="E158" s="622">
        <f t="shared" si="2"/>
        <v>0</v>
      </c>
      <c r="G158" s="255">
        <f t="shared" si="8"/>
        <v>0</v>
      </c>
      <c r="H158" s="531">
        <f t="shared" si="9"/>
        <v>0</v>
      </c>
      <c r="I158" s="987"/>
    </row>
    <row r="159" spans="2:9" x14ac:dyDescent="0.2">
      <c r="B159" s="467"/>
      <c r="C159" s="526"/>
      <c r="D159" s="527"/>
      <c r="E159" s="522">
        <f t="shared" si="2"/>
        <v>0</v>
      </c>
      <c r="G159" s="255">
        <f t="shared" si="8"/>
        <v>0</v>
      </c>
      <c r="H159" s="531">
        <f t="shared" si="9"/>
        <v>0</v>
      </c>
    </row>
    <row r="160" spans="2:9" x14ac:dyDescent="0.2">
      <c r="C160" s="528">
        <f>SUM(C131:C159)</f>
        <v>0</v>
      </c>
      <c r="D160" s="529">
        <f>SUM(D131:D159)</f>
        <v>0</v>
      </c>
      <c r="E160" s="523">
        <f>SUM(E131:E159)</f>
        <v>0</v>
      </c>
      <c r="G160" s="528">
        <f>SUM(G131:G159)</f>
        <v>0</v>
      </c>
      <c r="H160" s="529">
        <f>SUM(H131:H159)</f>
        <v>0</v>
      </c>
    </row>
  </sheetData>
  <sheetProtection algorithmName="SHA-512" hashValue="4YLp1JKaSiwXBASu/NEol2IqcbSVfBLZBh3AhML4QlgJfbE1oleywHQm5uKpq+S8408i9zAt09LxgW3RedQGuw==" saltValue="Z74lxN6EJo7Fczw8KYWtTA==" spinCount="100000" sheet="1" objects="1" scenarios="1"/>
  <mergeCells count="6">
    <mergeCell ref="B126:H127"/>
    <mergeCell ref="G128:H128"/>
    <mergeCell ref="A2:C2"/>
    <mergeCell ref="A5:C5"/>
    <mergeCell ref="B62:I62"/>
    <mergeCell ref="B64:E64"/>
  </mergeCells>
  <conditionalFormatting sqref="B36:E43 C51:E53 B54:E54 B56:E57 B55:C55">
    <cfRule type="expression" dxfId="41" priority="12">
      <formula>#REF!=2</formula>
    </cfRule>
  </conditionalFormatting>
  <conditionalFormatting sqref="B44">
    <cfRule type="expression" dxfId="40" priority="11">
      <formula>#REF!=2</formula>
    </cfRule>
  </conditionalFormatting>
  <conditionalFormatting sqref="E48:E50">
    <cfRule type="expression" dxfId="39" priority="10">
      <formula>#REF!=2</formula>
    </cfRule>
  </conditionalFormatting>
  <conditionalFormatting sqref="C44:E44">
    <cfRule type="expression" dxfId="38" priority="9">
      <formula>#REF!=2</formula>
    </cfRule>
  </conditionalFormatting>
  <conditionalFormatting sqref="B45">
    <cfRule type="expression" dxfId="37" priority="8">
      <formula>#REF!=2</formula>
    </cfRule>
  </conditionalFormatting>
  <conditionalFormatting sqref="C45:C50">
    <cfRule type="expression" dxfId="36" priority="7">
      <formula>#REF!=2</formula>
    </cfRule>
  </conditionalFormatting>
  <conditionalFormatting sqref="D45:D50">
    <cfRule type="expression" dxfId="35" priority="6">
      <formula>#REF!=2</formula>
    </cfRule>
  </conditionalFormatting>
  <conditionalFormatting sqref="E45:E47">
    <cfRule type="expression" dxfId="34" priority="5">
      <formula>#REF!=2</formula>
    </cfRule>
  </conditionalFormatting>
  <conditionalFormatting sqref="B46:B51">
    <cfRule type="expression" dxfId="33" priority="4">
      <formula>#REF!=2</formula>
    </cfRule>
  </conditionalFormatting>
  <conditionalFormatting sqref="B52">
    <cfRule type="expression" dxfId="32" priority="3">
      <formula>#REF!=2</formula>
    </cfRule>
  </conditionalFormatting>
  <conditionalFormatting sqref="B53">
    <cfRule type="expression" dxfId="31" priority="2">
      <formula>#REF!=2</formula>
    </cfRule>
  </conditionalFormatting>
  <conditionalFormatting sqref="D55:E55">
    <cfRule type="expression" dxfId="30" priority="1">
      <formula>#REF!=2</formula>
    </cfRule>
  </conditionalFormatting>
  <pageMargins left="0.7" right="0.7" top="0.75" bottom="0.75" header="0.3" footer="0.3"/>
  <pageSetup paperSize="5" scale="90" fitToWidth="3" fitToHeight="6"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'Ja. TSERS 2018 Summary'!$B$310:$B$611</xm:f>
          </x14:formula1>
          <xm:sqref>C14</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U611"/>
  <sheetViews>
    <sheetView workbookViewId="0">
      <selection sqref="A1:B2"/>
    </sheetView>
  </sheetViews>
  <sheetFormatPr defaultRowHeight="15" x14ac:dyDescent="0.25"/>
  <cols>
    <col min="1" max="1" width="15.28515625" style="743" customWidth="1"/>
    <col min="2" max="2" width="69.7109375" style="743" customWidth="1"/>
    <col min="3" max="4" width="13.85546875" style="743" customWidth="1"/>
    <col min="5" max="5" width="15.7109375" style="743" bestFit="1" customWidth="1"/>
    <col min="6" max="7" width="18.28515625" style="743" customWidth="1"/>
    <col min="8" max="8" width="3.85546875" style="743" customWidth="1"/>
    <col min="9" max="9" width="18.28515625" style="743" customWidth="1"/>
    <col min="10" max="10" width="20" style="743" customWidth="1"/>
    <col min="11" max="11" width="15.5703125" style="743" customWidth="1"/>
    <col min="12" max="12" width="19.42578125" style="743" customWidth="1"/>
    <col min="13" max="13" width="3.85546875" style="743" customWidth="1"/>
    <col min="14" max="14" width="18.28515625" style="743" customWidth="1"/>
    <col min="15" max="15" width="20" style="743" customWidth="1"/>
    <col min="16" max="16" width="14.42578125" style="743" customWidth="1"/>
    <col min="17" max="17" width="19.42578125" style="743" customWidth="1"/>
    <col min="18" max="18" width="3.85546875" style="743" customWidth="1"/>
    <col min="19" max="19" width="15" style="743" customWidth="1"/>
    <col min="20" max="20" width="22.42578125" style="743" customWidth="1"/>
    <col min="21" max="21" width="14.85546875" style="743" bestFit="1" customWidth="1"/>
    <col min="22" max="16384" width="9.140625" style="743"/>
  </cols>
  <sheetData>
    <row r="1" spans="1:21" x14ac:dyDescent="0.25">
      <c r="A1" s="743" t="s">
        <v>1640</v>
      </c>
    </row>
    <row r="2" spans="1:21" x14ac:dyDescent="0.25">
      <c r="A2" s="743" t="s">
        <v>1641</v>
      </c>
      <c r="I2" s="744" t="s">
        <v>778</v>
      </c>
      <c r="J2" s="744"/>
      <c r="K2" s="744"/>
      <c r="L2" s="744"/>
      <c r="N2" s="744" t="s">
        <v>779</v>
      </c>
      <c r="O2" s="744"/>
      <c r="P2" s="744"/>
      <c r="Q2" s="744"/>
      <c r="S2" s="744" t="s">
        <v>780</v>
      </c>
      <c r="T2" s="744"/>
      <c r="U2" s="744"/>
    </row>
    <row r="3" spans="1:21" ht="120" x14ac:dyDescent="0.25">
      <c r="A3" s="745" t="s">
        <v>781</v>
      </c>
      <c r="B3" s="745" t="s">
        <v>782</v>
      </c>
      <c r="C3" s="745" t="s">
        <v>1129</v>
      </c>
      <c r="D3" s="745" t="s">
        <v>1130</v>
      </c>
      <c r="E3" s="745" t="s">
        <v>1642</v>
      </c>
      <c r="F3" s="745" t="s">
        <v>1643</v>
      </c>
      <c r="G3" s="745" t="s">
        <v>1644</v>
      </c>
      <c r="H3" s="745"/>
      <c r="I3" s="745" t="s">
        <v>784</v>
      </c>
      <c r="J3" s="745" t="s">
        <v>785</v>
      </c>
      <c r="K3" s="745" t="s">
        <v>786</v>
      </c>
      <c r="L3" s="745" t="s">
        <v>787</v>
      </c>
      <c r="M3" s="745"/>
      <c r="N3" s="745" t="s">
        <v>784</v>
      </c>
      <c r="O3" s="745" t="s">
        <v>785</v>
      </c>
      <c r="P3" s="745" t="s">
        <v>786</v>
      </c>
      <c r="Q3" s="745" t="s">
        <v>787</v>
      </c>
      <c r="R3" s="745"/>
      <c r="S3" s="745" t="s">
        <v>788</v>
      </c>
      <c r="T3" s="745" t="s">
        <v>789</v>
      </c>
      <c r="U3" s="745" t="s">
        <v>790</v>
      </c>
    </row>
    <row r="4" spans="1:21" x14ac:dyDescent="0.25">
      <c r="A4" s="746" t="s">
        <v>533</v>
      </c>
      <c r="B4" s="747" t="s">
        <v>1543</v>
      </c>
      <c r="C4" s="748">
        <v>0</v>
      </c>
      <c r="D4" s="748">
        <v>0</v>
      </c>
      <c r="E4" s="748">
        <v>0</v>
      </c>
      <c r="F4" s="748">
        <v>0</v>
      </c>
      <c r="G4" s="748">
        <f>VLOOKUP(A4,'[3]TSERS Contributions FY 2017'!$A$2:$C$290,3,FALSE)</f>
        <v>0</v>
      </c>
      <c r="H4" s="745"/>
      <c r="I4" s="748">
        <v>0</v>
      </c>
      <c r="J4" s="748">
        <v>0</v>
      </c>
      <c r="K4" s="748">
        <v>0</v>
      </c>
      <c r="L4" s="748">
        <v>0</v>
      </c>
      <c r="M4" s="745"/>
      <c r="N4" s="748">
        <v>0</v>
      </c>
      <c r="O4" s="748">
        <v>0</v>
      </c>
      <c r="P4" s="748">
        <v>0</v>
      </c>
      <c r="Q4" s="748">
        <v>0</v>
      </c>
      <c r="R4" s="745"/>
      <c r="S4" s="748">
        <v>0</v>
      </c>
      <c r="T4" s="748">
        <v>0</v>
      </c>
      <c r="U4" s="748">
        <v>0</v>
      </c>
    </row>
    <row r="5" spans="1:21" x14ac:dyDescent="0.25">
      <c r="A5" s="749">
        <v>10200</v>
      </c>
      <c r="B5" s="747" t="s">
        <v>791</v>
      </c>
      <c r="C5" s="750">
        <v>1.0897999999999999E-3</v>
      </c>
      <c r="D5" s="750">
        <v>1.1054000000000001E-3</v>
      </c>
      <c r="E5" s="748">
        <v>10159768</v>
      </c>
      <c r="F5" s="751">
        <v>8646954</v>
      </c>
      <c r="G5" s="748">
        <f>VLOOKUP(A5,'[3]TSERS Contributions FY 2017'!$A$2:$C$290,3,FALSE)</f>
        <v>1443743</v>
      </c>
      <c r="H5" s="751"/>
      <c r="I5" s="748">
        <v>187450</v>
      </c>
      <c r="J5" s="748">
        <v>4122797</v>
      </c>
      <c r="K5" s="748">
        <v>1366088</v>
      </c>
      <c r="L5" s="751">
        <v>38738</v>
      </c>
      <c r="M5" s="751"/>
      <c r="N5" s="748">
        <v>282887</v>
      </c>
      <c r="O5" s="748">
        <v>2952571</v>
      </c>
      <c r="P5" s="748">
        <v>0</v>
      </c>
      <c r="Q5" s="751">
        <v>235752</v>
      </c>
      <c r="R5" s="751"/>
      <c r="S5" s="748">
        <v>2330267</v>
      </c>
      <c r="T5" s="752">
        <v>-41057</v>
      </c>
      <c r="U5" s="752">
        <v>2289210</v>
      </c>
    </row>
    <row r="6" spans="1:21" x14ac:dyDescent="0.25">
      <c r="A6" s="749">
        <v>10400</v>
      </c>
      <c r="B6" s="747" t="s">
        <v>792</v>
      </c>
      <c r="C6" s="750">
        <v>3.2104999999999998E-3</v>
      </c>
      <c r="D6" s="750">
        <v>3.2499999999999999E-3</v>
      </c>
      <c r="E6" s="748">
        <v>29870857</v>
      </c>
      <c r="F6" s="751">
        <v>25473523</v>
      </c>
      <c r="G6" s="748">
        <f>VLOOKUP(A6,'[3]TSERS Contributions FY 2017'!$A$2:$C$290,3,FALSE)</f>
        <v>4948936</v>
      </c>
      <c r="H6" s="751"/>
      <c r="I6" s="748">
        <v>552219</v>
      </c>
      <c r="J6" s="748">
        <v>12145569</v>
      </c>
      <c r="K6" s="748">
        <v>4024432</v>
      </c>
      <c r="L6" s="751">
        <v>337544</v>
      </c>
      <c r="M6" s="751"/>
      <c r="N6" s="748">
        <v>833372</v>
      </c>
      <c r="O6" s="748">
        <v>8698137</v>
      </c>
      <c r="P6" s="748">
        <v>0</v>
      </c>
      <c r="Q6" s="751">
        <v>2792700</v>
      </c>
      <c r="R6" s="751"/>
      <c r="S6" s="748">
        <v>6864858</v>
      </c>
      <c r="T6" s="752">
        <v>-1606643</v>
      </c>
      <c r="U6" s="752">
        <v>5258215</v>
      </c>
    </row>
    <row r="7" spans="1:21" x14ac:dyDescent="0.25">
      <c r="A7" s="749">
        <v>10500</v>
      </c>
      <c r="B7" s="747" t="s">
        <v>793</v>
      </c>
      <c r="C7" s="750">
        <v>7.7539999999999998E-4</v>
      </c>
      <c r="D7" s="750">
        <v>7.2939999999999995E-4</v>
      </c>
      <c r="E7" s="748">
        <v>6703939</v>
      </c>
      <c r="F7" s="751">
        <v>6152366</v>
      </c>
      <c r="G7" s="748">
        <f>VLOOKUP(A7,'[3]TSERS Contributions FY 2017'!$A$2:$C$290,3,FALSE)</f>
        <v>1061676</v>
      </c>
      <c r="H7" s="751"/>
      <c r="I7" s="748">
        <v>133372</v>
      </c>
      <c r="J7" s="748">
        <v>2933398</v>
      </c>
      <c r="K7" s="748">
        <v>971981</v>
      </c>
      <c r="L7" s="751">
        <v>164308</v>
      </c>
      <c r="M7" s="751"/>
      <c r="N7" s="748">
        <v>201276</v>
      </c>
      <c r="O7" s="748">
        <v>2100774</v>
      </c>
      <c r="P7" s="748">
        <v>0</v>
      </c>
      <c r="Q7" s="751">
        <v>25122</v>
      </c>
      <c r="R7" s="751"/>
      <c r="S7" s="748">
        <v>1658001</v>
      </c>
      <c r="T7" s="752">
        <v>26150</v>
      </c>
      <c r="U7" s="752">
        <v>1684150</v>
      </c>
    </row>
    <row r="8" spans="1:21" x14ac:dyDescent="0.25">
      <c r="A8" s="749">
        <v>10700</v>
      </c>
      <c r="B8" s="747" t="s">
        <v>794</v>
      </c>
      <c r="C8" s="750">
        <v>4.6511E-3</v>
      </c>
      <c r="D8" s="750">
        <v>4.5304999999999998E-3</v>
      </c>
      <c r="E8" s="748">
        <v>41639975</v>
      </c>
      <c r="F8" s="751">
        <v>36903879</v>
      </c>
      <c r="G8" s="748">
        <f>VLOOKUP(A8,'[3]TSERS Contributions FY 2017'!$A$2:$C$290,3,FALSE)</f>
        <v>7339207</v>
      </c>
      <c r="H8" s="751"/>
      <c r="I8" s="748">
        <v>800008</v>
      </c>
      <c r="J8" s="748">
        <v>17595469</v>
      </c>
      <c r="K8" s="748">
        <v>5830256</v>
      </c>
      <c r="L8" s="751">
        <v>7546095</v>
      </c>
      <c r="M8" s="751"/>
      <c r="N8" s="748">
        <v>1207319</v>
      </c>
      <c r="O8" s="748">
        <v>12601123</v>
      </c>
      <c r="P8" s="748">
        <v>0</v>
      </c>
      <c r="Q8" s="751">
        <v>0</v>
      </c>
      <c r="R8" s="751"/>
      <c r="S8" s="748">
        <v>9945224</v>
      </c>
      <c r="T8" s="752">
        <v>3008854</v>
      </c>
      <c r="U8" s="752">
        <v>12954078</v>
      </c>
    </row>
    <row r="9" spans="1:21" x14ac:dyDescent="0.25">
      <c r="A9" s="749">
        <v>10800</v>
      </c>
      <c r="B9" s="747" t="s">
        <v>795</v>
      </c>
      <c r="C9" s="750">
        <v>1.98189E-2</v>
      </c>
      <c r="D9" s="750">
        <v>1.9146300000000002E-2</v>
      </c>
      <c r="E9" s="748">
        <v>175974275</v>
      </c>
      <c r="F9" s="751">
        <v>157251893</v>
      </c>
      <c r="G9" s="748">
        <f>VLOOKUP(A9,'[3]TSERS Contributions FY 2017'!$A$2:$C$290,3,FALSE)</f>
        <v>30753061</v>
      </c>
      <c r="H9" s="751"/>
      <c r="I9" s="748">
        <v>3408930</v>
      </c>
      <c r="J9" s="748">
        <v>74976425</v>
      </c>
      <c r="K9" s="748">
        <v>24843427</v>
      </c>
      <c r="L9" s="751">
        <v>4483344</v>
      </c>
      <c r="M9" s="751"/>
      <c r="N9" s="748">
        <v>5144531</v>
      </c>
      <c r="O9" s="748">
        <v>53694910</v>
      </c>
      <c r="P9" s="748">
        <v>0</v>
      </c>
      <c r="Q9" s="751">
        <v>244967</v>
      </c>
      <c r="R9" s="751"/>
      <c r="S9" s="748">
        <v>42377803</v>
      </c>
      <c r="T9" s="752">
        <v>1405802</v>
      </c>
      <c r="U9" s="752">
        <v>43783604</v>
      </c>
    </row>
    <row r="10" spans="1:21" x14ac:dyDescent="0.25">
      <c r="A10" s="749">
        <v>10850</v>
      </c>
      <c r="B10" s="747" t="s">
        <v>796</v>
      </c>
      <c r="C10" s="750">
        <v>1.507E-4</v>
      </c>
      <c r="D10" s="750">
        <v>1.383E-4</v>
      </c>
      <c r="E10" s="748">
        <v>1271120</v>
      </c>
      <c r="F10" s="751">
        <v>1195720</v>
      </c>
      <c r="G10" s="748">
        <f>VLOOKUP(A10,'[3]TSERS Contributions FY 2017'!$A$2:$C$290,3,FALSE)</f>
        <v>311655</v>
      </c>
      <c r="H10" s="751"/>
      <c r="I10" s="748">
        <v>25921</v>
      </c>
      <c r="J10" s="748">
        <v>570110</v>
      </c>
      <c r="K10" s="748">
        <v>188906</v>
      </c>
      <c r="L10" s="751">
        <v>278461</v>
      </c>
      <c r="M10" s="751"/>
      <c r="N10" s="748">
        <v>39118</v>
      </c>
      <c r="O10" s="748">
        <v>408288</v>
      </c>
      <c r="P10" s="748">
        <v>0</v>
      </c>
      <c r="Q10" s="751">
        <v>0</v>
      </c>
      <c r="R10" s="751"/>
      <c r="S10" s="748">
        <v>322235</v>
      </c>
      <c r="T10" s="752">
        <v>142783</v>
      </c>
      <c r="U10" s="752">
        <v>465018</v>
      </c>
    </row>
    <row r="11" spans="1:21" x14ac:dyDescent="0.25">
      <c r="A11" s="749">
        <v>10900</v>
      </c>
      <c r="B11" s="747" t="s">
        <v>797</v>
      </c>
      <c r="C11" s="750">
        <v>1.7773999999999999E-3</v>
      </c>
      <c r="D11" s="750">
        <v>1.9082000000000001E-3</v>
      </c>
      <c r="E11" s="748">
        <v>17538329</v>
      </c>
      <c r="F11" s="751">
        <v>14102675</v>
      </c>
      <c r="G11" s="748">
        <f>VLOOKUP(A11,'[3]TSERS Contributions FY 2017'!$A$2:$C$290,3,FALSE)</f>
        <v>3210853</v>
      </c>
      <c r="H11" s="751"/>
      <c r="I11" s="748">
        <v>305720</v>
      </c>
      <c r="J11" s="748">
        <v>6724041</v>
      </c>
      <c r="K11" s="748">
        <v>2228010</v>
      </c>
      <c r="L11" s="751">
        <v>804731</v>
      </c>
      <c r="M11" s="751"/>
      <c r="N11" s="748">
        <v>461372</v>
      </c>
      <c r="O11" s="748">
        <v>4815471</v>
      </c>
      <c r="P11" s="748">
        <v>0</v>
      </c>
      <c r="Q11" s="751">
        <v>0</v>
      </c>
      <c r="R11" s="751"/>
      <c r="S11" s="748">
        <v>3800529</v>
      </c>
      <c r="T11" s="752">
        <v>557238</v>
      </c>
      <c r="U11" s="752">
        <v>4357767</v>
      </c>
    </row>
    <row r="12" spans="1:21" x14ac:dyDescent="0.25">
      <c r="A12" s="749">
        <v>10910</v>
      </c>
      <c r="B12" s="747" t="s">
        <v>798</v>
      </c>
      <c r="C12" s="750">
        <v>2.9599999999999998E-4</v>
      </c>
      <c r="D12" s="750">
        <v>2.6919999999999998E-4</v>
      </c>
      <c r="E12" s="748">
        <v>2474226</v>
      </c>
      <c r="F12" s="751">
        <v>2348595</v>
      </c>
      <c r="G12" s="748">
        <f>VLOOKUP(A12,'[3]TSERS Contributions FY 2017'!$A$2:$C$290,3,FALSE)</f>
        <v>412896</v>
      </c>
      <c r="H12" s="751"/>
      <c r="I12" s="748">
        <v>50913</v>
      </c>
      <c r="J12" s="748">
        <v>1119791</v>
      </c>
      <c r="K12" s="748">
        <v>371043</v>
      </c>
      <c r="L12" s="751">
        <v>179168</v>
      </c>
      <c r="M12" s="751"/>
      <c r="N12" s="748">
        <v>76835</v>
      </c>
      <c r="O12" s="748">
        <v>801946</v>
      </c>
      <c r="P12" s="748">
        <v>0</v>
      </c>
      <c r="Q12" s="751">
        <v>168745</v>
      </c>
      <c r="R12" s="751"/>
      <c r="S12" s="748">
        <v>632923</v>
      </c>
      <c r="T12" s="752">
        <v>5366</v>
      </c>
      <c r="U12" s="752">
        <v>638288</v>
      </c>
    </row>
    <row r="13" spans="1:21" x14ac:dyDescent="0.25">
      <c r="A13" s="749">
        <v>10930</v>
      </c>
      <c r="B13" s="747" t="s">
        <v>799</v>
      </c>
      <c r="C13" s="750">
        <v>2.7759999999999998E-3</v>
      </c>
      <c r="D13" s="750">
        <v>2.5428E-3</v>
      </c>
      <c r="E13" s="748">
        <v>23370959</v>
      </c>
      <c r="F13" s="751">
        <v>22026008</v>
      </c>
      <c r="G13" s="748">
        <f>VLOOKUP(A13,'[3]TSERS Contributions FY 2017'!$A$2:$C$290,3,FALSE)</f>
        <v>4598709</v>
      </c>
      <c r="H13" s="751"/>
      <c r="I13" s="748">
        <v>477483</v>
      </c>
      <c r="J13" s="748">
        <v>10501822</v>
      </c>
      <c r="K13" s="748">
        <v>3479777</v>
      </c>
      <c r="L13" s="751">
        <v>2019201</v>
      </c>
      <c r="M13" s="751"/>
      <c r="N13" s="748">
        <v>720586</v>
      </c>
      <c r="O13" s="748">
        <v>7520956</v>
      </c>
      <c r="P13" s="748">
        <v>0</v>
      </c>
      <c r="Q13" s="751">
        <v>61678</v>
      </c>
      <c r="R13" s="751"/>
      <c r="S13" s="748">
        <v>5935788</v>
      </c>
      <c r="T13" s="752">
        <v>766511</v>
      </c>
      <c r="U13" s="752">
        <v>6702299</v>
      </c>
    </row>
    <row r="14" spans="1:21" x14ac:dyDescent="0.25">
      <c r="A14" s="749">
        <v>10940</v>
      </c>
      <c r="B14" s="747" t="s">
        <v>800</v>
      </c>
      <c r="C14" s="750">
        <v>6.9059999999999998E-4</v>
      </c>
      <c r="D14" s="750">
        <v>6.9930000000000003E-4</v>
      </c>
      <c r="E14" s="748">
        <v>6427289</v>
      </c>
      <c r="F14" s="751">
        <v>5479525</v>
      </c>
      <c r="G14" s="748">
        <f>VLOOKUP(A14,'[3]TSERS Contributions FY 2017'!$A$2:$C$290,3,FALSE)</f>
        <v>1160612</v>
      </c>
      <c r="H14" s="751"/>
      <c r="I14" s="748">
        <v>118786</v>
      </c>
      <c r="J14" s="748">
        <v>2612593</v>
      </c>
      <c r="K14" s="748">
        <v>865682</v>
      </c>
      <c r="L14" s="751">
        <v>122737</v>
      </c>
      <c r="M14" s="751"/>
      <c r="N14" s="748">
        <v>179264</v>
      </c>
      <c r="O14" s="748">
        <v>1871027</v>
      </c>
      <c r="P14" s="748">
        <v>0</v>
      </c>
      <c r="Q14" s="751">
        <v>216275</v>
      </c>
      <c r="R14" s="751"/>
      <c r="S14" s="748">
        <v>1476677</v>
      </c>
      <c r="T14" s="752">
        <v>-99529</v>
      </c>
      <c r="U14" s="752">
        <v>1377148</v>
      </c>
    </row>
    <row r="15" spans="1:21" x14ac:dyDescent="0.25">
      <c r="A15" s="749">
        <v>10950</v>
      </c>
      <c r="B15" s="747" t="s">
        <v>801</v>
      </c>
      <c r="C15" s="750">
        <v>6.625E-4</v>
      </c>
      <c r="D15" s="750">
        <v>6.8150000000000003E-4</v>
      </c>
      <c r="E15" s="748">
        <v>6263689</v>
      </c>
      <c r="F15" s="751">
        <v>5256567</v>
      </c>
      <c r="G15" s="748">
        <f>VLOOKUP(A15,'[3]TSERS Contributions FY 2017'!$A$2:$C$290,3,FALSE)</f>
        <v>1035714</v>
      </c>
      <c r="H15" s="751"/>
      <c r="I15" s="748">
        <v>113952.65</v>
      </c>
      <c r="J15" s="748">
        <v>2506289</v>
      </c>
      <c r="K15" s="748">
        <v>830458</v>
      </c>
      <c r="L15" s="751">
        <v>147069</v>
      </c>
      <c r="M15" s="751"/>
      <c r="N15" s="748">
        <v>171970</v>
      </c>
      <c r="O15" s="748">
        <v>1794897</v>
      </c>
      <c r="P15" s="748">
        <v>0</v>
      </c>
      <c r="Q15" s="751">
        <v>7717</v>
      </c>
      <c r="R15" s="751"/>
      <c r="S15" s="748">
        <v>1416591.95</v>
      </c>
      <c r="T15" s="752">
        <v>107540</v>
      </c>
      <c r="U15" s="752">
        <v>1524132</v>
      </c>
    </row>
    <row r="16" spans="1:21" x14ac:dyDescent="0.25">
      <c r="A16" s="749">
        <v>11300</v>
      </c>
      <c r="B16" s="747" t="s">
        <v>802</v>
      </c>
      <c r="C16" s="750">
        <v>4.8168999999999998E-3</v>
      </c>
      <c r="D16" s="750">
        <v>5.2521E-3</v>
      </c>
      <c r="E16" s="748">
        <v>48272224</v>
      </c>
      <c r="F16" s="751">
        <v>38219409</v>
      </c>
      <c r="G16" s="748">
        <f>VLOOKUP(A16,'[3]TSERS Contributions FY 2017'!$A$2:$C$290,3,FALSE)</f>
        <v>8092145</v>
      </c>
      <c r="H16" s="751"/>
      <c r="I16" s="748">
        <v>828526</v>
      </c>
      <c r="J16" s="748">
        <v>18222704</v>
      </c>
      <c r="K16" s="748">
        <v>6038090</v>
      </c>
      <c r="L16" s="751">
        <v>0</v>
      </c>
      <c r="M16" s="751"/>
      <c r="N16" s="748">
        <v>1250356</v>
      </c>
      <c r="O16" s="748">
        <v>13050321</v>
      </c>
      <c r="P16" s="748">
        <v>0</v>
      </c>
      <c r="Q16" s="751">
        <v>7414045</v>
      </c>
      <c r="R16" s="751"/>
      <c r="S16" s="748">
        <v>10299746</v>
      </c>
      <c r="T16" s="752">
        <v>-3074977</v>
      </c>
      <c r="U16" s="752">
        <v>7224769</v>
      </c>
    </row>
    <row r="17" spans="1:21" x14ac:dyDescent="0.25">
      <c r="A17" s="749">
        <v>11310</v>
      </c>
      <c r="B17" s="747" t="s">
        <v>803</v>
      </c>
      <c r="C17" s="750">
        <v>5.2360000000000004E-4</v>
      </c>
      <c r="D17" s="750">
        <v>5.0109999999999998E-4</v>
      </c>
      <c r="E17" s="748">
        <v>4605627</v>
      </c>
      <c r="F17" s="751">
        <v>4154473</v>
      </c>
      <c r="G17" s="748">
        <f>VLOOKUP(A17,'[3]TSERS Contributions FY 2017'!$A$2:$C$290,3,FALSE)</f>
        <v>861312</v>
      </c>
      <c r="H17" s="751"/>
      <c r="I17" s="748">
        <v>90061</v>
      </c>
      <c r="J17" s="748">
        <v>1980819</v>
      </c>
      <c r="K17" s="748">
        <v>656344</v>
      </c>
      <c r="L17" s="751">
        <v>199440</v>
      </c>
      <c r="M17" s="751"/>
      <c r="N17" s="748">
        <v>135915</v>
      </c>
      <c r="O17" s="748">
        <v>1418578</v>
      </c>
      <c r="P17" s="748">
        <v>0</v>
      </c>
      <c r="Q17" s="751">
        <v>0</v>
      </c>
      <c r="R17" s="751"/>
      <c r="S17" s="748">
        <v>1119589</v>
      </c>
      <c r="T17" s="752">
        <v>78530</v>
      </c>
      <c r="U17" s="752">
        <v>1198119</v>
      </c>
    </row>
    <row r="18" spans="1:21" x14ac:dyDescent="0.25">
      <c r="A18" s="749">
        <v>11600</v>
      </c>
      <c r="B18" s="747" t="s">
        <v>804</v>
      </c>
      <c r="C18" s="750">
        <v>2.1459000000000001E-3</v>
      </c>
      <c r="D18" s="750">
        <v>2.1102E-3</v>
      </c>
      <c r="E18" s="748">
        <v>19394918</v>
      </c>
      <c r="F18" s="751">
        <v>17026517</v>
      </c>
      <c r="G18" s="748">
        <f>VLOOKUP(A18,'[3]TSERS Contributions FY 2017'!$A$2:$C$290,3,FALSE)</f>
        <v>3102467</v>
      </c>
      <c r="H18" s="751"/>
      <c r="I18" s="748">
        <v>369103</v>
      </c>
      <c r="J18" s="748">
        <v>8118105</v>
      </c>
      <c r="K18" s="748">
        <v>2689933</v>
      </c>
      <c r="L18" s="751">
        <v>193358</v>
      </c>
      <c r="M18" s="751"/>
      <c r="N18" s="748">
        <v>557026</v>
      </c>
      <c r="O18" s="748">
        <v>5813840</v>
      </c>
      <c r="P18" s="748">
        <v>0</v>
      </c>
      <c r="Q18" s="751">
        <v>271189</v>
      </c>
      <c r="R18" s="751"/>
      <c r="S18" s="748">
        <v>4588475</v>
      </c>
      <c r="T18" s="752">
        <v>-32013</v>
      </c>
      <c r="U18" s="752">
        <v>4556462</v>
      </c>
    </row>
    <row r="19" spans="1:21" x14ac:dyDescent="0.25">
      <c r="A19" s="749">
        <v>11900</v>
      </c>
      <c r="B19" s="747" t="s">
        <v>805</v>
      </c>
      <c r="C19" s="750">
        <v>2.1550000000000001E-4</v>
      </c>
      <c r="D19" s="750">
        <v>2.4699999999999999E-4</v>
      </c>
      <c r="E19" s="748">
        <v>2270185</v>
      </c>
      <c r="F19" s="751">
        <v>1709872</v>
      </c>
      <c r="G19" s="748">
        <f>VLOOKUP(A19,'[3]TSERS Contributions FY 2017'!$A$2:$C$290,3,FALSE)</f>
        <v>310608</v>
      </c>
      <c r="H19" s="751"/>
      <c r="I19" s="748">
        <v>37067</v>
      </c>
      <c r="J19" s="748">
        <v>815253</v>
      </c>
      <c r="K19" s="748">
        <v>270134</v>
      </c>
      <c r="L19" s="751">
        <v>43196</v>
      </c>
      <c r="M19" s="751"/>
      <c r="N19" s="748">
        <v>55939</v>
      </c>
      <c r="O19" s="748">
        <v>583849</v>
      </c>
      <c r="P19" s="748">
        <v>0</v>
      </c>
      <c r="Q19" s="751">
        <v>139531</v>
      </c>
      <c r="R19" s="751"/>
      <c r="S19" s="748">
        <v>460793</v>
      </c>
      <c r="T19" s="752">
        <v>-32002</v>
      </c>
      <c r="U19" s="752">
        <v>428791</v>
      </c>
    </row>
    <row r="20" spans="1:21" x14ac:dyDescent="0.25">
      <c r="A20" s="749">
        <v>12100</v>
      </c>
      <c r="B20" s="747" t="s">
        <v>806</v>
      </c>
      <c r="C20" s="750">
        <v>2.677E-4</v>
      </c>
      <c r="D20" s="750">
        <v>2.6439999999999998E-4</v>
      </c>
      <c r="E20" s="748">
        <v>2430109</v>
      </c>
      <c r="F20" s="751">
        <v>2124050</v>
      </c>
      <c r="G20" s="748">
        <f>VLOOKUP(A20,'[3]TSERS Contributions FY 2017'!$A$2:$C$290,3,FALSE)</f>
        <v>402067</v>
      </c>
      <c r="H20" s="751"/>
      <c r="I20" s="748">
        <v>46045</v>
      </c>
      <c r="J20" s="748">
        <v>1012730</v>
      </c>
      <c r="K20" s="748">
        <v>335568</v>
      </c>
      <c r="L20" s="751">
        <v>136300</v>
      </c>
      <c r="M20" s="751"/>
      <c r="N20" s="748">
        <v>69489</v>
      </c>
      <c r="O20" s="748">
        <v>725274</v>
      </c>
      <c r="P20" s="748">
        <v>0</v>
      </c>
      <c r="Q20" s="751">
        <v>0</v>
      </c>
      <c r="R20" s="751"/>
      <c r="S20" s="748">
        <v>572410</v>
      </c>
      <c r="T20" s="752">
        <v>109304</v>
      </c>
      <c r="U20" s="752">
        <v>681714</v>
      </c>
    </row>
    <row r="21" spans="1:21" x14ac:dyDescent="0.25">
      <c r="A21" s="749">
        <v>12150</v>
      </c>
      <c r="B21" s="747" t="s">
        <v>807</v>
      </c>
      <c r="C21" s="750">
        <v>4.07E-5</v>
      </c>
      <c r="D21" s="750">
        <v>4.0200000000000001E-5</v>
      </c>
      <c r="E21" s="748">
        <v>369480</v>
      </c>
      <c r="F21" s="751">
        <v>322932</v>
      </c>
      <c r="G21" s="748">
        <f>VLOOKUP(A21,'[3]TSERS Contributions FY 2017'!$A$2:$C$290,3,FALSE)</f>
        <v>48546</v>
      </c>
      <c r="H21" s="751"/>
      <c r="I21" s="748">
        <v>7001</v>
      </c>
      <c r="J21" s="748">
        <v>153971</v>
      </c>
      <c r="K21" s="748">
        <v>51018</v>
      </c>
      <c r="L21" s="751">
        <v>16358</v>
      </c>
      <c r="M21" s="751"/>
      <c r="N21" s="748">
        <v>10565</v>
      </c>
      <c r="O21" s="748">
        <v>110268</v>
      </c>
      <c r="P21" s="748">
        <v>0</v>
      </c>
      <c r="Q21" s="751">
        <v>16462</v>
      </c>
      <c r="R21" s="751"/>
      <c r="S21" s="748">
        <v>87027</v>
      </c>
      <c r="T21" s="752">
        <v>5477</v>
      </c>
      <c r="U21" s="752">
        <v>92503</v>
      </c>
    </row>
    <row r="22" spans="1:21" x14ac:dyDescent="0.25">
      <c r="A22" s="749">
        <v>12160</v>
      </c>
      <c r="B22" s="747" t="s">
        <v>808</v>
      </c>
      <c r="C22" s="750">
        <v>1.8461E-3</v>
      </c>
      <c r="D22" s="750">
        <v>1.8841000000000001E-3</v>
      </c>
      <c r="E22" s="748">
        <v>17316825</v>
      </c>
      <c r="F22" s="751">
        <v>14647772</v>
      </c>
      <c r="G22" s="748">
        <f>VLOOKUP(A22,'[3]TSERS Contributions FY 2017'!$A$2:$C$290,3,FALSE)</f>
        <v>3074313</v>
      </c>
      <c r="H22" s="751"/>
      <c r="I22" s="748">
        <v>317537</v>
      </c>
      <c r="J22" s="748">
        <v>6983938</v>
      </c>
      <c r="K22" s="748">
        <v>2314127</v>
      </c>
      <c r="L22" s="751">
        <v>725720</v>
      </c>
      <c r="M22" s="751"/>
      <c r="N22" s="748">
        <v>479205</v>
      </c>
      <c r="O22" s="748">
        <v>5001598</v>
      </c>
      <c r="P22" s="748">
        <v>0</v>
      </c>
      <c r="Q22" s="751">
        <v>0</v>
      </c>
      <c r="R22" s="751"/>
      <c r="S22" s="748">
        <v>3947427</v>
      </c>
      <c r="T22" s="752">
        <v>443823</v>
      </c>
      <c r="U22" s="752">
        <v>4391250</v>
      </c>
    </row>
    <row r="23" spans="1:21" x14ac:dyDescent="0.25">
      <c r="A23" s="753">
        <v>12200</v>
      </c>
      <c r="B23" s="747" t="s">
        <v>1545</v>
      </c>
      <c r="C23" s="750">
        <v>3.8E-6</v>
      </c>
      <c r="D23" s="750">
        <v>0</v>
      </c>
      <c r="E23" s="748">
        <v>0</v>
      </c>
      <c r="F23" s="751">
        <v>30151</v>
      </c>
      <c r="G23" s="748">
        <v>0</v>
      </c>
      <c r="H23" s="751"/>
      <c r="I23" s="748">
        <v>654</v>
      </c>
      <c r="J23" s="748">
        <v>14376</v>
      </c>
      <c r="K23" s="748">
        <v>4763</v>
      </c>
      <c r="L23" s="751">
        <v>10136</v>
      </c>
      <c r="M23" s="751"/>
      <c r="N23" s="748">
        <v>986</v>
      </c>
      <c r="O23" s="748">
        <v>10295</v>
      </c>
      <c r="P23" s="748">
        <v>0</v>
      </c>
      <c r="Q23" s="751">
        <v>0</v>
      </c>
      <c r="R23" s="751"/>
      <c r="S23" s="748">
        <v>8125</v>
      </c>
      <c r="T23" s="752">
        <v>3379</v>
      </c>
      <c r="U23" s="752">
        <v>11504</v>
      </c>
    </row>
    <row r="24" spans="1:21" x14ac:dyDescent="0.25">
      <c r="A24" s="749">
        <v>12220</v>
      </c>
      <c r="B24" s="747" t="s">
        <v>809</v>
      </c>
      <c r="C24" s="750">
        <v>4.7928199999999997E-2</v>
      </c>
      <c r="D24" s="750">
        <v>4.7691699999999997E-2</v>
      </c>
      <c r="E24" s="748">
        <v>438335989</v>
      </c>
      <c r="F24" s="751">
        <v>380283475</v>
      </c>
      <c r="G24" s="748">
        <f>VLOOKUP(A24,'[3]TSERS Contributions FY 2017'!$A$2:$C$290,3,FALSE)</f>
        <v>76495429</v>
      </c>
      <c r="H24" s="751"/>
      <c r="I24" s="748">
        <v>8243842</v>
      </c>
      <c r="J24" s="748">
        <v>181316071</v>
      </c>
      <c r="K24" s="748">
        <v>60079053</v>
      </c>
      <c r="L24" s="751">
        <v>9037265</v>
      </c>
      <c r="M24" s="751"/>
      <c r="N24" s="748">
        <v>12441058</v>
      </c>
      <c r="O24" s="748">
        <v>129850818</v>
      </c>
      <c r="P24" s="748">
        <v>0</v>
      </c>
      <c r="Q24" s="751">
        <v>157091</v>
      </c>
      <c r="R24" s="751"/>
      <c r="S24" s="748">
        <v>102482570</v>
      </c>
      <c r="T24" s="752">
        <v>3932097</v>
      </c>
      <c r="U24" s="752">
        <v>106414666</v>
      </c>
    </row>
    <row r="25" spans="1:21" x14ac:dyDescent="0.25">
      <c r="A25" s="749">
        <v>12510</v>
      </c>
      <c r="B25" s="747" t="s">
        <v>810</v>
      </c>
      <c r="C25" s="750">
        <v>5.3429000000000003E-3</v>
      </c>
      <c r="D25" s="750">
        <v>5.4278E-3</v>
      </c>
      <c r="E25" s="748">
        <v>49887089</v>
      </c>
      <c r="F25" s="751">
        <v>42392925</v>
      </c>
      <c r="G25" s="748">
        <f>VLOOKUP(A25,'[3]TSERS Contributions FY 2017'!$A$2:$C$290,3,FALSE)</f>
        <v>9239274</v>
      </c>
      <c r="H25" s="751"/>
      <c r="I25" s="748">
        <v>919000</v>
      </c>
      <c r="J25" s="748">
        <v>20212602</v>
      </c>
      <c r="K25" s="748">
        <v>6697443</v>
      </c>
      <c r="L25" s="751">
        <v>1004682</v>
      </c>
      <c r="M25" s="751"/>
      <c r="N25" s="748">
        <v>1386894</v>
      </c>
      <c r="O25" s="748">
        <v>14475401</v>
      </c>
      <c r="P25" s="748">
        <v>0</v>
      </c>
      <c r="Q25" s="751">
        <v>636403</v>
      </c>
      <c r="R25" s="751"/>
      <c r="S25" s="748">
        <v>11424467</v>
      </c>
      <c r="T25" s="752">
        <v>11141</v>
      </c>
      <c r="U25" s="752">
        <v>11435608</v>
      </c>
    </row>
    <row r="26" spans="1:21" x14ac:dyDescent="0.25">
      <c r="A26" s="749">
        <v>12600</v>
      </c>
      <c r="B26" s="747" t="s">
        <v>811</v>
      </c>
      <c r="C26" s="750">
        <v>1.4484000000000001E-3</v>
      </c>
      <c r="D26" s="750">
        <v>1.4882000000000001E-3</v>
      </c>
      <c r="E26" s="748">
        <v>13678095</v>
      </c>
      <c r="F26" s="751">
        <v>11492244</v>
      </c>
      <c r="G26" s="748">
        <f>VLOOKUP(A26,'[3]TSERS Contributions FY 2017'!$A$2:$C$290,3,FALSE)</f>
        <v>2508412</v>
      </c>
      <c r="H26" s="751"/>
      <c r="I26" s="748">
        <v>249131</v>
      </c>
      <c r="J26" s="748">
        <v>5479409</v>
      </c>
      <c r="K26" s="748">
        <v>1815601</v>
      </c>
      <c r="L26" s="751">
        <v>296583</v>
      </c>
      <c r="M26" s="751"/>
      <c r="N26" s="748">
        <v>375971</v>
      </c>
      <c r="O26" s="748">
        <v>3924118</v>
      </c>
      <c r="P26" s="748">
        <v>0</v>
      </c>
      <c r="Q26" s="751">
        <v>14229</v>
      </c>
      <c r="R26" s="751"/>
      <c r="S26" s="748">
        <v>3097044</v>
      </c>
      <c r="T26" s="752">
        <v>94161</v>
      </c>
      <c r="U26" s="752">
        <v>3191205</v>
      </c>
    </row>
    <row r="27" spans="1:21" x14ac:dyDescent="0.25">
      <c r="A27" s="749">
        <v>12700</v>
      </c>
      <c r="B27" s="747" t="s">
        <v>812</v>
      </c>
      <c r="C27" s="750">
        <v>1.1355E-3</v>
      </c>
      <c r="D27" s="750">
        <v>1.1444999999999999E-3</v>
      </c>
      <c r="E27" s="748">
        <v>10519137</v>
      </c>
      <c r="F27" s="751">
        <v>9009558</v>
      </c>
      <c r="G27" s="748">
        <f>VLOOKUP(A27,'[3]TSERS Contributions FY 2017'!$A$2:$C$290,3,FALSE)</f>
        <v>1927194</v>
      </c>
      <c r="H27" s="751"/>
      <c r="I27" s="748">
        <v>195311</v>
      </c>
      <c r="J27" s="748">
        <v>4295684</v>
      </c>
      <c r="K27" s="748">
        <v>1423374</v>
      </c>
      <c r="L27" s="751">
        <v>244235</v>
      </c>
      <c r="M27" s="751"/>
      <c r="N27" s="748">
        <v>294750</v>
      </c>
      <c r="O27" s="748">
        <v>3076385</v>
      </c>
      <c r="P27" s="748">
        <v>0</v>
      </c>
      <c r="Q27" s="751">
        <v>27080</v>
      </c>
      <c r="R27" s="751"/>
      <c r="S27" s="748">
        <v>2427985</v>
      </c>
      <c r="T27" s="752">
        <v>66407</v>
      </c>
      <c r="U27" s="752">
        <v>2494392</v>
      </c>
    </row>
    <row r="28" spans="1:21" x14ac:dyDescent="0.25">
      <c r="A28" s="749">
        <v>13500</v>
      </c>
      <c r="B28" s="747" t="s">
        <v>813</v>
      </c>
      <c r="C28" s="750">
        <v>4.4362000000000004E-3</v>
      </c>
      <c r="D28" s="750">
        <v>4.3654999999999996E-3</v>
      </c>
      <c r="E28" s="748">
        <v>40123455</v>
      </c>
      <c r="F28" s="751">
        <v>35198767</v>
      </c>
      <c r="G28" s="748">
        <f>VLOOKUP(A28,'[3]TSERS Contributions FY 2017'!$A$2:$C$290,3,FALSE)</f>
        <v>6953792</v>
      </c>
      <c r="H28" s="751"/>
      <c r="I28" s="748">
        <v>763044</v>
      </c>
      <c r="J28" s="748">
        <v>16782486</v>
      </c>
      <c r="K28" s="748">
        <v>5560874</v>
      </c>
      <c r="L28" s="751">
        <v>1480174</v>
      </c>
      <c r="M28" s="751"/>
      <c r="N28" s="748">
        <v>1151535</v>
      </c>
      <c r="O28" s="748">
        <v>12018899</v>
      </c>
      <c r="P28" s="748">
        <v>0</v>
      </c>
      <c r="Q28" s="751">
        <v>0</v>
      </c>
      <c r="R28" s="751"/>
      <c r="S28" s="748">
        <v>9485714</v>
      </c>
      <c r="T28" s="752">
        <v>604676</v>
      </c>
      <c r="U28" s="752">
        <v>10090389</v>
      </c>
    </row>
    <row r="29" spans="1:21" x14ac:dyDescent="0.25">
      <c r="A29" s="749">
        <v>13700</v>
      </c>
      <c r="B29" s="747" t="s">
        <v>814</v>
      </c>
      <c r="C29" s="750">
        <v>4.7780000000000001E-4</v>
      </c>
      <c r="D29" s="750">
        <v>5.1610000000000002E-4</v>
      </c>
      <c r="E29" s="748">
        <v>4743492</v>
      </c>
      <c r="F29" s="751">
        <v>3791076</v>
      </c>
      <c r="G29" s="748">
        <f>VLOOKUP(A29,'[3]TSERS Contributions FY 2017'!$A$2:$C$290,3,FALSE)</f>
        <v>819024</v>
      </c>
      <c r="H29" s="751"/>
      <c r="I29" s="748">
        <v>82184</v>
      </c>
      <c r="J29" s="748">
        <v>1807554</v>
      </c>
      <c r="K29" s="748">
        <v>598933</v>
      </c>
      <c r="L29" s="751">
        <v>16232</v>
      </c>
      <c r="M29" s="751"/>
      <c r="N29" s="748">
        <v>124026</v>
      </c>
      <c r="O29" s="748">
        <v>1294493</v>
      </c>
      <c r="P29" s="748">
        <v>0</v>
      </c>
      <c r="Q29" s="751">
        <v>89385</v>
      </c>
      <c r="R29" s="751"/>
      <c r="S29" s="748">
        <v>1021657</v>
      </c>
      <c r="T29" s="752">
        <v>-29529</v>
      </c>
      <c r="U29" s="752">
        <v>992128</v>
      </c>
    </row>
    <row r="30" spans="1:21" x14ac:dyDescent="0.25">
      <c r="A30" s="749">
        <v>14200</v>
      </c>
      <c r="B30" s="747" t="s">
        <v>815</v>
      </c>
      <c r="C30" s="750">
        <v>0</v>
      </c>
      <c r="D30" s="750">
        <v>0</v>
      </c>
      <c r="E30" s="748">
        <v>0</v>
      </c>
      <c r="F30" s="751">
        <v>0</v>
      </c>
      <c r="G30" s="748">
        <v>0</v>
      </c>
      <c r="H30" s="751"/>
      <c r="I30" s="748">
        <v>0</v>
      </c>
      <c r="J30" s="748">
        <v>0</v>
      </c>
      <c r="K30" s="748">
        <v>0</v>
      </c>
      <c r="L30" s="751">
        <v>0</v>
      </c>
      <c r="M30" s="751"/>
      <c r="N30" s="748">
        <v>0</v>
      </c>
      <c r="O30" s="748">
        <v>0</v>
      </c>
      <c r="P30" s="748">
        <v>0</v>
      </c>
      <c r="Q30" s="751">
        <v>2003</v>
      </c>
      <c r="R30" s="751"/>
      <c r="S30" s="748">
        <v>0</v>
      </c>
      <c r="T30" s="752">
        <v>-2535</v>
      </c>
      <c r="U30" s="752">
        <v>-2535</v>
      </c>
    </row>
    <row r="31" spans="1:21" x14ac:dyDescent="0.25">
      <c r="A31" s="749">
        <v>14300</v>
      </c>
      <c r="B31" s="747" t="s">
        <v>1164</v>
      </c>
      <c r="C31" s="750">
        <v>1.6612E-3</v>
      </c>
      <c r="D31" s="750">
        <v>1.4986999999999999E-3</v>
      </c>
      <c r="E31" s="748">
        <v>13774601</v>
      </c>
      <c r="F31" s="751">
        <v>13180693</v>
      </c>
      <c r="G31" s="748">
        <f>VLOOKUP(A31,'[3]TSERS Contributions FY 2017'!$A$2:$C$290,3,FALSE)</f>
        <v>2740607</v>
      </c>
      <c r="H31" s="751"/>
      <c r="I31" s="748">
        <v>285733</v>
      </c>
      <c r="J31" s="748">
        <v>6284448</v>
      </c>
      <c r="K31" s="748">
        <v>2082351</v>
      </c>
      <c r="L31" s="751">
        <v>1024384</v>
      </c>
      <c r="M31" s="751"/>
      <c r="N31" s="748">
        <v>431209</v>
      </c>
      <c r="O31" s="748">
        <v>4500653</v>
      </c>
      <c r="P31" s="748">
        <v>0</v>
      </c>
      <c r="Q31" s="751">
        <v>14005</v>
      </c>
      <c r="R31" s="751"/>
      <c r="S31" s="748">
        <v>3552064</v>
      </c>
      <c r="T31" s="752">
        <v>359109</v>
      </c>
      <c r="U31" s="752">
        <v>3911173</v>
      </c>
    </row>
    <row r="32" spans="1:21" x14ac:dyDescent="0.25">
      <c r="A32" s="749">
        <v>14300.2</v>
      </c>
      <c r="B32" s="747" t="s">
        <v>1165</v>
      </c>
      <c r="C32" s="750">
        <v>1.9479999999999999E-4</v>
      </c>
      <c r="D32" s="750">
        <v>1.694E-4</v>
      </c>
      <c r="E32" s="748">
        <v>1556961</v>
      </c>
      <c r="F32" s="751">
        <v>1545629</v>
      </c>
      <c r="G32" s="748">
        <v>0</v>
      </c>
      <c r="H32" s="751"/>
      <c r="I32" s="748">
        <v>33506</v>
      </c>
      <c r="J32" s="748">
        <v>736943</v>
      </c>
      <c r="K32" s="748">
        <v>244186</v>
      </c>
      <c r="L32" s="751">
        <v>135336</v>
      </c>
      <c r="M32" s="751"/>
      <c r="N32" s="748">
        <v>50566</v>
      </c>
      <c r="O32" s="748">
        <v>527767</v>
      </c>
      <c r="P32" s="748">
        <v>0</v>
      </c>
      <c r="Q32" s="751">
        <v>24341</v>
      </c>
      <c r="R32" s="751"/>
      <c r="S32" s="748">
        <v>416531</v>
      </c>
      <c r="T32" s="752">
        <v>35202</v>
      </c>
      <c r="U32" s="752">
        <v>451734</v>
      </c>
    </row>
    <row r="33" spans="1:21" x14ac:dyDescent="0.25">
      <c r="A33" s="749">
        <v>18400</v>
      </c>
      <c r="B33" s="747" t="s">
        <v>817</v>
      </c>
      <c r="C33" s="750">
        <v>5.5510999999999998E-3</v>
      </c>
      <c r="D33" s="750">
        <v>5.6007000000000001E-3</v>
      </c>
      <c r="E33" s="748">
        <v>51476219</v>
      </c>
      <c r="F33" s="751">
        <v>44044875</v>
      </c>
      <c r="G33" s="748">
        <f>VLOOKUP(A33,'[3]TSERS Contributions FY 2017'!$A$2:$C$290,3,FALSE)</f>
        <v>8978292</v>
      </c>
      <c r="H33" s="751"/>
      <c r="I33" s="748">
        <v>954811</v>
      </c>
      <c r="J33" s="748">
        <v>21000239</v>
      </c>
      <c r="K33" s="748">
        <v>6958426</v>
      </c>
      <c r="L33" s="751">
        <v>1070047</v>
      </c>
      <c r="M33" s="751"/>
      <c r="N33" s="748">
        <v>1440938</v>
      </c>
      <c r="O33" s="748">
        <v>15039473</v>
      </c>
      <c r="P33" s="748">
        <v>0</v>
      </c>
      <c r="Q33" s="751">
        <v>0</v>
      </c>
      <c r="R33" s="751"/>
      <c r="S33" s="748">
        <v>11869651</v>
      </c>
      <c r="T33" s="752">
        <v>577002</v>
      </c>
      <c r="U33" s="752">
        <v>12446653</v>
      </c>
    </row>
    <row r="34" spans="1:21" x14ac:dyDescent="0.25">
      <c r="A34" s="749">
        <v>18600</v>
      </c>
      <c r="B34" s="747" t="s">
        <v>818</v>
      </c>
      <c r="C34" s="750">
        <v>1.56E-5</v>
      </c>
      <c r="D34" s="750">
        <v>2.19E-5</v>
      </c>
      <c r="E34" s="748">
        <v>201284</v>
      </c>
      <c r="F34" s="751">
        <v>123777</v>
      </c>
      <c r="G34" s="748">
        <f>VLOOKUP(A34,'[3]TSERS Contributions FY 2017'!$A$2:$C$290,3,FALSE)</f>
        <v>25220</v>
      </c>
      <c r="H34" s="751"/>
      <c r="I34" s="748">
        <v>2683</v>
      </c>
      <c r="J34" s="748">
        <v>59016</v>
      </c>
      <c r="K34" s="748">
        <v>19555</v>
      </c>
      <c r="L34" s="751">
        <v>11347</v>
      </c>
      <c r="M34" s="751"/>
      <c r="N34" s="748">
        <v>4049</v>
      </c>
      <c r="O34" s="748">
        <v>42265</v>
      </c>
      <c r="P34" s="748">
        <v>0</v>
      </c>
      <c r="Q34" s="751">
        <v>28117</v>
      </c>
      <c r="R34" s="751"/>
      <c r="S34" s="748">
        <v>33357</v>
      </c>
      <c r="T34" s="752">
        <v>-5636</v>
      </c>
      <c r="U34" s="752">
        <v>27721</v>
      </c>
    </row>
    <row r="35" spans="1:21" x14ac:dyDescent="0.25">
      <c r="A35" s="749">
        <v>18640</v>
      </c>
      <c r="B35" s="747" t="s">
        <v>819</v>
      </c>
      <c r="C35" s="750">
        <v>0</v>
      </c>
      <c r="D35" s="750">
        <v>0</v>
      </c>
      <c r="E35" s="748">
        <v>0</v>
      </c>
      <c r="F35" s="751">
        <v>0</v>
      </c>
      <c r="G35" s="748">
        <f>VLOOKUP(A35,'[3]TSERS Contributions FY 2017'!$A$2:$C$290,3,FALSE)</f>
        <v>499</v>
      </c>
      <c r="H35" s="751"/>
      <c r="I35" s="748">
        <v>0</v>
      </c>
      <c r="J35" s="748">
        <v>0</v>
      </c>
      <c r="K35" s="748">
        <v>0</v>
      </c>
      <c r="L35" s="751">
        <v>373.875</v>
      </c>
      <c r="M35" s="751"/>
      <c r="N35" s="748">
        <v>0</v>
      </c>
      <c r="O35" s="748">
        <v>0</v>
      </c>
      <c r="P35" s="748">
        <v>0</v>
      </c>
      <c r="Q35" s="751">
        <v>5490</v>
      </c>
      <c r="R35" s="751"/>
      <c r="S35" s="748">
        <v>0</v>
      </c>
      <c r="T35" s="752">
        <v>-4634</v>
      </c>
      <c r="U35" s="752">
        <v>-4634</v>
      </c>
    </row>
    <row r="36" spans="1:21" x14ac:dyDescent="0.25">
      <c r="A36" s="749">
        <v>18670</v>
      </c>
      <c r="B36" s="747" t="s">
        <v>820</v>
      </c>
      <c r="C36" s="750">
        <v>0</v>
      </c>
      <c r="D36" s="750">
        <v>0</v>
      </c>
      <c r="E36" s="748">
        <v>0</v>
      </c>
      <c r="F36" s="751">
        <v>0</v>
      </c>
      <c r="G36" s="748">
        <v>0</v>
      </c>
      <c r="H36" s="751"/>
      <c r="I36" s="748">
        <v>0</v>
      </c>
      <c r="J36" s="748">
        <v>0</v>
      </c>
      <c r="K36" s="748">
        <v>0</v>
      </c>
      <c r="L36" s="751">
        <v>0</v>
      </c>
      <c r="M36" s="751"/>
      <c r="N36" s="748">
        <v>0</v>
      </c>
      <c r="O36" s="748">
        <v>0</v>
      </c>
      <c r="P36" s="748">
        <v>0</v>
      </c>
      <c r="Q36" s="751">
        <v>7783</v>
      </c>
      <c r="R36" s="751"/>
      <c r="S36" s="748">
        <v>0</v>
      </c>
      <c r="T36" s="752">
        <v>-5591</v>
      </c>
      <c r="U36" s="752">
        <v>-5591</v>
      </c>
    </row>
    <row r="37" spans="1:21" x14ac:dyDescent="0.25">
      <c r="A37" s="749">
        <v>18690</v>
      </c>
      <c r="B37" s="747" t="s">
        <v>821</v>
      </c>
      <c r="C37" s="750">
        <v>0</v>
      </c>
      <c r="D37" s="750">
        <v>5.2000000000000002E-6</v>
      </c>
      <c r="E37" s="748">
        <v>47793</v>
      </c>
      <c r="F37" s="751">
        <v>0</v>
      </c>
      <c r="G37" s="748">
        <f>VLOOKUP(A37,'[3]TSERS Contributions FY 2017'!$A$2:$C$290,3,FALSE)</f>
        <v>6267</v>
      </c>
      <c r="H37" s="751"/>
      <c r="I37" s="748">
        <v>0</v>
      </c>
      <c r="J37" s="748">
        <v>0</v>
      </c>
      <c r="K37" s="748">
        <v>0</v>
      </c>
      <c r="L37" s="751">
        <v>4918</v>
      </c>
      <c r="M37" s="751"/>
      <c r="N37" s="748">
        <v>0</v>
      </c>
      <c r="O37" s="748">
        <v>0</v>
      </c>
      <c r="P37" s="748">
        <v>0</v>
      </c>
      <c r="Q37" s="751">
        <v>18739</v>
      </c>
      <c r="R37" s="751"/>
      <c r="S37" s="748">
        <v>0</v>
      </c>
      <c r="T37" s="752">
        <v>-572</v>
      </c>
      <c r="U37" s="752">
        <v>-572</v>
      </c>
    </row>
    <row r="38" spans="1:21" x14ac:dyDescent="0.25">
      <c r="A38" s="749">
        <v>18740</v>
      </c>
      <c r="B38" s="747" t="s">
        <v>822</v>
      </c>
      <c r="C38" s="750">
        <v>8.3000000000000002E-6</v>
      </c>
      <c r="D38" s="750">
        <v>7.7999999999999999E-6</v>
      </c>
      <c r="E38" s="748">
        <v>71690</v>
      </c>
      <c r="F38" s="751">
        <v>65856</v>
      </c>
      <c r="G38" s="748">
        <f>VLOOKUP(A38,'[3]TSERS Contributions FY 2017'!$A$2:$C$290,3,FALSE)</f>
        <v>12973</v>
      </c>
      <c r="H38" s="751"/>
      <c r="I38" s="748">
        <v>1428</v>
      </c>
      <c r="J38" s="748">
        <v>31400</v>
      </c>
      <c r="K38" s="748">
        <v>10404</v>
      </c>
      <c r="L38" s="751">
        <v>6297</v>
      </c>
      <c r="M38" s="751"/>
      <c r="N38" s="748">
        <v>2154</v>
      </c>
      <c r="O38" s="748">
        <v>22487</v>
      </c>
      <c r="P38" s="748">
        <v>0</v>
      </c>
      <c r="Q38" s="751">
        <v>575</v>
      </c>
      <c r="R38" s="751"/>
      <c r="S38" s="748">
        <v>17747</v>
      </c>
      <c r="T38" s="752">
        <v>2095</v>
      </c>
      <c r="U38" s="752">
        <v>19842</v>
      </c>
    </row>
    <row r="39" spans="1:21" x14ac:dyDescent="0.25">
      <c r="A39" s="749">
        <v>18780</v>
      </c>
      <c r="B39" s="747" t="s">
        <v>823</v>
      </c>
      <c r="C39" s="750">
        <v>1.3200000000000001E-5</v>
      </c>
      <c r="D39" s="750">
        <v>1.5500000000000001E-5</v>
      </c>
      <c r="E39" s="748">
        <v>142461</v>
      </c>
      <c r="F39" s="751">
        <v>104735</v>
      </c>
      <c r="G39" s="748">
        <f>VLOOKUP(A39,'[3]TSERS Contributions FY 2017'!$A$2:$C$290,3,FALSE)</f>
        <v>24764</v>
      </c>
      <c r="H39" s="751"/>
      <c r="I39" s="748">
        <v>2270</v>
      </c>
      <c r="J39" s="748">
        <v>49937</v>
      </c>
      <c r="K39" s="748">
        <v>16546</v>
      </c>
      <c r="L39" s="751">
        <v>12776</v>
      </c>
      <c r="M39" s="751"/>
      <c r="N39" s="748">
        <v>3426</v>
      </c>
      <c r="O39" s="748">
        <v>35762</v>
      </c>
      <c r="P39" s="748">
        <v>0</v>
      </c>
      <c r="Q39" s="751">
        <v>4252</v>
      </c>
      <c r="R39" s="751"/>
      <c r="S39" s="748">
        <v>28225</v>
      </c>
      <c r="T39" s="752">
        <v>6810</v>
      </c>
      <c r="U39" s="752">
        <v>35035</v>
      </c>
    </row>
    <row r="40" spans="1:21" x14ac:dyDescent="0.25">
      <c r="A40" s="749">
        <v>19005</v>
      </c>
      <c r="B40" s="747" t="s">
        <v>824</v>
      </c>
      <c r="C40" s="750">
        <v>7.7510000000000003E-4</v>
      </c>
      <c r="D40" s="750">
        <v>7.7099999999999998E-4</v>
      </c>
      <c r="E40" s="748">
        <v>7086286</v>
      </c>
      <c r="F40" s="751">
        <v>6149985</v>
      </c>
      <c r="G40" s="748">
        <f>VLOOKUP(A40,'[3]TSERS Contributions FY 2017'!$A$2:$C$290,3,FALSE)</f>
        <v>1362086</v>
      </c>
      <c r="H40" s="751"/>
      <c r="I40" s="748">
        <v>133320</v>
      </c>
      <c r="J40" s="748">
        <v>2932263</v>
      </c>
      <c r="K40" s="748">
        <v>971605</v>
      </c>
      <c r="L40" s="751">
        <v>299753</v>
      </c>
      <c r="M40" s="751"/>
      <c r="N40" s="748">
        <v>201198</v>
      </c>
      <c r="O40" s="748">
        <v>2099961</v>
      </c>
      <c r="P40" s="748">
        <v>0</v>
      </c>
      <c r="Q40" s="751">
        <v>0</v>
      </c>
      <c r="R40" s="751"/>
      <c r="S40" s="748">
        <v>1657359</v>
      </c>
      <c r="T40" s="752">
        <v>129253</v>
      </c>
      <c r="U40" s="752">
        <v>1786612</v>
      </c>
    </row>
    <row r="41" spans="1:21" x14ac:dyDescent="0.25">
      <c r="A41" s="749">
        <v>19100</v>
      </c>
      <c r="B41" s="747" t="s">
        <v>825</v>
      </c>
      <c r="C41" s="750">
        <v>6.9808099999999998E-2</v>
      </c>
      <c r="D41" s="750">
        <v>6.9063399999999997E-2</v>
      </c>
      <c r="E41" s="748">
        <v>634763988</v>
      </c>
      <c r="F41" s="751">
        <v>553888251</v>
      </c>
      <c r="G41" s="748">
        <f>VLOOKUP(A41,'[3]TSERS Contributions FY 2017'!$A$2:$C$290,3,FALSE)</f>
        <v>103912459</v>
      </c>
      <c r="H41" s="751"/>
      <c r="I41" s="748">
        <v>12007272</v>
      </c>
      <c r="J41" s="748">
        <v>264089418</v>
      </c>
      <c r="K41" s="748">
        <v>87505989</v>
      </c>
      <c r="L41" s="751">
        <v>7370521</v>
      </c>
      <c r="M41" s="751"/>
      <c r="N41" s="748">
        <v>18120577</v>
      </c>
      <c r="O41" s="748">
        <v>189129550</v>
      </c>
      <c r="P41" s="748">
        <v>0</v>
      </c>
      <c r="Q41" s="751">
        <v>2525557</v>
      </c>
      <c r="R41" s="751"/>
      <c r="S41" s="748">
        <v>149267309</v>
      </c>
      <c r="T41" s="752">
        <v>903585</v>
      </c>
      <c r="U41" s="752">
        <v>150170895</v>
      </c>
    </row>
    <row r="42" spans="1:21" x14ac:dyDescent="0.25">
      <c r="A42" s="749">
        <v>20100</v>
      </c>
      <c r="B42" s="747" t="s">
        <v>826</v>
      </c>
      <c r="C42" s="750">
        <v>6.2049000000000002E-3</v>
      </c>
      <c r="D42" s="750">
        <v>5.9985000000000004E-3</v>
      </c>
      <c r="E42" s="748">
        <v>55132411</v>
      </c>
      <c r="F42" s="751">
        <v>49232413</v>
      </c>
      <c r="G42" s="748">
        <f>VLOOKUP(A42,'[3]TSERS Contributions FY 2017'!$A$2:$C$290,3,FALSE)</f>
        <v>8943397</v>
      </c>
      <c r="H42" s="751"/>
      <c r="I42" s="748">
        <v>1067268</v>
      </c>
      <c r="J42" s="748">
        <v>23473614</v>
      </c>
      <c r="K42" s="748">
        <v>7777979</v>
      </c>
      <c r="L42" s="751">
        <v>1916790</v>
      </c>
      <c r="M42" s="751"/>
      <c r="N42" s="748">
        <v>1610649</v>
      </c>
      <c r="O42" s="748">
        <v>16810799</v>
      </c>
      <c r="P42" s="748">
        <v>0</v>
      </c>
      <c r="Q42" s="751">
        <v>0</v>
      </c>
      <c r="R42" s="751"/>
      <c r="S42" s="748">
        <v>13267640</v>
      </c>
      <c r="T42" s="752">
        <v>908440</v>
      </c>
      <c r="U42" s="752">
        <v>14176080</v>
      </c>
    </row>
    <row r="43" spans="1:21" x14ac:dyDescent="0.25">
      <c r="A43" s="749">
        <v>20200</v>
      </c>
      <c r="B43" s="747" t="s">
        <v>827</v>
      </c>
      <c r="C43" s="750">
        <v>8.229E-4</v>
      </c>
      <c r="D43" s="750">
        <v>8.2930000000000005E-4</v>
      </c>
      <c r="E43" s="748">
        <v>7622124</v>
      </c>
      <c r="F43" s="751">
        <v>6529251</v>
      </c>
      <c r="G43" s="748">
        <f>VLOOKUP(A43,'[3]TSERS Contributions FY 2017'!$A$2:$C$290,3,FALSE)</f>
        <v>1359983</v>
      </c>
      <c r="H43" s="751"/>
      <c r="I43" s="748">
        <v>141542</v>
      </c>
      <c r="J43" s="748">
        <v>3113094</v>
      </c>
      <c r="K43" s="748">
        <v>1031523</v>
      </c>
      <c r="L43" s="751">
        <v>315798</v>
      </c>
      <c r="M43" s="751"/>
      <c r="N43" s="748">
        <v>213606</v>
      </c>
      <c r="O43" s="748">
        <v>2229465</v>
      </c>
      <c r="P43" s="748">
        <v>0</v>
      </c>
      <c r="Q43" s="751">
        <v>0</v>
      </c>
      <c r="R43" s="751"/>
      <c r="S43" s="748">
        <v>1759568</v>
      </c>
      <c r="T43" s="752">
        <v>145624</v>
      </c>
      <c r="U43" s="752">
        <v>1905192</v>
      </c>
    </row>
    <row r="44" spans="1:21" x14ac:dyDescent="0.25">
      <c r="A44" s="749">
        <v>20300</v>
      </c>
      <c r="B44" s="747" t="s">
        <v>828</v>
      </c>
      <c r="C44" s="750">
        <v>1.38227E-2</v>
      </c>
      <c r="D44" s="750">
        <v>1.3350000000000001E-2</v>
      </c>
      <c r="E44" s="748">
        <v>122700291</v>
      </c>
      <c r="F44" s="751">
        <v>109675398</v>
      </c>
      <c r="G44" s="748">
        <f>VLOOKUP(A44,'[3]TSERS Contributions FY 2017'!$A$2:$C$290,3,FALSE)</f>
        <v>19890081</v>
      </c>
      <c r="H44" s="751"/>
      <c r="I44" s="748">
        <v>2377560</v>
      </c>
      <c r="J44" s="748">
        <v>52292338</v>
      </c>
      <c r="K44" s="748">
        <v>17327059</v>
      </c>
      <c r="L44" s="751">
        <v>2479259</v>
      </c>
      <c r="M44" s="751"/>
      <c r="N44" s="748">
        <v>3588055</v>
      </c>
      <c r="O44" s="748">
        <v>37449537</v>
      </c>
      <c r="P44" s="748">
        <v>0</v>
      </c>
      <c r="Q44" s="751">
        <v>359337</v>
      </c>
      <c r="R44" s="751"/>
      <c r="S44" s="748">
        <v>29556416</v>
      </c>
      <c r="T44" s="752">
        <v>1148616</v>
      </c>
      <c r="U44" s="752">
        <v>30705032</v>
      </c>
    </row>
    <row r="45" spans="1:21" x14ac:dyDescent="0.25">
      <c r="A45" s="749">
        <v>20400</v>
      </c>
      <c r="B45" s="747" t="s">
        <v>829</v>
      </c>
      <c r="C45" s="750">
        <v>9.9360000000000008E-4</v>
      </c>
      <c r="D45" s="750">
        <v>1.0759999999999999E-3</v>
      </c>
      <c r="E45" s="748">
        <v>9889552</v>
      </c>
      <c r="F45" s="751">
        <v>7883661</v>
      </c>
      <c r="G45" s="748">
        <f>VLOOKUP(A45,'[3]TSERS Contributions FY 2017'!$A$2:$C$290,3,FALSE)</f>
        <v>1638502</v>
      </c>
      <c r="H45" s="751"/>
      <c r="I45" s="748">
        <v>170903</v>
      </c>
      <c r="J45" s="748">
        <v>3758865</v>
      </c>
      <c r="K45" s="748">
        <v>1245499</v>
      </c>
      <c r="L45" s="751">
        <v>0</v>
      </c>
      <c r="M45" s="751"/>
      <c r="N45" s="748">
        <v>257916</v>
      </c>
      <c r="O45" s="748">
        <v>2691939</v>
      </c>
      <c r="P45" s="748">
        <v>0</v>
      </c>
      <c r="Q45" s="751">
        <v>981343</v>
      </c>
      <c r="R45" s="751"/>
      <c r="S45" s="748">
        <v>2124567</v>
      </c>
      <c r="T45" s="752">
        <v>-665958</v>
      </c>
      <c r="U45" s="752">
        <v>1458609</v>
      </c>
    </row>
    <row r="46" spans="1:21" x14ac:dyDescent="0.25">
      <c r="A46" s="749">
        <v>20600</v>
      </c>
      <c r="B46" s="747" t="s">
        <v>830</v>
      </c>
      <c r="C46" s="750">
        <v>2.0533000000000001E-3</v>
      </c>
      <c r="D46" s="750">
        <v>1.9053E-3</v>
      </c>
      <c r="E46" s="748">
        <v>17511675</v>
      </c>
      <c r="F46" s="751">
        <v>16291788</v>
      </c>
      <c r="G46" s="748">
        <f>VLOOKUP(A46,'[3]TSERS Contributions FY 2017'!$A$2:$C$290,3,FALSE)</f>
        <v>3188019</v>
      </c>
      <c r="H46" s="751"/>
      <c r="I46" s="748">
        <v>353176</v>
      </c>
      <c r="J46" s="748">
        <v>7767792</v>
      </c>
      <c r="K46" s="748">
        <v>2573857</v>
      </c>
      <c r="L46" s="751">
        <v>736714</v>
      </c>
      <c r="M46" s="751"/>
      <c r="N46" s="748">
        <v>532989</v>
      </c>
      <c r="O46" s="748">
        <v>5562961</v>
      </c>
      <c r="P46" s="748">
        <v>0</v>
      </c>
      <c r="Q46" s="751">
        <v>190989</v>
      </c>
      <c r="R46" s="751"/>
      <c r="S46" s="748">
        <v>4390473</v>
      </c>
      <c r="T46" s="752">
        <v>141935</v>
      </c>
      <c r="U46" s="752">
        <v>4532408</v>
      </c>
    </row>
    <row r="47" spans="1:21" x14ac:dyDescent="0.25">
      <c r="A47" s="749">
        <v>20700</v>
      </c>
      <c r="B47" s="747" t="s">
        <v>831</v>
      </c>
      <c r="C47" s="750">
        <v>4.0467999999999997E-3</v>
      </c>
      <c r="D47" s="750">
        <v>4.0360999999999999E-3</v>
      </c>
      <c r="E47" s="748">
        <v>37095928</v>
      </c>
      <c r="F47" s="751">
        <v>32109096</v>
      </c>
      <c r="G47" s="748">
        <f>VLOOKUP(A47,'[3]TSERS Contributions FY 2017'!$A$2:$C$290,3,FALSE)</f>
        <v>6632723</v>
      </c>
      <c r="H47" s="751"/>
      <c r="I47" s="748">
        <v>696066</v>
      </c>
      <c r="J47" s="748">
        <v>15309356</v>
      </c>
      <c r="K47" s="748">
        <v>5072753</v>
      </c>
      <c r="L47" s="751">
        <v>1230007</v>
      </c>
      <c r="M47" s="751"/>
      <c r="N47" s="748">
        <v>1050456</v>
      </c>
      <c r="O47" s="748">
        <v>10963906</v>
      </c>
      <c r="P47" s="748">
        <v>0</v>
      </c>
      <c r="Q47" s="751">
        <v>0</v>
      </c>
      <c r="R47" s="751"/>
      <c r="S47" s="748">
        <v>8653078</v>
      </c>
      <c r="T47" s="752">
        <v>491539</v>
      </c>
      <c r="U47" s="752">
        <v>9144617</v>
      </c>
    </row>
    <row r="48" spans="1:21" x14ac:dyDescent="0.25">
      <c r="A48" s="749">
        <v>20800</v>
      </c>
      <c r="B48" s="747" t="s">
        <v>832</v>
      </c>
      <c r="C48" s="750">
        <v>3.5522000000000001E-3</v>
      </c>
      <c r="D48" s="750">
        <v>3.6143E-3</v>
      </c>
      <c r="E48" s="748">
        <v>33219151</v>
      </c>
      <c r="F48" s="751">
        <v>28184721</v>
      </c>
      <c r="G48" s="748">
        <f>VLOOKUP(A48,'[3]TSERS Contributions FY 2017'!$A$2:$C$290,3,FALSE)</f>
        <v>5506646</v>
      </c>
      <c r="H48" s="751"/>
      <c r="I48" s="748">
        <v>610993</v>
      </c>
      <c r="J48" s="748">
        <v>13438246</v>
      </c>
      <c r="K48" s="748">
        <v>4452761</v>
      </c>
      <c r="L48" s="751">
        <v>277095</v>
      </c>
      <c r="M48" s="751"/>
      <c r="N48" s="748">
        <v>922069</v>
      </c>
      <c r="O48" s="748">
        <v>9623897</v>
      </c>
      <c r="P48" s="748">
        <v>0</v>
      </c>
      <c r="Q48" s="751">
        <v>369123</v>
      </c>
      <c r="R48" s="751"/>
      <c r="S48" s="748">
        <v>7595499</v>
      </c>
      <c r="T48" s="752">
        <v>-87893</v>
      </c>
      <c r="U48" s="752">
        <v>7507606</v>
      </c>
    </row>
    <row r="49" spans="1:21" x14ac:dyDescent="0.25">
      <c r="A49" s="749">
        <v>20900</v>
      </c>
      <c r="B49" s="747" t="s">
        <v>833</v>
      </c>
      <c r="C49" s="750">
        <v>4.8830000000000002E-3</v>
      </c>
      <c r="D49" s="750">
        <v>4.7756999999999999E-3</v>
      </c>
      <c r="E49" s="748">
        <v>43893616</v>
      </c>
      <c r="F49" s="751">
        <v>38743875</v>
      </c>
      <c r="G49" s="748">
        <f>VLOOKUP(A49,'[3]TSERS Contributions FY 2017'!$A$2:$C$290,3,FALSE)</f>
        <v>7752114</v>
      </c>
      <c r="H49" s="751"/>
      <c r="I49" s="748">
        <v>839896</v>
      </c>
      <c r="J49" s="748">
        <v>18472765</v>
      </c>
      <c r="K49" s="748">
        <v>6120948</v>
      </c>
      <c r="L49" s="751">
        <v>957928</v>
      </c>
      <c r="M49" s="751"/>
      <c r="N49" s="748">
        <v>1267514</v>
      </c>
      <c r="O49" s="748">
        <v>13229404</v>
      </c>
      <c r="P49" s="748">
        <v>0</v>
      </c>
      <c r="Q49" s="751">
        <v>716976</v>
      </c>
      <c r="R49" s="751"/>
      <c r="S49" s="748">
        <v>10441085</v>
      </c>
      <c r="T49" s="752">
        <v>-200716</v>
      </c>
      <c r="U49" s="752">
        <v>10240368</v>
      </c>
    </row>
    <row r="50" spans="1:21" x14ac:dyDescent="0.25">
      <c r="A50" s="749">
        <v>21200</v>
      </c>
      <c r="B50" s="747" t="s">
        <v>834</v>
      </c>
      <c r="C50" s="750">
        <v>1.8521E-3</v>
      </c>
      <c r="D50" s="750">
        <v>1.7662000000000001E-3</v>
      </c>
      <c r="E50" s="748">
        <v>16233202</v>
      </c>
      <c r="F50" s="751">
        <v>14695378</v>
      </c>
      <c r="G50" s="748">
        <f>VLOOKUP(A50,'[3]TSERS Contributions FY 2017'!$A$2:$C$290,3,FALSE)</f>
        <v>2724493</v>
      </c>
      <c r="H50" s="751"/>
      <c r="I50" s="748">
        <v>318569</v>
      </c>
      <c r="J50" s="748">
        <v>7006637</v>
      </c>
      <c r="K50" s="748">
        <v>2321648</v>
      </c>
      <c r="L50" s="751">
        <v>742035</v>
      </c>
      <c r="M50" s="751"/>
      <c r="N50" s="748">
        <v>480763</v>
      </c>
      <c r="O50" s="748">
        <v>5017854</v>
      </c>
      <c r="P50" s="748">
        <v>0</v>
      </c>
      <c r="Q50" s="751">
        <v>36757</v>
      </c>
      <c r="R50" s="751"/>
      <c r="S50" s="748">
        <v>3960257</v>
      </c>
      <c r="T50" s="752">
        <v>237494</v>
      </c>
      <c r="U50" s="752">
        <v>4197750</v>
      </c>
    </row>
    <row r="51" spans="1:21" x14ac:dyDescent="0.25">
      <c r="A51" s="749">
        <v>21300</v>
      </c>
      <c r="B51" s="747" t="s">
        <v>835</v>
      </c>
      <c r="C51" s="750">
        <v>2.2259600000000001E-2</v>
      </c>
      <c r="D51" s="750">
        <v>2.20202E-2</v>
      </c>
      <c r="E51" s="748">
        <v>202388385</v>
      </c>
      <c r="F51" s="751">
        <v>176617483</v>
      </c>
      <c r="G51" s="748">
        <f>VLOOKUP(A51,'[3]TSERS Contributions FY 2017'!$A$2:$C$290,3,FALSE)</f>
        <v>32673853</v>
      </c>
      <c r="H51" s="751"/>
      <c r="I51" s="748">
        <v>3828740</v>
      </c>
      <c r="J51" s="748">
        <v>84209781</v>
      </c>
      <c r="K51" s="748">
        <v>27902898</v>
      </c>
      <c r="L51" s="751">
        <v>4336529</v>
      </c>
      <c r="M51" s="751"/>
      <c r="N51" s="748">
        <v>5778080</v>
      </c>
      <c r="O51" s="748">
        <v>60307445</v>
      </c>
      <c r="P51" s="748">
        <v>0</v>
      </c>
      <c r="Q51" s="751">
        <v>0</v>
      </c>
      <c r="R51" s="751"/>
      <c r="S51" s="748">
        <v>47596634</v>
      </c>
      <c r="T51" s="752">
        <v>2186724</v>
      </c>
      <c r="U51" s="752">
        <v>49783358</v>
      </c>
    </row>
    <row r="52" spans="1:21" x14ac:dyDescent="0.25">
      <c r="A52" s="749">
        <v>21520</v>
      </c>
      <c r="B52" s="747" t="s">
        <v>836</v>
      </c>
      <c r="C52" s="750">
        <v>3.1198099999999999E-2</v>
      </c>
      <c r="D52" s="750">
        <v>3.0936100000000001E-2</v>
      </c>
      <c r="E52" s="748">
        <v>284334716</v>
      </c>
      <c r="F52" s="751">
        <v>247539484</v>
      </c>
      <c r="G52" s="748">
        <f>VLOOKUP(A52,'[3]TSERS Contributions FY 2017'!$A$2:$C$290,3,FALSE)</f>
        <v>47279812</v>
      </c>
      <c r="H52" s="751"/>
      <c r="I52" s="748">
        <v>5366198</v>
      </c>
      <c r="J52" s="748">
        <v>118024815</v>
      </c>
      <c r="K52" s="748">
        <v>39107505</v>
      </c>
      <c r="L52" s="751">
        <v>4170116</v>
      </c>
      <c r="M52" s="751"/>
      <c r="N52" s="748">
        <v>8098309</v>
      </c>
      <c r="O52" s="748">
        <v>84524326</v>
      </c>
      <c r="P52" s="748">
        <v>0</v>
      </c>
      <c r="Q52" s="751">
        <v>1253234</v>
      </c>
      <c r="R52" s="751"/>
      <c r="S52" s="748">
        <v>66709400</v>
      </c>
      <c r="T52" s="752">
        <v>1202186</v>
      </c>
      <c r="U52" s="752">
        <v>67911586</v>
      </c>
    </row>
    <row r="53" spans="1:21" x14ac:dyDescent="0.25">
      <c r="A53" s="749">
        <v>21525</v>
      </c>
      <c r="B53" s="747" t="s">
        <v>1166</v>
      </c>
      <c r="C53" s="750">
        <v>1.1898E-3</v>
      </c>
      <c r="D53" s="750">
        <v>1.2384E-3</v>
      </c>
      <c r="E53" s="748">
        <v>11382175</v>
      </c>
      <c r="F53" s="751">
        <v>9440398</v>
      </c>
      <c r="G53" s="748">
        <f>VLOOKUP(A53,'[3]TSERS Contributions FY 2017'!$A$2:$C$290,3,FALSE)</f>
        <v>2122088</v>
      </c>
      <c r="H53" s="751"/>
      <c r="I53" s="748">
        <v>204650</v>
      </c>
      <c r="J53" s="748">
        <v>4501105</v>
      </c>
      <c r="K53" s="748">
        <v>1491440</v>
      </c>
      <c r="L53" s="751">
        <v>284269</v>
      </c>
      <c r="M53" s="751"/>
      <c r="N53" s="748">
        <v>308845</v>
      </c>
      <c r="O53" s="748">
        <v>3223499</v>
      </c>
      <c r="P53" s="748">
        <v>0</v>
      </c>
      <c r="Q53" s="751">
        <v>57925</v>
      </c>
      <c r="R53" s="751"/>
      <c r="S53" s="748">
        <v>2544092</v>
      </c>
      <c r="T53" s="752">
        <v>120961</v>
      </c>
      <c r="U53" s="752">
        <v>2665053</v>
      </c>
    </row>
    <row r="54" spans="1:21" x14ac:dyDescent="0.25">
      <c r="A54" s="749">
        <v>21525.200000000001</v>
      </c>
      <c r="B54" s="747" t="s">
        <v>1167</v>
      </c>
      <c r="C54" s="750">
        <v>1.3549999999999999E-4</v>
      </c>
      <c r="D54" s="750">
        <v>1.1459999999999999E-4</v>
      </c>
      <c r="E54" s="748">
        <v>1053292</v>
      </c>
      <c r="F54" s="751">
        <v>1075117</v>
      </c>
      <c r="G54" s="748">
        <v>0</v>
      </c>
      <c r="H54" s="751"/>
      <c r="I54" s="748">
        <v>23307</v>
      </c>
      <c r="J54" s="748">
        <v>512607</v>
      </c>
      <c r="K54" s="748">
        <v>169852</v>
      </c>
      <c r="L54" s="751">
        <v>108389</v>
      </c>
      <c r="M54" s="751"/>
      <c r="N54" s="748">
        <v>35173</v>
      </c>
      <c r="O54" s="748">
        <v>367107</v>
      </c>
      <c r="P54" s="748">
        <v>0</v>
      </c>
      <c r="Q54" s="751">
        <v>19257</v>
      </c>
      <c r="R54" s="751"/>
      <c r="S54" s="748">
        <v>289733</v>
      </c>
      <c r="T54" s="752">
        <v>31647</v>
      </c>
      <c r="U54" s="752">
        <v>321380</v>
      </c>
    </row>
    <row r="55" spans="1:21" x14ac:dyDescent="0.25">
      <c r="A55" s="749">
        <v>21550</v>
      </c>
      <c r="B55" s="747" t="s">
        <v>838</v>
      </c>
      <c r="C55" s="750">
        <v>3.6282500000000002E-2</v>
      </c>
      <c r="D55" s="750">
        <v>3.5286900000000003E-2</v>
      </c>
      <c r="E55" s="748">
        <v>324323062</v>
      </c>
      <c r="F55" s="751">
        <v>287881356</v>
      </c>
      <c r="G55" s="748">
        <f>VLOOKUP(A55,'[3]TSERS Contributions FY 2017'!$A$2:$C$290,3,FALSE)</f>
        <v>51431769</v>
      </c>
      <c r="H55" s="751"/>
      <c r="I55" s="748">
        <v>6240735</v>
      </c>
      <c r="J55" s="748">
        <v>137259491</v>
      </c>
      <c r="K55" s="748">
        <v>45480912</v>
      </c>
      <c r="L55" s="751">
        <v>5276797</v>
      </c>
      <c r="M55" s="751"/>
      <c r="N55" s="748">
        <v>9418103</v>
      </c>
      <c r="O55" s="748">
        <v>98299379</v>
      </c>
      <c r="P55" s="748">
        <v>0</v>
      </c>
      <c r="Q55" s="751">
        <v>2885713</v>
      </c>
      <c r="R55" s="751"/>
      <c r="S55" s="748">
        <v>77581128</v>
      </c>
      <c r="T55" s="752">
        <v>1948338</v>
      </c>
      <c r="U55" s="752">
        <v>79529466</v>
      </c>
    </row>
    <row r="56" spans="1:21" x14ac:dyDescent="0.25">
      <c r="A56" s="749">
        <v>21570</v>
      </c>
      <c r="B56" s="747" t="s">
        <v>839</v>
      </c>
      <c r="C56" s="750">
        <v>1.7980000000000001E-4</v>
      </c>
      <c r="D56" s="750">
        <v>1.895E-4</v>
      </c>
      <c r="E56" s="748">
        <v>1741701</v>
      </c>
      <c r="F56" s="751">
        <v>1426612</v>
      </c>
      <c r="G56" s="748">
        <f>VLOOKUP(A56,'[3]TSERS Contributions FY 2017'!$A$2:$C$290,3,FALSE)</f>
        <v>291769</v>
      </c>
      <c r="H56" s="751"/>
      <c r="I56" s="748">
        <v>30926</v>
      </c>
      <c r="J56" s="748">
        <v>680197</v>
      </c>
      <c r="K56" s="748">
        <v>225383</v>
      </c>
      <c r="L56" s="751">
        <v>62540</v>
      </c>
      <c r="M56" s="751"/>
      <c r="N56" s="748">
        <v>46672</v>
      </c>
      <c r="O56" s="748">
        <v>487128</v>
      </c>
      <c r="P56" s="748">
        <v>0</v>
      </c>
      <c r="Q56" s="751">
        <v>47606</v>
      </c>
      <c r="R56" s="751"/>
      <c r="S56" s="748">
        <v>384458</v>
      </c>
      <c r="T56" s="752">
        <v>-12010</v>
      </c>
      <c r="U56" s="752">
        <v>372448</v>
      </c>
    </row>
    <row r="57" spans="1:21" x14ac:dyDescent="0.25">
      <c r="A57" s="749">
        <v>21800</v>
      </c>
      <c r="B57" s="747" t="s">
        <v>840</v>
      </c>
      <c r="C57" s="750">
        <v>3.1243E-3</v>
      </c>
      <c r="D57" s="750">
        <v>3.0324000000000002E-3</v>
      </c>
      <c r="E57" s="748">
        <v>27870888</v>
      </c>
      <c r="F57" s="751">
        <v>24789574</v>
      </c>
      <c r="G57" s="748">
        <f>VLOOKUP(A57,'[3]TSERS Contributions FY 2017'!$A$2:$C$290,3,FALSE)</f>
        <v>4669809</v>
      </c>
      <c r="H57" s="751"/>
      <c r="I57" s="748">
        <v>537392</v>
      </c>
      <c r="J57" s="748">
        <v>11819467</v>
      </c>
      <c r="K57" s="748">
        <v>3916379</v>
      </c>
      <c r="L57" s="751">
        <v>1067322</v>
      </c>
      <c r="M57" s="751"/>
      <c r="N57" s="748">
        <v>810996</v>
      </c>
      <c r="O57" s="748">
        <v>8464597</v>
      </c>
      <c r="P57" s="748">
        <v>0</v>
      </c>
      <c r="Q57" s="751">
        <v>0</v>
      </c>
      <c r="R57" s="751"/>
      <c r="S57" s="748">
        <v>6680541</v>
      </c>
      <c r="T57" s="752">
        <v>569084</v>
      </c>
      <c r="U57" s="752">
        <v>7249624</v>
      </c>
    </row>
    <row r="58" spans="1:21" x14ac:dyDescent="0.25">
      <c r="A58" s="749">
        <v>21900</v>
      </c>
      <c r="B58" s="747" t="s">
        <v>841</v>
      </c>
      <c r="C58" s="750">
        <v>2.2258999999999998E-3</v>
      </c>
      <c r="D58" s="750">
        <v>2.3151999999999999E-3</v>
      </c>
      <c r="E58" s="748">
        <v>21279080</v>
      </c>
      <c r="F58" s="751">
        <v>17661272</v>
      </c>
      <c r="G58" s="748">
        <f>VLOOKUP(A58,'[3]TSERS Contributions FY 2017'!$A$2:$C$290,3,FALSE)</f>
        <v>3533766</v>
      </c>
      <c r="H58" s="751"/>
      <c r="I58" s="748">
        <v>382864</v>
      </c>
      <c r="J58" s="748">
        <v>8420751</v>
      </c>
      <c r="K58" s="748">
        <v>2790215</v>
      </c>
      <c r="L58" s="751">
        <v>85689</v>
      </c>
      <c r="M58" s="751"/>
      <c r="N58" s="748">
        <v>577792</v>
      </c>
      <c r="O58" s="748">
        <v>6030582</v>
      </c>
      <c r="P58" s="748">
        <v>0</v>
      </c>
      <c r="Q58" s="751">
        <v>173550</v>
      </c>
      <c r="R58" s="751"/>
      <c r="S58" s="748">
        <v>4759535</v>
      </c>
      <c r="T58" s="752">
        <v>36257</v>
      </c>
      <c r="U58" s="752">
        <v>4795792</v>
      </c>
    </row>
    <row r="59" spans="1:21" x14ac:dyDescent="0.25">
      <c r="A59" s="749">
        <v>22000</v>
      </c>
      <c r="B59" s="747" t="s">
        <v>842</v>
      </c>
      <c r="C59" s="750">
        <v>3.7869000000000002E-3</v>
      </c>
      <c r="D59" s="750">
        <v>3.8665000000000001E-3</v>
      </c>
      <c r="E59" s="748">
        <v>35537129</v>
      </c>
      <c r="F59" s="751">
        <v>30046935</v>
      </c>
      <c r="G59" s="748">
        <f>VLOOKUP(A59,'[3]TSERS Contributions FY 2017'!$A$2:$C$290,3,FALSE)</f>
        <v>6435415</v>
      </c>
      <c r="H59" s="751"/>
      <c r="I59" s="748">
        <v>651362</v>
      </c>
      <c r="J59" s="748">
        <v>14326134</v>
      </c>
      <c r="K59" s="748">
        <v>4746962</v>
      </c>
      <c r="L59" s="751">
        <v>682742</v>
      </c>
      <c r="M59" s="751"/>
      <c r="N59" s="748">
        <v>982992</v>
      </c>
      <c r="O59" s="748">
        <v>10259765</v>
      </c>
      <c r="P59" s="748">
        <v>0</v>
      </c>
      <c r="Q59" s="751">
        <v>463642</v>
      </c>
      <c r="R59" s="751"/>
      <c r="S59" s="748">
        <v>8097346</v>
      </c>
      <c r="T59" s="752">
        <v>196432</v>
      </c>
      <c r="U59" s="752">
        <v>8293778</v>
      </c>
    </row>
    <row r="60" spans="1:21" x14ac:dyDescent="0.25">
      <c r="A60" s="749">
        <v>23000</v>
      </c>
      <c r="B60" s="747" t="s">
        <v>843</v>
      </c>
      <c r="C60" s="750">
        <v>1.2597000000000001E-3</v>
      </c>
      <c r="D60" s="750">
        <v>1.1896000000000001E-3</v>
      </c>
      <c r="E60" s="748">
        <v>10933653</v>
      </c>
      <c r="F60" s="751">
        <v>9995015</v>
      </c>
      <c r="G60" s="748">
        <f>VLOOKUP(A60,'[3]TSERS Contributions FY 2017'!$A$2:$C$290,3,FALSE)</f>
        <v>1904991</v>
      </c>
      <c r="H60" s="751"/>
      <c r="I60" s="748">
        <v>216673</v>
      </c>
      <c r="J60" s="748">
        <v>4765542</v>
      </c>
      <c r="K60" s="748">
        <v>1579062</v>
      </c>
      <c r="L60" s="751">
        <v>624867</v>
      </c>
      <c r="M60" s="751"/>
      <c r="N60" s="748">
        <v>326989</v>
      </c>
      <c r="O60" s="748">
        <v>3412877</v>
      </c>
      <c r="P60" s="748">
        <v>0</v>
      </c>
      <c r="Q60" s="751">
        <v>0</v>
      </c>
      <c r="R60" s="751"/>
      <c r="S60" s="748">
        <v>2693556</v>
      </c>
      <c r="T60" s="752">
        <v>336160</v>
      </c>
      <c r="U60" s="752">
        <v>3029716</v>
      </c>
    </row>
    <row r="61" spans="1:21" x14ac:dyDescent="0.25">
      <c r="A61" s="749">
        <v>23100</v>
      </c>
      <c r="B61" s="747" t="s">
        <v>844</v>
      </c>
      <c r="C61" s="750">
        <v>7.0204000000000004E-3</v>
      </c>
      <c r="D61" s="750">
        <v>6.6102000000000001E-3</v>
      </c>
      <c r="E61" s="748">
        <v>60754566</v>
      </c>
      <c r="F61" s="751">
        <v>55702950</v>
      </c>
      <c r="G61" s="748">
        <f>VLOOKUP(A61,'[3]TSERS Contributions FY 2017'!$A$2:$C$290,3,FALSE)</f>
        <v>10922014</v>
      </c>
      <c r="H61" s="751"/>
      <c r="I61" s="748">
        <v>1207537</v>
      </c>
      <c r="J61" s="748">
        <v>26558714</v>
      </c>
      <c r="K61" s="748">
        <v>8800226</v>
      </c>
      <c r="L61" s="751">
        <v>2691002</v>
      </c>
      <c r="M61" s="751"/>
      <c r="N61" s="748">
        <v>1822334</v>
      </c>
      <c r="O61" s="748">
        <v>19020215</v>
      </c>
      <c r="P61" s="748">
        <v>0</v>
      </c>
      <c r="Q61" s="751">
        <v>0</v>
      </c>
      <c r="R61" s="751"/>
      <c r="S61" s="748">
        <v>15011384</v>
      </c>
      <c r="T61" s="752">
        <v>1149336</v>
      </c>
      <c r="U61" s="752">
        <v>16160721</v>
      </c>
    </row>
    <row r="62" spans="1:21" x14ac:dyDescent="0.25">
      <c r="A62" s="749">
        <v>23200</v>
      </c>
      <c r="B62" s="747" t="s">
        <v>845</v>
      </c>
      <c r="C62" s="750">
        <v>3.7309999999999999E-3</v>
      </c>
      <c r="D62" s="750">
        <v>3.5978E-3</v>
      </c>
      <c r="E62" s="748">
        <v>33067499</v>
      </c>
      <c r="F62" s="751">
        <v>29603399</v>
      </c>
      <c r="G62" s="748">
        <f>VLOOKUP(A62,'[3]TSERS Contributions FY 2017'!$A$2:$C$290,3,FALSE)</f>
        <v>5191170</v>
      </c>
      <c r="H62" s="751"/>
      <c r="I62" s="748">
        <v>641747</v>
      </c>
      <c r="J62" s="748">
        <v>14114660</v>
      </c>
      <c r="K62" s="748">
        <v>4676891</v>
      </c>
      <c r="L62" s="751">
        <v>615217</v>
      </c>
      <c r="M62" s="751"/>
      <c r="N62" s="748">
        <v>968482</v>
      </c>
      <c r="O62" s="748">
        <v>10108316</v>
      </c>
      <c r="P62" s="748">
        <v>0</v>
      </c>
      <c r="Q62" s="751">
        <v>136246</v>
      </c>
      <c r="R62" s="751"/>
      <c r="S62" s="748">
        <v>7977818</v>
      </c>
      <c r="T62" s="752">
        <v>52941</v>
      </c>
      <c r="U62" s="752">
        <v>8030760</v>
      </c>
    </row>
    <row r="63" spans="1:21" x14ac:dyDescent="0.25">
      <c r="A63" s="749">
        <v>30000</v>
      </c>
      <c r="B63" s="747" t="s">
        <v>846</v>
      </c>
      <c r="C63" s="750">
        <v>9.992E-4</v>
      </c>
      <c r="D63" s="750">
        <v>1.0038E-3</v>
      </c>
      <c r="E63" s="748">
        <v>9225959</v>
      </c>
      <c r="F63" s="751">
        <v>7928093</v>
      </c>
      <c r="G63" s="748">
        <f>VLOOKUP(A63,'[3]TSERS Contributions FY 2017'!$A$2:$C$290,3,FALSE)</f>
        <v>1383858</v>
      </c>
      <c r="H63" s="751"/>
      <c r="I63" s="748">
        <v>171866</v>
      </c>
      <c r="J63" s="748">
        <v>3780051</v>
      </c>
      <c r="K63" s="748">
        <v>1252519</v>
      </c>
      <c r="L63" s="751">
        <v>0</v>
      </c>
      <c r="M63" s="751"/>
      <c r="N63" s="748">
        <v>259369</v>
      </c>
      <c r="O63" s="748">
        <v>2707111</v>
      </c>
      <c r="P63" s="748">
        <v>0</v>
      </c>
      <c r="Q63" s="751">
        <v>178743</v>
      </c>
      <c r="R63" s="751"/>
      <c r="S63" s="748">
        <v>2136541</v>
      </c>
      <c r="T63" s="752">
        <v>-107933</v>
      </c>
      <c r="U63" s="752">
        <v>2028609</v>
      </c>
    </row>
    <row r="64" spans="1:21" x14ac:dyDescent="0.25">
      <c r="A64" s="749">
        <v>30100</v>
      </c>
      <c r="B64" s="747" t="s">
        <v>847</v>
      </c>
      <c r="C64" s="750">
        <v>8.5126999999999998E-3</v>
      </c>
      <c r="D64" s="750">
        <v>8.8232999999999992E-3</v>
      </c>
      <c r="E64" s="748">
        <v>81095241</v>
      </c>
      <c r="F64" s="751">
        <v>67543516</v>
      </c>
      <c r="G64" s="748">
        <f>VLOOKUP(A64,'[3]TSERS Contributions FY 2017'!$A$2:$C$290,3,FALSE)</f>
        <v>11430855</v>
      </c>
      <c r="H64" s="751"/>
      <c r="I64" s="748">
        <v>1464218</v>
      </c>
      <c r="J64" s="748">
        <v>32204200</v>
      </c>
      <c r="K64" s="748">
        <v>10670857</v>
      </c>
      <c r="L64" s="751">
        <v>253727</v>
      </c>
      <c r="M64" s="751"/>
      <c r="N64" s="748">
        <v>2209701</v>
      </c>
      <c r="O64" s="748">
        <v>23063271</v>
      </c>
      <c r="P64" s="748">
        <v>0</v>
      </c>
      <c r="Q64" s="751">
        <v>2046395</v>
      </c>
      <c r="R64" s="751"/>
      <c r="S64" s="748">
        <v>18202298</v>
      </c>
      <c r="T64" s="752">
        <v>-833558</v>
      </c>
      <c r="U64" s="752">
        <v>17368739</v>
      </c>
    </row>
    <row r="65" spans="1:21" x14ac:dyDescent="0.25">
      <c r="A65" s="749">
        <v>30102</v>
      </c>
      <c r="B65" s="747" t="s">
        <v>848</v>
      </c>
      <c r="C65" s="750">
        <v>1.6190000000000001E-4</v>
      </c>
      <c r="D65" s="750">
        <v>1.5970000000000001E-4</v>
      </c>
      <c r="E65" s="748">
        <v>1467808</v>
      </c>
      <c r="F65" s="751">
        <v>1284586</v>
      </c>
      <c r="G65" s="748">
        <f>VLOOKUP(A65,'[3]TSERS Contributions FY 2017'!$A$2:$C$290,3,FALSE)</f>
        <v>203529</v>
      </c>
      <c r="H65" s="751"/>
      <c r="I65" s="748">
        <v>27847</v>
      </c>
      <c r="J65" s="748">
        <v>612480</v>
      </c>
      <c r="K65" s="748">
        <v>202945</v>
      </c>
      <c r="L65" s="751">
        <v>66340</v>
      </c>
      <c r="M65" s="751"/>
      <c r="N65" s="748">
        <v>42026</v>
      </c>
      <c r="O65" s="748">
        <v>438632</v>
      </c>
      <c r="P65" s="748">
        <v>0</v>
      </c>
      <c r="Q65" s="751">
        <v>13446</v>
      </c>
      <c r="R65" s="751"/>
      <c r="S65" s="748">
        <v>346183</v>
      </c>
      <c r="T65" s="752">
        <v>32076</v>
      </c>
      <c r="U65" s="752">
        <v>378259</v>
      </c>
    </row>
    <row r="66" spans="1:21" x14ac:dyDescent="0.25">
      <c r="A66" s="749">
        <v>30103</v>
      </c>
      <c r="B66" s="747" t="s">
        <v>849</v>
      </c>
      <c r="C66" s="750">
        <v>2.0809999999999999E-4</v>
      </c>
      <c r="D66" s="750">
        <v>1.8699999999999999E-4</v>
      </c>
      <c r="E66" s="748">
        <v>1718723</v>
      </c>
      <c r="F66" s="751">
        <v>1651157</v>
      </c>
      <c r="G66" s="748">
        <f>VLOOKUP(A66,'[3]TSERS Contributions FY 2017'!$A$2:$C$290,3,FALSE)</f>
        <v>270128</v>
      </c>
      <c r="H66" s="751"/>
      <c r="I66" s="748">
        <v>35794</v>
      </c>
      <c r="J66" s="748">
        <v>787258</v>
      </c>
      <c r="K66" s="748">
        <v>260858</v>
      </c>
      <c r="L66" s="751">
        <v>88868</v>
      </c>
      <c r="M66" s="751"/>
      <c r="N66" s="748">
        <v>54018</v>
      </c>
      <c r="O66" s="748">
        <v>563801</v>
      </c>
      <c r="P66" s="748">
        <v>0</v>
      </c>
      <c r="Q66" s="751">
        <v>16090</v>
      </c>
      <c r="R66" s="751"/>
      <c r="S66" s="748">
        <v>444970</v>
      </c>
      <c r="T66" s="752">
        <v>41103</v>
      </c>
      <c r="U66" s="752">
        <v>486073</v>
      </c>
    </row>
    <row r="67" spans="1:21" x14ac:dyDescent="0.25">
      <c r="A67" s="749">
        <v>30104</v>
      </c>
      <c r="B67" s="747" t="s">
        <v>850</v>
      </c>
      <c r="C67" s="750">
        <v>1.2990000000000001E-4</v>
      </c>
      <c r="D67" s="750">
        <v>1.081E-4</v>
      </c>
      <c r="E67" s="748">
        <v>993551</v>
      </c>
      <c r="F67" s="751">
        <v>1030684</v>
      </c>
      <c r="G67" s="748">
        <f>VLOOKUP(A67,'[3]TSERS Contributions FY 2017'!$A$2:$C$290,3,FALSE)</f>
        <v>138542</v>
      </c>
      <c r="H67" s="751"/>
      <c r="I67" s="748">
        <v>22343</v>
      </c>
      <c r="J67" s="748">
        <v>491422</v>
      </c>
      <c r="K67" s="748">
        <v>162833</v>
      </c>
      <c r="L67" s="751">
        <v>130235</v>
      </c>
      <c r="M67" s="751"/>
      <c r="N67" s="748">
        <v>33719</v>
      </c>
      <c r="O67" s="748">
        <v>351935</v>
      </c>
      <c r="P67" s="748">
        <v>0</v>
      </c>
      <c r="Q67" s="751">
        <v>0</v>
      </c>
      <c r="R67" s="751"/>
      <c r="S67" s="748">
        <v>277759</v>
      </c>
      <c r="T67" s="752">
        <v>67964</v>
      </c>
      <c r="U67" s="752">
        <v>345723</v>
      </c>
    </row>
    <row r="68" spans="1:21" x14ac:dyDescent="0.25">
      <c r="A68" s="749">
        <v>30105</v>
      </c>
      <c r="B68" s="747" t="s">
        <v>851</v>
      </c>
      <c r="C68" s="750">
        <v>9.2610000000000001E-4</v>
      </c>
      <c r="D68" s="750">
        <v>8.5320000000000003E-4</v>
      </c>
      <c r="E68" s="748">
        <v>7841789</v>
      </c>
      <c r="F68" s="751">
        <v>7348086</v>
      </c>
      <c r="G68" s="748">
        <f>VLOOKUP(A68,'[3]TSERS Contributions FY 2017'!$A$2:$C$290,3,FALSE)</f>
        <v>1371051</v>
      </c>
      <c r="H68" s="751"/>
      <c r="I68" s="748">
        <v>159293</v>
      </c>
      <c r="J68" s="748">
        <v>3503508</v>
      </c>
      <c r="K68" s="748">
        <v>1160887</v>
      </c>
      <c r="L68" s="751">
        <v>470252</v>
      </c>
      <c r="M68" s="751"/>
      <c r="N68" s="748">
        <v>240394</v>
      </c>
      <c r="O68" s="748">
        <v>2509062</v>
      </c>
      <c r="P68" s="748">
        <v>0</v>
      </c>
      <c r="Q68" s="751">
        <v>0</v>
      </c>
      <c r="R68" s="751"/>
      <c r="S68" s="748">
        <v>1980235</v>
      </c>
      <c r="T68" s="752">
        <v>199866</v>
      </c>
      <c r="U68" s="752">
        <v>2180101</v>
      </c>
    </row>
    <row r="69" spans="1:21" x14ac:dyDescent="0.25">
      <c r="A69" s="749">
        <v>30200</v>
      </c>
      <c r="B69" s="747" t="s">
        <v>852</v>
      </c>
      <c r="C69" s="750">
        <v>1.9530999999999999E-3</v>
      </c>
      <c r="D69" s="750">
        <v>1.9545000000000001E-3</v>
      </c>
      <c r="E69" s="748">
        <v>17963874</v>
      </c>
      <c r="F69" s="751">
        <v>15496757</v>
      </c>
      <c r="G69" s="748">
        <f>VLOOKUP(A69,'[3]TSERS Contributions FY 2017'!$A$2:$C$290,3,FALSE)</f>
        <v>2736693</v>
      </c>
      <c r="H69" s="751"/>
      <c r="I69" s="748">
        <v>335941</v>
      </c>
      <c r="J69" s="748">
        <v>7388728</v>
      </c>
      <c r="K69" s="748">
        <v>2448254</v>
      </c>
      <c r="L69" s="751">
        <v>0</v>
      </c>
      <c r="M69" s="751"/>
      <c r="N69" s="748">
        <v>506980</v>
      </c>
      <c r="O69" s="748">
        <v>5291491</v>
      </c>
      <c r="P69" s="748">
        <v>0</v>
      </c>
      <c r="Q69" s="751">
        <v>379853</v>
      </c>
      <c r="R69" s="751"/>
      <c r="S69" s="748">
        <v>4176220</v>
      </c>
      <c r="T69" s="752">
        <v>-218084</v>
      </c>
      <c r="U69" s="752">
        <v>3958136</v>
      </c>
    </row>
    <row r="70" spans="1:21" x14ac:dyDescent="0.25">
      <c r="A70" s="749">
        <v>30300</v>
      </c>
      <c r="B70" s="747" t="s">
        <v>853</v>
      </c>
      <c r="C70" s="750">
        <v>6.3279999999999999E-4</v>
      </c>
      <c r="D70" s="750">
        <v>6.8050000000000001E-4</v>
      </c>
      <c r="E70" s="748">
        <v>6254498</v>
      </c>
      <c r="F70" s="751">
        <v>5020914</v>
      </c>
      <c r="G70" s="748">
        <f>VLOOKUP(A70,'[3]TSERS Contributions FY 2017'!$A$2:$C$290,3,FALSE)</f>
        <v>907816</v>
      </c>
      <c r="H70" s="751"/>
      <c r="I70" s="748">
        <v>108844</v>
      </c>
      <c r="J70" s="748">
        <v>2393931</v>
      </c>
      <c r="K70" s="748">
        <v>793229</v>
      </c>
      <c r="L70" s="751">
        <v>2969</v>
      </c>
      <c r="M70" s="751"/>
      <c r="N70" s="748">
        <v>164260</v>
      </c>
      <c r="O70" s="748">
        <v>1714431</v>
      </c>
      <c r="P70" s="748">
        <v>0</v>
      </c>
      <c r="Q70" s="751">
        <v>187550</v>
      </c>
      <c r="R70" s="751"/>
      <c r="S70" s="748">
        <v>1353086</v>
      </c>
      <c r="T70" s="752">
        <v>-68182</v>
      </c>
      <c r="U70" s="752">
        <v>1284904</v>
      </c>
    </row>
    <row r="71" spans="1:21" x14ac:dyDescent="0.25">
      <c r="A71" s="749">
        <v>30400</v>
      </c>
      <c r="B71" s="747" t="s">
        <v>854</v>
      </c>
      <c r="C71" s="750">
        <v>1.2143E-3</v>
      </c>
      <c r="D71" s="750">
        <v>1.2626E-3</v>
      </c>
      <c r="E71" s="748">
        <v>11604598</v>
      </c>
      <c r="F71" s="751">
        <v>9634792</v>
      </c>
      <c r="G71" s="748">
        <f>VLOOKUP(A71,'[3]TSERS Contributions FY 2017'!$A$2:$C$290,3,FALSE)</f>
        <v>1847314</v>
      </c>
      <c r="H71" s="751"/>
      <c r="I71" s="748">
        <v>208864</v>
      </c>
      <c r="J71" s="748">
        <v>4593790</v>
      </c>
      <c r="K71" s="748">
        <v>1522152</v>
      </c>
      <c r="L71" s="751">
        <v>115535</v>
      </c>
      <c r="M71" s="751"/>
      <c r="N71" s="748">
        <v>315204</v>
      </c>
      <c r="O71" s="748">
        <v>3289876</v>
      </c>
      <c r="P71" s="748">
        <v>0</v>
      </c>
      <c r="Q71" s="751">
        <v>260058</v>
      </c>
      <c r="R71" s="751"/>
      <c r="S71" s="748">
        <v>2596479</v>
      </c>
      <c r="T71" s="752">
        <v>-78934</v>
      </c>
      <c r="U71" s="752">
        <v>2517546</v>
      </c>
    </row>
    <row r="72" spans="1:21" x14ac:dyDescent="0.25">
      <c r="A72" s="749">
        <v>30405</v>
      </c>
      <c r="B72" s="747" t="s">
        <v>855</v>
      </c>
      <c r="C72" s="750">
        <v>8.4159999999999997E-4</v>
      </c>
      <c r="D72" s="750">
        <v>8.2660000000000003E-4</v>
      </c>
      <c r="E72" s="748">
        <v>7597308</v>
      </c>
      <c r="F72" s="751">
        <v>6677626</v>
      </c>
      <c r="G72" s="748">
        <f>VLOOKUP(A72,'[3]TSERS Contributions FY 2017'!$A$2:$C$290,3,FALSE)</f>
        <v>1158569</v>
      </c>
      <c r="H72" s="751"/>
      <c r="I72" s="748">
        <v>144759</v>
      </c>
      <c r="J72" s="748">
        <v>3183838</v>
      </c>
      <c r="K72" s="748">
        <v>1054964</v>
      </c>
      <c r="L72" s="751">
        <v>217575</v>
      </c>
      <c r="M72" s="751"/>
      <c r="N72" s="748">
        <v>218460</v>
      </c>
      <c r="O72" s="748">
        <v>2280128</v>
      </c>
      <c r="P72" s="748">
        <v>0</v>
      </c>
      <c r="Q72" s="751">
        <v>0</v>
      </c>
      <c r="R72" s="751"/>
      <c r="S72" s="748">
        <v>1799553</v>
      </c>
      <c r="T72" s="752">
        <v>161168</v>
      </c>
      <c r="U72" s="752">
        <v>1960721</v>
      </c>
    </row>
    <row r="73" spans="1:21" x14ac:dyDescent="0.25">
      <c r="A73" s="749">
        <v>30500</v>
      </c>
      <c r="B73" s="747" t="s">
        <v>856</v>
      </c>
      <c r="C73" s="750">
        <v>1.2786E-3</v>
      </c>
      <c r="D73" s="750">
        <v>1.3144000000000001E-3</v>
      </c>
      <c r="E73" s="748">
        <v>12080694</v>
      </c>
      <c r="F73" s="751">
        <v>10144976</v>
      </c>
      <c r="G73" s="748">
        <f>VLOOKUP(A73,'[3]TSERS Contributions FY 2017'!$A$2:$C$290,3,FALSE)</f>
        <v>1817557</v>
      </c>
      <c r="H73" s="751"/>
      <c r="I73" s="748">
        <v>219924</v>
      </c>
      <c r="J73" s="748">
        <v>4837042</v>
      </c>
      <c r="K73" s="748">
        <v>1602753</v>
      </c>
      <c r="L73" s="751">
        <v>24051</v>
      </c>
      <c r="M73" s="751"/>
      <c r="N73" s="748">
        <v>331895</v>
      </c>
      <c r="O73" s="748">
        <v>3464083</v>
      </c>
      <c r="P73" s="748">
        <v>0</v>
      </c>
      <c r="Q73" s="751">
        <v>230674</v>
      </c>
      <c r="R73" s="751"/>
      <c r="S73" s="748">
        <v>2733969</v>
      </c>
      <c r="T73" s="752">
        <v>-101564</v>
      </c>
      <c r="U73" s="752">
        <v>2632405</v>
      </c>
    </row>
    <row r="74" spans="1:21" x14ac:dyDescent="0.25">
      <c r="A74" s="749">
        <v>30600</v>
      </c>
      <c r="B74" s="747" t="s">
        <v>857</v>
      </c>
      <c r="C74" s="750">
        <v>9.8780000000000005E-4</v>
      </c>
      <c r="D74" s="750">
        <v>1.0258999999999999E-3</v>
      </c>
      <c r="E74" s="748">
        <v>9429081</v>
      </c>
      <c r="F74" s="751">
        <v>7837641</v>
      </c>
      <c r="G74" s="748">
        <f>VLOOKUP(A74,'[3]TSERS Contributions FY 2017'!$A$2:$C$290,3,FALSE)</f>
        <v>1423310</v>
      </c>
      <c r="H74" s="751"/>
      <c r="I74" s="748">
        <v>169906</v>
      </c>
      <c r="J74" s="748">
        <v>3736923</v>
      </c>
      <c r="K74" s="748">
        <v>1238229</v>
      </c>
      <c r="L74" s="751">
        <v>25260</v>
      </c>
      <c r="M74" s="751"/>
      <c r="N74" s="748">
        <v>256410</v>
      </c>
      <c r="O74" s="748">
        <v>2676225</v>
      </c>
      <c r="P74" s="748">
        <v>0</v>
      </c>
      <c r="Q74" s="751">
        <v>152807</v>
      </c>
      <c r="R74" s="751"/>
      <c r="S74" s="748">
        <v>2112165</v>
      </c>
      <c r="T74" s="752">
        <v>-34070</v>
      </c>
      <c r="U74" s="752">
        <v>2078095</v>
      </c>
    </row>
    <row r="75" spans="1:21" x14ac:dyDescent="0.25">
      <c r="A75" s="749">
        <v>30601</v>
      </c>
      <c r="B75" s="747" t="s">
        <v>858</v>
      </c>
      <c r="C75" s="750">
        <v>2.1800000000000001E-5</v>
      </c>
      <c r="D75" s="750">
        <v>2.3099999999999999E-5</v>
      </c>
      <c r="E75" s="748">
        <v>212313</v>
      </c>
      <c r="F75" s="751">
        <v>172971</v>
      </c>
      <c r="G75" s="748">
        <f>VLOOKUP(A75,'[3]TSERS Contributions FY 2017'!$A$2:$C$290,3,FALSE)</f>
        <v>30395</v>
      </c>
      <c r="H75" s="751"/>
      <c r="I75" s="748">
        <v>3750</v>
      </c>
      <c r="J75" s="748">
        <v>82471</v>
      </c>
      <c r="K75" s="748">
        <v>27327</v>
      </c>
      <c r="L75" s="751">
        <v>6029</v>
      </c>
      <c r="M75" s="751"/>
      <c r="N75" s="748">
        <v>5659</v>
      </c>
      <c r="O75" s="748">
        <v>59062</v>
      </c>
      <c r="P75" s="748">
        <v>0</v>
      </c>
      <c r="Q75" s="751">
        <v>11946</v>
      </c>
      <c r="R75" s="751"/>
      <c r="S75" s="748">
        <v>46614</v>
      </c>
      <c r="T75" s="752">
        <v>-901</v>
      </c>
      <c r="U75" s="752">
        <v>45713</v>
      </c>
    </row>
    <row r="76" spans="1:21" x14ac:dyDescent="0.25">
      <c r="A76" s="749">
        <v>30700</v>
      </c>
      <c r="B76" s="747" t="s">
        <v>859</v>
      </c>
      <c r="C76" s="750">
        <v>2.5628000000000001E-3</v>
      </c>
      <c r="D76" s="750">
        <v>2.6148999999999999E-3</v>
      </c>
      <c r="E76" s="748">
        <v>24033632</v>
      </c>
      <c r="F76" s="751">
        <v>20334385</v>
      </c>
      <c r="G76" s="748">
        <f>VLOOKUP(A76,'[3]TSERS Contributions FY 2017'!$A$2:$C$290,3,FALSE)</f>
        <v>3688042</v>
      </c>
      <c r="H76" s="751"/>
      <c r="I76" s="748">
        <v>440812</v>
      </c>
      <c r="J76" s="748">
        <v>9695270</v>
      </c>
      <c r="K76" s="748">
        <v>3212526</v>
      </c>
      <c r="L76" s="751">
        <v>100378</v>
      </c>
      <c r="M76" s="751"/>
      <c r="N76" s="748">
        <v>665244</v>
      </c>
      <c r="O76" s="748">
        <v>6943338</v>
      </c>
      <c r="P76" s="748">
        <v>0</v>
      </c>
      <c r="Q76" s="751">
        <v>194011</v>
      </c>
      <c r="R76" s="751"/>
      <c r="S76" s="748">
        <v>5479912</v>
      </c>
      <c r="T76" s="752">
        <v>5598</v>
      </c>
      <c r="U76" s="752">
        <v>5485510</v>
      </c>
    </row>
    <row r="77" spans="1:21" x14ac:dyDescent="0.25">
      <c r="A77" s="749">
        <v>30705</v>
      </c>
      <c r="B77" s="747" t="s">
        <v>860</v>
      </c>
      <c r="C77" s="750">
        <v>4.9339999999999996E-4</v>
      </c>
      <c r="D77" s="750">
        <v>5.3589999999999996E-4</v>
      </c>
      <c r="E77" s="748">
        <v>4925475</v>
      </c>
      <c r="F77" s="751">
        <v>3914853</v>
      </c>
      <c r="G77" s="748">
        <f>VLOOKUP(A77,'[3]TSERS Contributions FY 2017'!$A$2:$C$290,3,FALSE)</f>
        <v>723775</v>
      </c>
      <c r="H77" s="751"/>
      <c r="I77" s="748">
        <v>84867</v>
      </c>
      <c r="J77" s="748">
        <v>1866570</v>
      </c>
      <c r="K77" s="748">
        <v>618488</v>
      </c>
      <c r="L77" s="751">
        <v>138344</v>
      </c>
      <c r="M77" s="751"/>
      <c r="N77" s="748">
        <v>128075</v>
      </c>
      <c r="O77" s="748">
        <v>1336758</v>
      </c>
      <c r="P77" s="748">
        <v>0</v>
      </c>
      <c r="Q77" s="751">
        <v>150836</v>
      </c>
      <c r="R77" s="751"/>
      <c r="S77" s="748">
        <v>1055014</v>
      </c>
      <c r="T77" s="752">
        <v>30772</v>
      </c>
      <c r="U77" s="752">
        <v>1085786</v>
      </c>
    </row>
    <row r="78" spans="1:21" x14ac:dyDescent="0.25">
      <c r="A78" s="749">
        <v>30800</v>
      </c>
      <c r="B78" s="747" t="s">
        <v>861</v>
      </c>
      <c r="C78" s="750">
        <v>9.6900000000000003E-4</v>
      </c>
      <c r="D78" s="750">
        <v>1.0441999999999999E-3</v>
      </c>
      <c r="E78" s="748">
        <v>9597277</v>
      </c>
      <c r="F78" s="751">
        <v>7688473</v>
      </c>
      <c r="G78" s="748">
        <f>VLOOKUP(A78,'[3]TSERS Contributions FY 2017'!$A$2:$C$290,3,FALSE)</f>
        <v>1426227</v>
      </c>
      <c r="H78" s="751"/>
      <c r="I78" s="748">
        <v>166672</v>
      </c>
      <c r="J78" s="748">
        <v>3665802</v>
      </c>
      <c r="K78" s="748">
        <v>1214663</v>
      </c>
      <c r="L78" s="751">
        <v>57095</v>
      </c>
      <c r="M78" s="751"/>
      <c r="N78" s="748">
        <v>251530</v>
      </c>
      <c r="O78" s="748">
        <v>2625290</v>
      </c>
      <c r="P78" s="748">
        <v>0</v>
      </c>
      <c r="Q78" s="751">
        <v>467135</v>
      </c>
      <c r="R78" s="751"/>
      <c r="S78" s="748">
        <v>2071966</v>
      </c>
      <c r="T78" s="752">
        <v>-105449</v>
      </c>
      <c r="U78" s="752">
        <v>1966517</v>
      </c>
    </row>
    <row r="79" spans="1:21" x14ac:dyDescent="0.25">
      <c r="A79" s="749">
        <v>30900</v>
      </c>
      <c r="B79" s="747" t="s">
        <v>862</v>
      </c>
      <c r="C79" s="750">
        <v>1.6904999999999999E-3</v>
      </c>
      <c r="D79" s="750">
        <v>1.7328000000000001E-3</v>
      </c>
      <c r="E79" s="748">
        <v>15926222</v>
      </c>
      <c r="F79" s="751">
        <v>13413173</v>
      </c>
      <c r="G79" s="748">
        <f>VLOOKUP(A79,'[3]TSERS Contributions FY 2017'!$A$2:$C$290,3,FALSE)</f>
        <v>2515935</v>
      </c>
      <c r="H79" s="751"/>
      <c r="I79" s="748">
        <v>290773</v>
      </c>
      <c r="J79" s="748">
        <v>6395292</v>
      </c>
      <c r="K79" s="748">
        <v>2119079</v>
      </c>
      <c r="L79" s="751">
        <v>0</v>
      </c>
      <c r="M79" s="751"/>
      <c r="N79" s="748">
        <v>438815</v>
      </c>
      <c r="O79" s="748">
        <v>4580034</v>
      </c>
      <c r="P79" s="748">
        <v>0</v>
      </c>
      <c r="Q79" s="751">
        <v>280355</v>
      </c>
      <c r="R79" s="751"/>
      <c r="S79" s="748">
        <v>3614715</v>
      </c>
      <c r="T79" s="752">
        <v>-152583</v>
      </c>
      <c r="U79" s="752">
        <v>3462132</v>
      </c>
    </row>
    <row r="80" spans="1:21" x14ac:dyDescent="0.25">
      <c r="A80" s="749">
        <v>30905</v>
      </c>
      <c r="B80" s="747" t="s">
        <v>863</v>
      </c>
      <c r="C80" s="750">
        <v>3.3399999999999999E-4</v>
      </c>
      <c r="D80" s="750">
        <v>3.5169999999999998E-4</v>
      </c>
      <c r="E80" s="748">
        <v>3232486</v>
      </c>
      <c r="F80" s="751">
        <v>2650103</v>
      </c>
      <c r="G80" s="748">
        <f>VLOOKUP(A80,'[3]TSERS Contributions FY 2017'!$A$2:$C$290,3,FALSE)</f>
        <v>590747</v>
      </c>
      <c r="H80" s="751"/>
      <c r="I80" s="748">
        <v>57449</v>
      </c>
      <c r="J80" s="748">
        <v>1263548</v>
      </c>
      <c r="K80" s="748">
        <v>418676</v>
      </c>
      <c r="L80" s="751">
        <v>17530</v>
      </c>
      <c r="M80" s="751"/>
      <c r="N80" s="748">
        <v>86699</v>
      </c>
      <c r="O80" s="748">
        <v>904899</v>
      </c>
      <c r="P80" s="748">
        <v>0</v>
      </c>
      <c r="Q80" s="751">
        <v>58738</v>
      </c>
      <c r="R80" s="751"/>
      <c r="S80" s="748">
        <v>714176</v>
      </c>
      <c r="T80" s="752">
        <v>-25639</v>
      </c>
      <c r="U80" s="752">
        <v>688537</v>
      </c>
    </row>
    <row r="81" spans="1:21" x14ac:dyDescent="0.25">
      <c r="A81" s="749">
        <v>31000</v>
      </c>
      <c r="B81" s="747" t="s">
        <v>864</v>
      </c>
      <c r="C81" s="750">
        <v>4.8123999999999997E-3</v>
      </c>
      <c r="D81" s="750">
        <v>4.8155000000000003E-3</v>
      </c>
      <c r="E81" s="748">
        <v>44259419</v>
      </c>
      <c r="F81" s="751">
        <v>38183704</v>
      </c>
      <c r="G81" s="748">
        <f>VLOOKUP(A81,'[3]TSERS Contributions FY 2017'!$A$2:$C$290,3,FALSE)</f>
        <v>6875240</v>
      </c>
      <c r="H81" s="751"/>
      <c r="I81" s="748">
        <v>827752</v>
      </c>
      <c r="J81" s="748">
        <v>18205680</v>
      </c>
      <c r="K81" s="748">
        <v>6032449</v>
      </c>
      <c r="L81" s="751">
        <v>261273</v>
      </c>
      <c r="M81" s="751"/>
      <c r="N81" s="748">
        <v>1249188</v>
      </c>
      <c r="O81" s="748">
        <v>13038129</v>
      </c>
      <c r="P81" s="748">
        <v>0</v>
      </c>
      <c r="Q81" s="751">
        <v>157819</v>
      </c>
      <c r="R81" s="751"/>
      <c r="S81" s="748">
        <v>10290124</v>
      </c>
      <c r="T81" s="752">
        <v>194428</v>
      </c>
      <c r="U81" s="752">
        <v>10484552</v>
      </c>
    </row>
    <row r="82" spans="1:21" x14ac:dyDescent="0.25">
      <c r="A82" s="749">
        <v>31005</v>
      </c>
      <c r="B82" s="747" t="s">
        <v>865</v>
      </c>
      <c r="C82" s="750">
        <v>4.6690000000000002E-4</v>
      </c>
      <c r="D82" s="750">
        <v>4.8200000000000001E-4</v>
      </c>
      <c r="E82" s="748">
        <v>4430078</v>
      </c>
      <c r="F82" s="751">
        <v>3704591</v>
      </c>
      <c r="G82" s="748">
        <f>VLOOKUP(A82,'[3]TSERS Contributions FY 2017'!$A$2:$C$290,3,FALSE)</f>
        <v>753730</v>
      </c>
      <c r="H82" s="751"/>
      <c r="I82" s="748">
        <v>80309</v>
      </c>
      <c r="J82" s="748">
        <v>1766319</v>
      </c>
      <c r="K82" s="748">
        <v>585269</v>
      </c>
      <c r="L82" s="751">
        <v>103767</v>
      </c>
      <c r="M82" s="751"/>
      <c r="N82" s="748">
        <v>121197</v>
      </c>
      <c r="O82" s="748">
        <v>1264962</v>
      </c>
      <c r="P82" s="748">
        <v>0</v>
      </c>
      <c r="Q82" s="751">
        <v>7747</v>
      </c>
      <c r="R82" s="751"/>
      <c r="S82" s="748">
        <v>998350</v>
      </c>
      <c r="T82" s="752">
        <v>33249</v>
      </c>
      <c r="U82" s="752">
        <v>1031599</v>
      </c>
    </row>
    <row r="83" spans="1:21" x14ac:dyDescent="0.25">
      <c r="A83" s="749">
        <v>31100</v>
      </c>
      <c r="B83" s="747" t="s">
        <v>866</v>
      </c>
      <c r="C83" s="750">
        <v>9.9398000000000004E-3</v>
      </c>
      <c r="D83" s="750">
        <v>9.9386000000000006E-3</v>
      </c>
      <c r="E83" s="748">
        <v>91346001</v>
      </c>
      <c r="F83" s="751">
        <v>78866757</v>
      </c>
      <c r="G83" s="748">
        <f>VLOOKUP(A83,'[3]TSERS Contributions FY 2017'!$A$2:$C$290,3,FALSE)</f>
        <v>13774844</v>
      </c>
      <c r="H83" s="751"/>
      <c r="I83" s="748">
        <v>1709685</v>
      </c>
      <c r="J83" s="748">
        <v>37603029</v>
      </c>
      <c r="K83" s="748">
        <v>12459758</v>
      </c>
      <c r="L83" s="751">
        <v>0</v>
      </c>
      <c r="M83" s="751"/>
      <c r="N83" s="748">
        <v>2580143</v>
      </c>
      <c r="O83" s="748">
        <v>26929681</v>
      </c>
      <c r="P83" s="748">
        <v>0</v>
      </c>
      <c r="Q83" s="751">
        <v>861046</v>
      </c>
      <c r="R83" s="751"/>
      <c r="S83" s="748">
        <v>21253797</v>
      </c>
      <c r="T83" s="752">
        <v>-426225</v>
      </c>
      <c r="U83" s="752">
        <v>20827572</v>
      </c>
    </row>
    <row r="84" spans="1:21" x14ac:dyDescent="0.25">
      <c r="A84" s="749">
        <v>31101</v>
      </c>
      <c r="B84" s="747" t="s">
        <v>867</v>
      </c>
      <c r="C84" s="750">
        <v>6.7999999999999999E-5</v>
      </c>
      <c r="D84" s="750">
        <v>6.7299999999999996E-5</v>
      </c>
      <c r="E84" s="748">
        <v>618557</v>
      </c>
      <c r="F84" s="751">
        <v>539542</v>
      </c>
      <c r="G84" s="748">
        <f>VLOOKUP(A84,'[3]TSERS Contributions FY 2017'!$A$2:$C$290,3,FALSE)</f>
        <v>84528</v>
      </c>
      <c r="H84" s="751"/>
      <c r="I84" s="748">
        <v>11696</v>
      </c>
      <c r="J84" s="748">
        <v>257249</v>
      </c>
      <c r="K84" s="748">
        <v>85239</v>
      </c>
      <c r="L84" s="751">
        <v>0</v>
      </c>
      <c r="M84" s="751"/>
      <c r="N84" s="748">
        <v>17651</v>
      </c>
      <c r="O84" s="748">
        <v>184231</v>
      </c>
      <c r="P84" s="748">
        <v>0</v>
      </c>
      <c r="Q84" s="751">
        <v>41000</v>
      </c>
      <c r="R84" s="751"/>
      <c r="S84" s="748">
        <v>145401</v>
      </c>
      <c r="T84" s="752">
        <v>-21979</v>
      </c>
      <c r="U84" s="752">
        <v>123422</v>
      </c>
    </row>
    <row r="85" spans="1:21" x14ac:dyDescent="0.25">
      <c r="A85" s="749">
        <v>31102</v>
      </c>
      <c r="B85" s="747" t="s">
        <v>868</v>
      </c>
      <c r="C85" s="750">
        <v>1.628E-4</v>
      </c>
      <c r="D85" s="750">
        <v>1.5300000000000001E-4</v>
      </c>
      <c r="E85" s="748">
        <v>1406228</v>
      </c>
      <c r="F85" s="751">
        <v>1291727</v>
      </c>
      <c r="G85" s="748">
        <f>VLOOKUP(A85,'[3]TSERS Contributions FY 2017'!$A$2:$C$290,3,FALSE)</f>
        <v>199023</v>
      </c>
      <c r="H85" s="751"/>
      <c r="I85" s="748">
        <v>28002</v>
      </c>
      <c r="J85" s="748">
        <v>615885</v>
      </c>
      <c r="K85" s="748">
        <v>204073</v>
      </c>
      <c r="L85" s="751">
        <v>10661</v>
      </c>
      <c r="M85" s="751"/>
      <c r="N85" s="748">
        <v>42259</v>
      </c>
      <c r="O85" s="748">
        <v>441070</v>
      </c>
      <c r="P85" s="748">
        <v>0</v>
      </c>
      <c r="Q85" s="751">
        <v>63138</v>
      </c>
      <c r="R85" s="751"/>
      <c r="S85" s="748">
        <v>348107</v>
      </c>
      <c r="T85" s="752">
        <v>-47984</v>
      </c>
      <c r="U85" s="752">
        <v>300123</v>
      </c>
    </row>
    <row r="86" spans="1:21" x14ac:dyDescent="0.25">
      <c r="A86" s="749">
        <v>31105</v>
      </c>
      <c r="B86" s="747" t="s">
        <v>869</v>
      </c>
      <c r="C86" s="750">
        <v>1.591E-3</v>
      </c>
      <c r="D86" s="750">
        <v>1.5401E-3</v>
      </c>
      <c r="E86" s="748">
        <v>14155110</v>
      </c>
      <c r="F86" s="751">
        <v>12623696</v>
      </c>
      <c r="G86" s="748">
        <f>VLOOKUP(A86,'[3]TSERS Contributions FY 2017'!$A$2:$C$290,3,FALSE)</f>
        <v>2355841</v>
      </c>
      <c r="H86" s="751"/>
      <c r="I86" s="748">
        <v>273658</v>
      </c>
      <c r="J86" s="748">
        <v>6018876</v>
      </c>
      <c r="K86" s="748">
        <v>1994354</v>
      </c>
      <c r="L86" s="751">
        <v>420015</v>
      </c>
      <c r="M86" s="751"/>
      <c r="N86" s="748">
        <v>412987</v>
      </c>
      <c r="O86" s="748">
        <v>4310461</v>
      </c>
      <c r="P86" s="748">
        <v>0</v>
      </c>
      <c r="Q86" s="751">
        <v>173022</v>
      </c>
      <c r="R86" s="751"/>
      <c r="S86" s="748">
        <v>3401959</v>
      </c>
      <c r="T86" s="752">
        <v>134768</v>
      </c>
      <c r="U86" s="752">
        <v>3536727</v>
      </c>
    </row>
    <row r="87" spans="1:21" x14ac:dyDescent="0.25">
      <c r="A87" s="749">
        <v>31110</v>
      </c>
      <c r="B87" s="747" t="s">
        <v>870</v>
      </c>
      <c r="C87" s="750">
        <v>2.2461E-3</v>
      </c>
      <c r="D87" s="750">
        <v>2.3018000000000001E-3</v>
      </c>
      <c r="E87" s="748">
        <v>21155920</v>
      </c>
      <c r="F87" s="751">
        <v>17821548</v>
      </c>
      <c r="G87" s="748">
        <f>VLOOKUP(A87,'[3]TSERS Contributions FY 2017'!$A$2:$C$290,3,FALSE)</f>
        <v>3019048</v>
      </c>
      <c r="H87" s="751"/>
      <c r="I87" s="748">
        <v>386338</v>
      </c>
      <c r="J87" s="748">
        <v>8497169</v>
      </c>
      <c r="K87" s="748">
        <v>2815536</v>
      </c>
      <c r="L87" s="751">
        <v>119770</v>
      </c>
      <c r="M87" s="751"/>
      <c r="N87" s="748">
        <v>583036</v>
      </c>
      <c r="O87" s="748">
        <v>6085309</v>
      </c>
      <c r="P87" s="748">
        <v>0</v>
      </c>
      <c r="Q87" s="751">
        <v>620469</v>
      </c>
      <c r="R87" s="751"/>
      <c r="S87" s="748">
        <v>4802728</v>
      </c>
      <c r="T87" s="752">
        <v>-143096</v>
      </c>
      <c r="U87" s="752">
        <v>4659632</v>
      </c>
    </row>
    <row r="88" spans="1:21" x14ac:dyDescent="0.25">
      <c r="A88" s="749">
        <v>31200</v>
      </c>
      <c r="B88" s="747" t="s">
        <v>871</v>
      </c>
      <c r="C88" s="750">
        <v>4.4881000000000001E-3</v>
      </c>
      <c r="D88" s="750">
        <v>4.7600000000000003E-3</v>
      </c>
      <c r="E88" s="748">
        <v>43749317</v>
      </c>
      <c r="F88" s="751">
        <v>35610565</v>
      </c>
      <c r="G88" s="748">
        <f>VLOOKUP(A88,'[3]TSERS Contributions FY 2017'!$A$2:$C$290,3,FALSE)</f>
        <v>6275235</v>
      </c>
      <c r="H88" s="751"/>
      <c r="I88" s="748">
        <v>771971</v>
      </c>
      <c r="J88" s="748">
        <v>16978828</v>
      </c>
      <c r="K88" s="748">
        <v>5625932</v>
      </c>
      <c r="L88" s="751">
        <v>0</v>
      </c>
      <c r="M88" s="751"/>
      <c r="N88" s="748">
        <v>1165008</v>
      </c>
      <c r="O88" s="748">
        <v>12159511</v>
      </c>
      <c r="P88" s="748">
        <v>0</v>
      </c>
      <c r="Q88" s="751">
        <v>2095595</v>
      </c>
      <c r="R88" s="751"/>
      <c r="S88" s="748">
        <v>9596689</v>
      </c>
      <c r="T88" s="752">
        <v>-965992</v>
      </c>
      <c r="U88" s="752">
        <v>8630697</v>
      </c>
    </row>
    <row r="89" spans="1:21" x14ac:dyDescent="0.25">
      <c r="A89" s="749">
        <v>31205</v>
      </c>
      <c r="B89" s="747" t="s">
        <v>872</v>
      </c>
      <c r="C89" s="750">
        <v>5.4020000000000001E-4</v>
      </c>
      <c r="D89" s="750">
        <v>5.8929999999999996E-4</v>
      </c>
      <c r="E89" s="748">
        <v>5416276</v>
      </c>
      <c r="F89" s="751">
        <v>4286185</v>
      </c>
      <c r="G89" s="748">
        <f>VLOOKUP(A89,'[3]TSERS Contributions FY 2017'!$A$2:$C$290,3,FALSE)</f>
        <v>847793</v>
      </c>
      <c r="H89" s="751"/>
      <c r="I89" s="748">
        <v>92917</v>
      </c>
      <c r="J89" s="748">
        <v>2043618</v>
      </c>
      <c r="K89" s="748">
        <v>677153</v>
      </c>
      <c r="L89" s="751">
        <v>0</v>
      </c>
      <c r="M89" s="751"/>
      <c r="N89" s="748">
        <v>140223</v>
      </c>
      <c r="O89" s="748">
        <v>1463552</v>
      </c>
      <c r="P89" s="748">
        <v>0</v>
      </c>
      <c r="Q89" s="751">
        <v>314009</v>
      </c>
      <c r="R89" s="751"/>
      <c r="S89" s="748">
        <v>1155084</v>
      </c>
      <c r="T89" s="752">
        <v>-170960</v>
      </c>
      <c r="U89" s="752">
        <v>984123</v>
      </c>
    </row>
    <row r="90" spans="1:21" x14ac:dyDescent="0.25">
      <c r="A90" s="749">
        <v>31300</v>
      </c>
      <c r="B90" s="747" t="s">
        <v>873</v>
      </c>
      <c r="C90" s="750">
        <v>1.20313E-2</v>
      </c>
      <c r="D90" s="750">
        <v>1.1785500000000001E-2</v>
      </c>
      <c r="E90" s="748">
        <v>108320919</v>
      </c>
      <c r="F90" s="751">
        <v>95461640</v>
      </c>
      <c r="G90" s="748">
        <f>VLOOKUP(A90,'[3]TSERS Contributions FY 2017'!$A$2:$C$290,3,FALSE)</f>
        <v>15725399</v>
      </c>
      <c r="H90" s="751"/>
      <c r="I90" s="748">
        <v>2069432</v>
      </c>
      <c r="J90" s="748">
        <v>45515334</v>
      </c>
      <c r="K90" s="748">
        <v>15081499</v>
      </c>
      <c r="L90" s="751">
        <v>1348953</v>
      </c>
      <c r="M90" s="751"/>
      <c r="N90" s="748">
        <v>3123049</v>
      </c>
      <c r="O90" s="748">
        <v>32596136</v>
      </c>
      <c r="P90" s="748">
        <v>0</v>
      </c>
      <c r="Q90" s="751">
        <v>610818</v>
      </c>
      <c r="R90" s="751"/>
      <c r="S90" s="748">
        <v>25725951</v>
      </c>
      <c r="T90" s="752">
        <v>147196</v>
      </c>
      <c r="U90" s="752">
        <v>25873148</v>
      </c>
    </row>
    <row r="91" spans="1:21" x14ac:dyDescent="0.25">
      <c r="A91" s="749">
        <v>31301</v>
      </c>
      <c r="B91" s="747" t="s">
        <v>874</v>
      </c>
      <c r="C91" s="750">
        <v>2.968E-4</v>
      </c>
      <c r="D91" s="750">
        <v>2.3729999999999999E-4</v>
      </c>
      <c r="E91" s="748">
        <v>2181032</v>
      </c>
      <c r="F91" s="751">
        <v>2354942</v>
      </c>
      <c r="G91" s="748">
        <f>VLOOKUP(A91,'[3]TSERS Contributions FY 2017'!$A$2:$C$290,3,FALSE)</f>
        <v>343564</v>
      </c>
      <c r="H91" s="751"/>
      <c r="I91" s="748">
        <v>51051</v>
      </c>
      <c r="J91" s="748">
        <v>1122817</v>
      </c>
      <c r="K91" s="748">
        <v>372045</v>
      </c>
      <c r="L91" s="751">
        <v>271397</v>
      </c>
      <c r="M91" s="751"/>
      <c r="N91" s="748">
        <v>77042</v>
      </c>
      <c r="O91" s="748">
        <v>804114</v>
      </c>
      <c r="P91" s="748">
        <v>0</v>
      </c>
      <c r="Q91" s="751">
        <v>0</v>
      </c>
      <c r="R91" s="751"/>
      <c r="S91" s="748">
        <v>634633</v>
      </c>
      <c r="T91" s="752">
        <v>109835</v>
      </c>
      <c r="U91" s="752">
        <v>744468</v>
      </c>
    </row>
    <row r="92" spans="1:21" x14ac:dyDescent="0.25">
      <c r="A92" s="749">
        <v>31320</v>
      </c>
      <c r="B92" s="747" t="s">
        <v>875</v>
      </c>
      <c r="C92" s="750">
        <v>2.1784999999999999E-3</v>
      </c>
      <c r="D92" s="750">
        <v>2.2084000000000001E-3</v>
      </c>
      <c r="E92" s="748">
        <v>20297477</v>
      </c>
      <c r="F92" s="751">
        <v>17285180</v>
      </c>
      <c r="G92" s="748">
        <f>VLOOKUP(A92,'[3]TSERS Contributions FY 2017'!$A$2:$C$290,3,FALSE)</f>
        <v>2839854</v>
      </c>
      <c r="H92" s="751"/>
      <c r="I92" s="748">
        <v>374711</v>
      </c>
      <c r="J92" s="748">
        <v>8241433</v>
      </c>
      <c r="K92" s="748">
        <v>2730798</v>
      </c>
      <c r="L92" s="751">
        <v>0</v>
      </c>
      <c r="M92" s="751"/>
      <c r="N92" s="748">
        <v>565488</v>
      </c>
      <c r="O92" s="748">
        <v>5902162</v>
      </c>
      <c r="P92" s="748">
        <v>0</v>
      </c>
      <c r="Q92" s="751">
        <v>634608</v>
      </c>
      <c r="R92" s="751"/>
      <c r="S92" s="748">
        <v>4658182</v>
      </c>
      <c r="T92" s="752">
        <v>-340645</v>
      </c>
      <c r="U92" s="752">
        <v>4317537</v>
      </c>
    </row>
    <row r="93" spans="1:21" x14ac:dyDescent="0.25">
      <c r="A93" s="749">
        <v>31400</v>
      </c>
      <c r="B93" s="747" t="s">
        <v>876</v>
      </c>
      <c r="C93" s="750">
        <v>4.6236000000000003E-3</v>
      </c>
      <c r="D93" s="750">
        <v>4.731E-3</v>
      </c>
      <c r="E93" s="748">
        <v>43482777</v>
      </c>
      <c r="F93" s="751">
        <v>36685681</v>
      </c>
      <c r="G93" s="748">
        <f>VLOOKUP(A93,'[3]TSERS Contributions FY 2017'!$A$2:$C$290,3,FALSE)</f>
        <v>6539805</v>
      </c>
      <c r="H93" s="751"/>
      <c r="I93" s="748">
        <v>795278</v>
      </c>
      <c r="J93" s="748">
        <v>17491435</v>
      </c>
      <c r="K93" s="748">
        <v>5795784</v>
      </c>
      <c r="L93" s="751">
        <v>0</v>
      </c>
      <c r="M93" s="751"/>
      <c r="N93" s="748">
        <v>1200180</v>
      </c>
      <c r="O93" s="748">
        <v>12526618</v>
      </c>
      <c r="P93" s="748">
        <v>0</v>
      </c>
      <c r="Q93" s="751">
        <v>706637</v>
      </c>
      <c r="R93" s="751"/>
      <c r="S93" s="748">
        <v>9886422</v>
      </c>
      <c r="T93" s="752">
        <v>-350809</v>
      </c>
      <c r="U93" s="752">
        <v>9535613</v>
      </c>
    </row>
    <row r="94" spans="1:21" x14ac:dyDescent="0.25">
      <c r="A94" s="749">
        <v>31405</v>
      </c>
      <c r="B94" s="747" t="s">
        <v>877</v>
      </c>
      <c r="C94" s="750">
        <v>9.1299999999999997E-4</v>
      </c>
      <c r="D94" s="750">
        <v>9.4410000000000002E-4</v>
      </c>
      <c r="E94" s="748">
        <v>8677254</v>
      </c>
      <c r="F94" s="751">
        <v>7244145</v>
      </c>
      <c r="G94" s="748">
        <f>VLOOKUP(A94,'[3]TSERS Contributions FY 2017'!$A$2:$C$290,3,FALSE)</f>
        <v>1492129</v>
      </c>
      <c r="H94" s="751"/>
      <c r="I94" s="748">
        <v>157040</v>
      </c>
      <c r="J94" s="748">
        <v>3453949</v>
      </c>
      <c r="K94" s="748">
        <v>1144466</v>
      </c>
      <c r="L94" s="751">
        <v>19558</v>
      </c>
      <c r="M94" s="751"/>
      <c r="N94" s="748">
        <v>236994</v>
      </c>
      <c r="O94" s="748">
        <v>2473571</v>
      </c>
      <c r="P94" s="748">
        <v>0</v>
      </c>
      <c r="Q94" s="751">
        <v>131651</v>
      </c>
      <c r="R94" s="751"/>
      <c r="S94" s="748">
        <v>1952224</v>
      </c>
      <c r="T94" s="752">
        <v>-89207</v>
      </c>
      <c r="U94" s="752">
        <v>1863017</v>
      </c>
    </row>
    <row r="95" spans="1:21" x14ac:dyDescent="0.25">
      <c r="A95" s="749">
        <v>31500</v>
      </c>
      <c r="B95" s="747" t="s">
        <v>878</v>
      </c>
      <c r="C95" s="750">
        <v>7.1060000000000003E-4</v>
      </c>
      <c r="D95" s="750">
        <v>7.2920000000000005E-4</v>
      </c>
      <c r="E95" s="748">
        <v>6702101</v>
      </c>
      <c r="F95" s="751">
        <v>5638214</v>
      </c>
      <c r="G95" s="748">
        <f>VLOOKUP(A95,'[3]TSERS Contributions FY 2017'!$A$2:$C$290,3,FALSE)</f>
        <v>1042824</v>
      </c>
      <c r="H95" s="751"/>
      <c r="I95" s="748">
        <v>122226</v>
      </c>
      <c r="J95" s="748">
        <v>2688255</v>
      </c>
      <c r="K95" s="748">
        <v>890753</v>
      </c>
      <c r="L95" s="751">
        <v>0</v>
      </c>
      <c r="M95" s="751"/>
      <c r="N95" s="748">
        <v>184455</v>
      </c>
      <c r="O95" s="748">
        <v>1925213</v>
      </c>
      <c r="P95" s="748">
        <v>0</v>
      </c>
      <c r="Q95" s="751">
        <v>131649</v>
      </c>
      <c r="R95" s="751"/>
      <c r="S95" s="748">
        <v>1519442</v>
      </c>
      <c r="T95" s="752">
        <v>-65091</v>
      </c>
      <c r="U95" s="752">
        <v>1454350</v>
      </c>
    </row>
    <row r="96" spans="1:21" x14ac:dyDescent="0.25">
      <c r="A96" s="749">
        <v>31600</v>
      </c>
      <c r="B96" s="747" t="s">
        <v>879</v>
      </c>
      <c r="C96" s="750">
        <v>3.2342999999999998E-3</v>
      </c>
      <c r="D96" s="750">
        <v>3.2935999999999998E-3</v>
      </c>
      <c r="E96" s="748">
        <v>30271586</v>
      </c>
      <c r="F96" s="751">
        <v>25662363</v>
      </c>
      <c r="G96" s="748">
        <f>VLOOKUP(A96,'[3]TSERS Contributions FY 2017'!$A$2:$C$290,3,FALSE)</f>
        <v>4619193</v>
      </c>
      <c r="H96" s="751"/>
      <c r="I96" s="748">
        <v>556313</v>
      </c>
      <c r="J96" s="748">
        <v>12235606</v>
      </c>
      <c r="K96" s="748">
        <v>4054266</v>
      </c>
      <c r="L96" s="751">
        <v>213925</v>
      </c>
      <c r="M96" s="751"/>
      <c r="N96" s="748">
        <v>839550</v>
      </c>
      <c r="O96" s="748">
        <v>8762618</v>
      </c>
      <c r="P96" s="748">
        <v>0</v>
      </c>
      <c r="Q96" s="751">
        <v>240249</v>
      </c>
      <c r="R96" s="751"/>
      <c r="S96" s="748">
        <v>6915748</v>
      </c>
      <c r="T96" s="752">
        <v>97811</v>
      </c>
      <c r="U96" s="752">
        <v>7013559</v>
      </c>
    </row>
    <row r="97" spans="1:21" x14ac:dyDescent="0.25">
      <c r="A97" s="749">
        <v>31601</v>
      </c>
      <c r="B97" s="747" t="s">
        <v>880</v>
      </c>
      <c r="C97" s="750">
        <v>0</v>
      </c>
      <c r="D97" s="750">
        <v>0</v>
      </c>
      <c r="E97" s="748">
        <v>0</v>
      </c>
      <c r="F97" s="751">
        <v>0</v>
      </c>
      <c r="G97" s="748">
        <v>0</v>
      </c>
      <c r="H97" s="751"/>
      <c r="I97" s="748">
        <v>0</v>
      </c>
      <c r="J97" s="748">
        <v>0</v>
      </c>
      <c r="K97" s="748">
        <v>0</v>
      </c>
      <c r="L97" s="751">
        <v>0</v>
      </c>
      <c r="M97" s="751"/>
      <c r="N97" s="748">
        <v>0</v>
      </c>
      <c r="O97" s="748">
        <v>0</v>
      </c>
      <c r="P97" s="748">
        <v>0</v>
      </c>
      <c r="Q97" s="751">
        <v>18725</v>
      </c>
      <c r="R97" s="751"/>
      <c r="S97" s="748">
        <v>0</v>
      </c>
      <c r="T97" s="752">
        <v>-12747</v>
      </c>
      <c r="U97" s="752">
        <v>-12747</v>
      </c>
    </row>
    <row r="98" spans="1:21" x14ac:dyDescent="0.25">
      <c r="A98" s="749">
        <v>31605</v>
      </c>
      <c r="B98" s="747" t="s">
        <v>881</v>
      </c>
      <c r="C98" s="750">
        <v>4.9089999999999995E-4</v>
      </c>
      <c r="D98" s="750">
        <v>4.7249999999999999E-4</v>
      </c>
      <c r="E98" s="748">
        <v>4342763</v>
      </c>
      <c r="F98" s="751">
        <v>3895017</v>
      </c>
      <c r="G98" s="748">
        <f>VLOOKUP(A98,'[3]TSERS Contributions FY 2017'!$A$2:$C$290,3,FALSE)</f>
        <v>757653</v>
      </c>
      <c r="H98" s="751"/>
      <c r="I98" s="748">
        <v>84437</v>
      </c>
      <c r="J98" s="748">
        <v>1857112</v>
      </c>
      <c r="K98" s="748">
        <v>615354</v>
      </c>
      <c r="L98" s="751">
        <v>163745</v>
      </c>
      <c r="M98" s="751"/>
      <c r="N98" s="748">
        <v>127426</v>
      </c>
      <c r="O98" s="748">
        <v>1329985</v>
      </c>
      <c r="P98" s="748">
        <v>0</v>
      </c>
      <c r="Q98" s="751">
        <v>3979</v>
      </c>
      <c r="R98" s="751"/>
      <c r="S98" s="748">
        <v>1049668</v>
      </c>
      <c r="T98" s="752">
        <v>56499</v>
      </c>
      <c r="U98" s="752">
        <v>1106167</v>
      </c>
    </row>
    <row r="99" spans="1:21" x14ac:dyDescent="0.25">
      <c r="A99" s="749">
        <v>31700</v>
      </c>
      <c r="B99" s="747" t="s">
        <v>882</v>
      </c>
      <c r="C99" s="750">
        <v>9.7659999999999999E-4</v>
      </c>
      <c r="D99" s="750">
        <v>9.8649999999999996E-4</v>
      </c>
      <c r="E99" s="748">
        <v>9066954</v>
      </c>
      <c r="F99" s="751">
        <v>7748775</v>
      </c>
      <c r="G99" s="748">
        <f>VLOOKUP(A99,'[3]TSERS Contributions FY 2017'!$A$2:$C$290,3,FALSE)</f>
        <v>1473220</v>
      </c>
      <c r="H99" s="751"/>
      <c r="I99" s="748">
        <v>167979</v>
      </c>
      <c r="J99" s="748">
        <v>3694553</v>
      </c>
      <c r="K99" s="748">
        <v>1224190</v>
      </c>
      <c r="L99" s="751">
        <v>148347</v>
      </c>
      <c r="M99" s="751"/>
      <c r="N99" s="748">
        <v>253503</v>
      </c>
      <c r="O99" s="748">
        <v>2645881</v>
      </c>
      <c r="P99" s="748">
        <v>0</v>
      </c>
      <c r="Q99" s="751">
        <v>18989</v>
      </c>
      <c r="R99" s="751"/>
      <c r="S99" s="748">
        <v>2088217</v>
      </c>
      <c r="T99" s="752">
        <v>54778</v>
      </c>
      <c r="U99" s="752">
        <v>2142995</v>
      </c>
    </row>
    <row r="100" spans="1:21" x14ac:dyDescent="0.25">
      <c r="A100" s="749">
        <v>31800</v>
      </c>
      <c r="B100" s="747" t="s">
        <v>883</v>
      </c>
      <c r="C100" s="750">
        <v>5.8989000000000003E-3</v>
      </c>
      <c r="D100" s="750">
        <v>6.1303E-3</v>
      </c>
      <c r="E100" s="748">
        <v>56343790</v>
      </c>
      <c r="F100" s="751">
        <v>46804474</v>
      </c>
      <c r="G100" s="748">
        <f>VLOOKUP(A100,'[3]TSERS Contributions FY 2017'!$A$2:$C$290,3,FALSE)</f>
        <v>8354516</v>
      </c>
      <c r="H100" s="751"/>
      <c r="I100" s="748">
        <v>1014634</v>
      </c>
      <c r="J100" s="748">
        <v>22315993</v>
      </c>
      <c r="K100" s="748">
        <v>7394401</v>
      </c>
      <c r="L100" s="751">
        <v>25505</v>
      </c>
      <c r="M100" s="751"/>
      <c r="N100" s="748">
        <v>1531219</v>
      </c>
      <c r="O100" s="748">
        <v>15981760</v>
      </c>
      <c r="P100" s="748">
        <v>0</v>
      </c>
      <c r="Q100" s="751">
        <v>1407898</v>
      </c>
      <c r="R100" s="751"/>
      <c r="S100" s="748">
        <v>12613335</v>
      </c>
      <c r="T100" s="752">
        <v>-514247</v>
      </c>
      <c r="U100" s="752">
        <v>12099088</v>
      </c>
    </row>
    <row r="101" spans="1:21" x14ac:dyDescent="0.25">
      <c r="A101" s="749">
        <v>31805</v>
      </c>
      <c r="B101" s="747" t="s">
        <v>884</v>
      </c>
      <c r="C101" s="750">
        <v>1.1584E-3</v>
      </c>
      <c r="D101" s="750">
        <v>1.1666999999999999E-3</v>
      </c>
      <c r="E101" s="748">
        <v>10723178</v>
      </c>
      <c r="F101" s="751">
        <v>9191256</v>
      </c>
      <c r="G101" s="748">
        <f>VLOOKUP(A101,'[3]TSERS Contributions FY 2017'!$A$2:$C$290,3,FALSE)</f>
        <v>1783169</v>
      </c>
      <c r="H101" s="751"/>
      <c r="I101" s="748">
        <v>199249</v>
      </c>
      <c r="J101" s="748">
        <v>4382316</v>
      </c>
      <c r="K101" s="748">
        <v>1452080</v>
      </c>
      <c r="L101" s="751">
        <v>143626</v>
      </c>
      <c r="M101" s="751"/>
      <c r="N101" s="748">
        <v>300694</v>
      </c>
      <c r="O101" s="748">
        <v>3138428</v>
      </c>
      <c r="P101" s="748">
        <v>0</v>
      </c>
      <c r="Q101" s="751">
        <v>80066</v>
      </c>
      <c r="R101" s="751"/>
      <c r="S101" s="748">
        <v>2476951</v>
      </c>
      <c r="T101" s="752">
        <v>12978</v>
      </c>
      <c r="U101" s="752">
        <v>2489929</v>
      </c>
    </row>
    <row r="102" spans="1:21" x14ac:dyDescent="0.25">
      <c r="A102" s="749">
        <v>31810</v>
      </c>
      <c r="B102" s="747" t="s">
        <v>885</v>
      </c>
      <c r="C102" s="750">
        <v>1.5291E-3</v>
      </c>
      <c r="D102" s="750">
        <v>1.5257999999999999E-3</v>
      </c>
      <c r="E102" s="748">
        <v>14023678</v>
      </c>
      <c r="F102" s="751">
        <v>12132554</v>
      </c>
      <c r="G102" s="748">
        <f>VLOOKUP(A102,'[3]TSERS Contributions FY 2017'!$A$2:$C$290,3,FALSE)</f>
        <v>2119573</v>
      </c>
      <c r="H102" s="751"/>
      <c r="I102" s="748">
        <v>263011</v>
      </c>
      <c r="J102" s="748">
        <v>5784703</v>
      </c>
      <c r="K102" s="748">
        <v>1916760</v>
      </c>
      <c r="L102" s="751">
        <v>73499</v>
      </c>
      <c r="M102" s="751"/>
      <c r="N102" s="748">
        <v>396919</v>
      </c>
      <c r="O102" s="748">
        <v>4142757</v>
      </c>
      <c r="P102" s="748">
        <v>0</v>
      </c>
      <c r="Q102" s="751">
        <v>160432</v>
      </c>
      <c r="R102" s="751"/>
      <c r="S102" s="748">
        <v>3269601</v>
      </c>
      <c r="T102" s="752">
        <v>-118794</v>
      </c>
      <c r="U102" s="752">
        <v>3150807</v>
      </c>
    </row>
    <row r="103" spans="1:21" x14ac:dyDescent="0.25">
      <c r="A103" s="749">
        <v>31820</v>
      </c>
      <c r="B103" s="747" t="s">
        <v>886</v>
      </c>
      <c r="C103" s="750">
        <v>1.2939E-3</v>
      </c>
      <c r="D103" s="750">
        <v>1.3676999999999999E-3</v>
      </c>
      <c r="E103" s="748">
        <v>12570576</v>
      </c>
      <c r="F103" s="751">
        <v>10266373</v>
      </c>
      <c r="G103" s="748">
        <f>VLOOKUP(A103,'[3]TSERS Contributions FY 2017'!$A$2:$C$290,3,FALSE)</f>
        <v>1741873</v>
      </c>
      <c r="H103" s="751"/>
      <c r="I103" s="748">
        <v>222556</v>
      </c>
      <c r="J103" s="748">
        <v>4894923</v>
      </c>
      <c r="K103" s="748">
        <v>1621932</v>
      </c>
      <c r="L103" s="751">
        <v>128341</v>
      </c>
      <c r="M103" s="751"/>
      <c r="N103" s="748">
        <v>335867</v>
      </c>
      <c r="O103" s="748">
        <v>3505535</v>
      </c>
      <c r="P103" s="748">
        <v>0</v>
      </c>
      <c r="Q103" s="751">
        <v>373038</v>
      </c>
      <c r="R103" s="751"/>
      <c r="S103" s="748">
        <v>2766684</v>
      </c>
      <c r="T103" s="752">
        <v>-74569</v>
      </c>
      <c r="U103" s="752">
        <v>2692115</v>
      </c>
    </row>
    <row r="104" spans="1:21" x14ac:dyDescent="0.25">
      <c r="A104" s="749">
        <v>31900</v>
      </c>
      <c r="B104" s="747" t="s">
        <v>887</v>
      </c>
      <c r="C104" s="750">
        <v>3.6668E-3</v>
      </c>
      <c r="D104" s="750">
        <v>3.5163999999999998E-3</v>
      </c>
      <c r="E104" s="748">
        <v>32319348</v>
      </c>
      <c r="F104" s="751">
        <v>29094008</v>
      </c>
      <c r="G104" s="748">
        <f>VLOOKUP(A104,'[3]TSERS Contributions FY 2017'!$A$2:$C$290,3,FALSE)</f>
        <v>4970830</v>
      </c>
      <c r="H104" s="751"/>
      <c r="I104" s="748">
        <v>630704</v>
      </c>
      <c r="J104" s="748">
        <v>13871787</v>
      </c>
      <c r="K104" s="748">
        <v>4596414</v>
      </c>
      <c r="L104" s="751">
        <v>471133</v>
      </c>
      <c r="M104" s="751"/>
      <c r="N104" s="748">
        <v>951817</v>
      </c>
      <c r="O104" s="748">
        <v>9934381</v>
      </c>
      <c r="P104" s="748">
        <v>0</v>
      </c>
      <c r="Q104" s="751">
        <v>245412</v>
      </c>
      <c r="R104" s="751"/>
      <c r="S104" s="748">
        <v>7840542</v>
      </c>
      <c r="T104" s="752">
        <v>75366</v>
      </c>
      <c r="U104" s="752">
        <v>7915908</v>
      </c>
    </row>
    <row r="105" spans="1:21" x14ac:dyDescent="0.25">
      <c r="A105" s="749">
        <v>32000</v>
      </c>
      <c r="B105" s="747" t="s">
        <v>888</v>
      </c>
      <c r="C105" s="750">
        <v>1.4777E-3</v>
      </c>
      <c r="D105" s="750">
        <v>1.4400999999999999E-3</v>
      </c>
      <c r="E105" s="748">
        <v>13236007</v>
      </c>
      <c r="F105" s="751">
        <v>11724723</v>
      </c>
      <c r="G105" s="748">
        <f>VLOOKUP(A105,'[3]TSERS Contributions FY 2017'!$A$2:$C$290,3,FALSE)</f>
        <v>2043254</v>
      </c>
      <c r="H105" s="751"/>
      <c r="I105" s="748">
        <v>254170</v>
      </c>
      <c r="J105" s="748">
        <v>5590253</v>
      </c>
      <c r="K105" s="748">
        <v>1852329</v>
      </c>
      <c r="L105" s="751">
        <v>275345</v>
      </c>
      <c r="M105" s="751"/>
      <c r="N105" s="748">
        <v>383577</v>
      </c>
      <c r="O105" s="748">
        <v>4003500</v>
      </c>
      <c r="P105" s="748">
        <v>0</v>
      </c>
      <c r="Q105" s="751">
        <v>15453</v>
      </c>
      <c r="R105" s="751"/>
      <c r="S105" s="748">
        <v>3159695</v>
      </c>
      <c r="T105" s="752">
        <v>93726</v>
      </c>
      <c r="U105" s="752">
        <v>3253421</v>
      </c>
    </row>
    <row r="106" spans="1:21" x14ac:dyDescent="0.25">
      <c r="A106" s="749">
        <v>32005</v>
      </c>
      <c r="B106" s="747" t="s">
        <v>889</v>
      </c>
      <c r="C106" s="750">
        <v>3.3320000000000002E-4</v>
      </c>
      <c r="D106" s="750">
        <v>3.2870000000000002E-4</v>
      </c>
      <c r="E106" s="748">
        <v>3021093</v>
      </c>
      <c r="F106" s="751">
        <v>2643756</v>
      </c>
      <c r="G106" s="748">
        <f>VLOOKUP(A106,'[3]TSERS Contributions FY 2017'!$A$2:$C$290,3,FALSE)</f>
        <v>509660</v>
      </c>
      <c r="H106" s="751"/>
      <c r="I106" s="748">
        <v>57312</v>
      </c>
      <c r="J106" s="748">
        <v>1260521</v>
      </c>
      <c r="K106" s="748">
        <v>417674</v>
      </c>
      <c r="L106" s="751">
        <v>104205</v>
      </c>
      <c r="M106" s="751"/>
      <c r="N106" s="748">
        <v>86491</v>
      </c>
      <c r="O106" s="748">
        <v>902731</v>
      </c>
      <c r="P106" s="748">
        <v>0</v>
      </c>
      <c r="Q106" s="751">
        <v>17730</v>
      </c>
      <c r="R106" s="751"/>
      <c r="S106" s="748">
        <v>712466</v>
      </c>
      <c r="T106" s="752">
        <v>58851</v>
      </c>
      <c r="U106" s="752">
        <v>771317</v>
      </c>
    </row>
    <row r="107" spans="1:21" x14ac:dyDescent="0.25">
      <c r="A107" s="749">
        <v>32100</v>
      </c>
      <c r="B107" s="747" t="s">
        <v>890</v>
      </c>
      <c r="C107" s="750">
        <v>8.3509999999999997E-4</v>
      </c>
      <c r="D107" s="750">
        <v>8.8730000000000005E-4</v>
      </c>
      <c r="E107" s="748">
        <v>8155204</v>
      </c>
      <c r="F107" s="751">
        <v>6626052</v>
      </c>
      <c r="G107" s="748">
        <f>VLOOKUP(A107,'[3]TSERS Contributions FY 2017'!$A$2:$C$290,3,FALSE)</f>
        <v>1244080</v>
      </c>
      <c r="H107" s="751"/>
      <c r="I107" s="748">
        <v>143641</v>
      </c>
      <c r="J107" s="748">
        <v>3159248</v>
      </c>
      <c r="K107" s="748">
        <v>1046816</v>
      </c>
      <c r="L107" s="751">
        <v>0</v>
      </c>
      <c r="M107" s="751"/>
      <c r="N107" s="748">
        <v>216773</v>
      </c>
      <c r="O107" s="748">
        <v>2262518</v>
      </c>
      <c r="P107" s="748">
        <v>0</v>
      </c>
      <c r="Q107" s="751">
        <v>334012</v>
      </c>
      <c r="R107" s="751"/>
      <c r="S107" s="748">
        <v>1785654</v>
      </c>
      <c r="T107" s="752">
        <v>-147075</v>
      </c>
      <c r="U107" s="752">
        <v>1638579</v>
      </c>
    </row>
    <row r="108" spans="1:21" x14ac:dyDescent="0.25">
      <c r="A108" s="749">
        <v>32200</v>
      </c>
      <c r="B108" s="747" t="s">
        <v>891</v>
      </c>
      <c r="C108" s="750">
        <v>5.5309999999999995E-4</v>
      </c>
      <c r="D108" s="750">
        <v>5.4869999999999995E-4</v>
      </c>
      <c r="E108" s="748">
        <v>5043120</v>
      </c>
      <c r="F108" s="751">
        <v>4388539</v>
      </c>
      <c r="G108" s="748">
        <f>VLOOKUP(A108,'[3]TSERS Contributions FY 2017'!$A$2:$C$290,3,FALSE)</f>
        <v>795968</v>
      </c>
      <c r="H108" s="751"/>
      <c r="I108" s="748">
        <v>95135</v>
      </c>
      <c r="J108" s="748">
        <v>2092420</v>
      </c>
      <c r="K108" s="748">
        <v>693323</v>
      </c>
      <c r="L108" s="751">
        <v>59406</v>
      </c>
      <c r="M108" s="751"/>
      <c r="N108" s="748">
        <v>143572</v>
      </c>
      <c r="O108" s="748">
        <v>1498502</v>
      </c>
      <c r="P108" s="748">
        <v>0</v>
      </c>
      <c r="Q108" s="751">
        <v>0</v>
      </c>
      <c r="R108" s="751"/>
      <c r="S108" s="748">
        <v>1182667</v>
      </c>
      <c r="T108" s="752">
        <v>40455</v>
      </c>
      <c r="U108" s="752">
        <v>1223122</v>
      </c>
    </row>
    <row r="109" spans="1:21" x14ac:dyDescent="0.25">
      <c r="A109" s="749">
        <v>32300</v>
      </c>
      <c r="B109" s="747" t="s">
        <v>892</v>
      </c>
      <c r="C109" s="750">
        <v>6.2110999999999998E-3</v>
      </c>
      <c r="D109" s="750">
        <v>6.2827999999999998E-3</v>
      </c>
      <c r="E109" s="748">
        <v>57745422</v>
      </c>
      <c r="F109" s="751">
        <v>49281606</v>
      </c>
      <c r="G109" s="748">
        <f>VLOOKUP(A109,'[3]TSERS Contributions FY 2017'!$A$2:$C$290,3,FALSE)</f>
        <v>8472961</v>
      </c>
      <c r="H109" s="751"/>
      <c r="I109" s="748">
        <v>1068334</v>
      </c>
      <c r="J109" s="748">
        <v>23497070</v>
      </c>
      <c r="K109" s="748">
        <v>7785750</v>
      </c>
      <c r="L109" s="751">
        <v>0</v>
      </c>
      <c r="M109" s="751"/>
      <c r="N109" s="748">
        <v>1612259</v>
      </c>
      <c r="O109" s="748">
        <v>16827597</v>
      </c>
      <c r="P109" s="748">
        <v>0</v>
      </c>
      <c r="Q109" s="751">
        <v>1243658</v>
      </c>
      <c r="R109" s="751"/>
      <c r="S109" s="748">
        <v>13280897</v>
      </c>
      <c r="T109" s="752">
        <v>-633626</v>
      </c>
      <c r="U109" s="752">
        <v>12647271</v>
      </c>
    </row>
    <row r="110" spans="1:21" x14ac:dyDescent="0.25">
      <c r="A110" s="749">
        <v>32305</v>
      </c>
      <c r="B110" s="747" t="s">
        <v>893</v>
      </c>
      <c r="C110" s="750">
        <v>6.2699999999999995E-4</v>
      </c>
      <c r="D110" s="750">
        <v>6.2580000000000003E-4</v>
      </c>
      <c r="E110" s="748">
        <v>5751748</v>
      </c>
      <c r="F110" s="751">
        <v>4974895</v>
      </c>
      <c r="G110" s="748">
        <f>VLOOKUP(A110,'[3]TSERS Contributions FY 2017'!$A$2:$C$290,3,FALSE)</f>
        <v>995186</v>
      </c>
      <c r="H110" s="751"/>
      <c r="I110" s="748">
        <v>107847</v>
      </c>
      <c r="J110" s="748">
        <v>2371989</v>
      </c>
      <c r="K110" s="748">
        <v>785958</v>
      </c>
      <c r="L110" s="751">
        <v>241781</v>
      </c>
      <c r="M110" s="751"/>
      <c r="N110" s="748">
        <v>162755</v>
      </c>
      <c r="O110" s="748">
        <v>1698717</v>
      </c>
      <c r="P110" s="748">
        <v>0</v>
      </c>
      <c r="Q110" s="751">
        <v>0</v>
      </c>
      <c r="R110" s="751"/>
      <c r="S110" s="748">
        <v>1340684</v>
      </c>
      <c r="T110" s="752">
        <v>145405</v>
      </c>
      <c r="U110" s="752">
        <v>1486089</v>
      </c>
    </row>
    <row r="111" spans="1:21" x14ac:dyDescent="0.25">
      <c r="A111" s="749">
        <v>32400</v>
      </c>
      <c r="B111" s="747" t="s">
        <v>894</v>
      </c>
      <c r="C111" s="750">
        <v>2.2388E-3</v>
      </c>
      <c r="D111" s="750">
        <v>2.2591999999999998E-3</v>
      </c>
      <c r="E111" s="748">
        <v>20764382</v>
      </c>
      <c r="F111" s="751">
        <v>17763627</v>
      </c>
      <c r="G111" s="748">
        <f>VLOOKUP(A111,'[3]TSERS Contributions FY 2017'!$A$2:$C$290,3,FALSE)</f>
        <v>3289938</v>
      </c>
      <c r="H111" s="751"/>
      <c r="I111" s="748">
        <v>385083</v>
      </c>
      <c r="J111" s="748">
        <v>8469553</v>
      </c>
      <c r="K111" s="748">
        <v>2806385</v>
      </c>
      <c r="L111" s="751">
        <v>189165</v>
      </c>
      <c r="M111" s="751"/>
      <c r="N111" s="748">
        <v>581141</v>
      </c>
      <c r="O111" s="748">
        <v>6065532</v>
      </c>
      <c r="P111" s="748">
        <v>0</v>
      </c>
      <c r="Q111" s="751">
        <v>113261</v>
      </c>
      <c r="R111" s="751"/>
      <c r="S111" s="748">
        <v>4787119</v>
      </c>
      <c r="T111" s="752">
        <v>-15220</v>
      </c>
      <c r="U111" s="752">
        <v>4771898</v>
      </c>
    </row>
    <row r="112" spans="1:21" x14ac:dyDescent="0.25">
      <c r="A112" s="749">
        <v>32405</v>
      </c>
      <c r="B112" s="747" t="s">
        <v>895</v>
      </c>
      <c r="C112" s="750">
        <v>5.7799999999999995E-4</v>
      </c>
      <c r="D112" s="750">
        <v>5.6479999999999996E-4</v>
      </c>
      <c r="E112" s="748">
        <v>5191095</v>
      </c>
      <c r="F112" s="751">
        <v>4586107</v>
      </c>
      <c r="G112" s="748">
        <f>VLOOKUP(A112,'[3]TSERS Contributions FY 2017'!$A$2:$C$290,3,FALSE)</f>
        <v>889333</v>
      </c>
      <c r="H112" s="751"/>
      <c r="I112" s="748">
        <v>99418</v>
      </c>
      <c r="J112" s="748">
        <v>2186619</v>
      </c>
      <c r="K112" s="748">
        <v>724536</v>
      </c>
      <c r="L112" s="751">
        <v>108192</v>
      </c>
      <c r="M112" s="751"/>
      <c r="N112" s="748">
        <v>150036</v>
      </c>
      <c r="O112" s="748">
        <v>1565963</v>
      </c>
      <c r="P112" s="748">
        <v>0</v>
      </c>
      <c r="Q112" s="751">
        <v>60500</v>
      </c>
      <c r="R112" s="751"/>
      <c r="S112" s="748">
        <v>1235910</v>
      </c>
      <c r="T112" s="752">
        <v>-8294</v>
      </c>
      <c r="U112" s="752">
        <v>1227615</v>
      </c>
    </row>
    <row r="113" spans="1:21" x14ac:dyDescent="0.25">
      <c r="A113" s="749">
        <v>32410</v>
      </c>
      <c r="B113" s="747" t="s">
        <v>896</v>
      </c>
      <c r="C113" s="750">
        <v>8.4340000000000001E-4</v>
      </c>
      <c r="D113" s="750">
        <v>8.92E-4</v>
      </c>
      <c r="E113" s="748">
        <v>8198401</v>
      </c>
      <c r="F113" s="751">
        <v>6691908</v>
      </c>
      <c r="G113" s="748">
        <f>VLOOKUP(A113,'[3]TSERS Contributions FY 2017'!$A$2:$C$290,3,FALSE)</f>
        <v>1298636</v>
      </c>
      <c r="H113" s="751"/>
      <c r="I113" s="748">
        <v>145068</v>
      </c>
      <c r="J113" s="748">
        <v>3190647</v>
      </c>
      <c r="K113" s="748">
        <v>1057220</v>
      </c>
      <c r="L113" s="751">
        <v>124600</v>
      </c>
      <c r="M113" s="751"/>
      <c r="N113" s="748">
        <v>218927</v>
      </c>
      <c r="O113" s="748">
        <v>2285005</v>
      </c>
      <c r="P113" s="748">
        <v>0</v>
      </c>
      <c r="Q113" s="751">
        <v>116140</v>
      </c>
      <c r="R113" s="751"/>
      <c r="S113" s="748">
        <v>1803402</v>
      </c>
      <c r="T113" s="752">
        <v>55733</v>
      </c>
      <c r="U113" s="752">
        <v>1859135</v>
      </c>
    </row>
    <row r="114" spans="1:21" x14ac:dyDescent="0.25">
      <c r="A114" s="749">
        <v>32420</v>
      </c>
      <c r="B114" s="747" t="s">
        <v>897</v>
      </c>
      <c r="C114" s="750">
        <v>0</v>
      </c>
      <c r="D114" s="750">
        <v>0</v>
      </c>
      <c r="E114" s="748">
        <v>0</v>
      </c>
      <c r="F114" s="751">
        <v>0</v>
      </c>
      <c r="G114" s="748">
        <v>0</v>
      </c>
      <c r="H114" s="751"/>
      <c r="I114" s="748">
        <v>0</v>
      </c>
      <c r="J114" s="748">
        <v>0</v>
      </c>
      <c r="K114" s="748">
        <v>0</v>
      </c>
      <c r="L114" s="751">
        <v>20312</v>
      </c>
      <c r="M114" s="751"/>
      <c r="N114" s="748">
        <v>0</v>
      </c>
      <c r="O114" s="748">
        <v>0</v>
      </c>
      <c r="P114" s="748">
        <v>0</v>
      </c>
      <c r="Q114" s="751">
        <v>69979</v>
      </c>
      <c r="R114" s="751"/>
      <c r="S114" s="748">
        <v>0</v>
      </c>
      <c r="T114" s="752">
        <v>-3006</v>
      </c>
      <c r="U114" s="752">
        <v>-3006</v>
      </c>
    </row>
    <row r="115" spans="1:21" x14ac:dyDescent="0.25">
      <c r="A115" s="749">
        <v>32500</v>
      </c>
      <c r="B115" s="747" t="s">
        <v>898</v>
      </c>
      <c r="C115" s="750">
        <v>4.7978999999999999E-3</v>
      </c>
      <c r="D115" s="750">
        <v>5.0733000000000002E-3</v>
      </c>
      <c r="E115" s="748">
        <v>46628868</v>
      </c>
      <c r="F115" s="751">
        <v>38068654</v>
      </c>
      <c r="G115" s="748">
        <f>VLOOKUP(A115,'[3]TSERS Contributions FY 2017'!$A$2:$C$290,3,FALSE)</f>
        <v>6739516</v>
      </c>
      <c r="H115" s="751"/>
      <c r="I115" s="748">
        <v>825258</v>
      </c>
      <c r="J115" s="748">
        <v>18150825</v>
      </c>
      <c r="K115" s="748">
        <v>6014273</v>
      </c>
      <c r="L115" s="751">
        <v>0</v>
      </c>
      <c r="M115" s="751"/>
      <c r="N115" s="748">
        <v>1245424</v>
      </c>
      <c r="O115" s="748">
        <v>12998845</v>
      </c>
      <c r="P115" s="748">
        <v>0</v>
      </c>
      <c r="Q115" s="751">
        <v>1333104</v>
      </c>
      <c r="R115" s="751"/>
      <c r="S115" s="748">
        <v>10259119</v>
      </c>
      <c r="T115" s="752">
        <v>-502427</v>
      </c>
      <c r="U115" s="752">
        <v>9756693</v>
      </c>
    </row>
    <row r="116" spans="1:21" x14ac:dyDescent="0.25">
      <c r="A116" s="749">
        <v>32505</v>
      </c>
      <c r="B116" s="747" t="s">
        <v>899</v>
      </c>
      <c r="C116" s="750">
        <v>7.5580000000000005E-4</v>
      </c>
      <c r="D116" s="750">
        <v>7.2650000000000004E-4</v>
      </c>
      <c r="E116" s="748">
        <v>6677285</v>
      </c>
      <c r="F116" s="751">
        <v>5996851</v>
      </c>
      <c r="G116" s="748">
        <f>VLOOKUP(A116,'[3]TSERS Contributions FY 2017'!$A$2:$C$290,3,FALSE)</f>
        <v>1106814</v>
      </c>
      <c r="H116" s="751"/>
      <c r="I116" s="748">
        <v>130001</v>
      </c>
      <c r="J116" s="748">
        <v>2859250</v>
      </c>
      <c r="K116" s="748">
        <v>947412</v>
      </c>
      <c r="L116" s="751">
        <v>182935</v>
      </c>
      <c r="M116" s="751"/>
      <c r="N116" s="748">
        <v>196188</v>
      </c>
      <c r="O116" s="748">
        <v>2047672</v>
      </c>
      <c r="P116" s="748">
        <v>0</v>
      </c>
      <c r="Q116" s="751">
        <v>72659</v>
      </c>
      <c r="R116" s="751"/>
      <c r="S116" s="748">
        <v>1616091</v>
      </c>
      <c r="T116" s="752">
        <v>27069</v>
      </c>
      <c r="U116" s="752">
        <v>1643160</v>
      </c>
    </row>
    <row r="117" spans="1:21" x14ac:dyDescent="0.25">
      <c r="A117" s="749">
        <v>32600</v>
      </c>
      <c r="B117" s="747" t="s">
        <v>900</v>
      </c>
      <c r="C117" s="750">
        <v>1.7237800000000001E-2</v>
      </c>
      <c r="D117" s="750">
        <v>1.77521E-2</v>
      </c>
      <c r="E117" s="748">
        <v>163160137</v>
      </c>
      <c r="F117" s="751">
        <v>136772307</v>
      </c>
      <c r="G117" s="748">
        <f>VLOOKUP(A117,'[3]TSERS Contributions FY 2017'!$A$2:$C$290,3,FALSE)</f>
        <v>24350595</v>
      </c>
      <c r="H117" s="751"/>
      <c r="I117" s="748">
        <v>2964971</v>
      </c>
      <c r="J117" s="748">
        <v>65211925</v>
      </c>
      <c r="K117" s="748">
        <v>21607962</v>
      </c>
      <c r="L117" s="751">
        <v>0</v>
      </c>
      <c r="M117" s="751"/>
      <c r="N117" s="748">
        <v>4474536</v>
      </c>
      <c r="O117" s="748">
        <v>46701992</v>
      </c>
      <c r="P117" s="748">
        <v>0</v>
      </c>
      <c r="Q117" s="751">
        <v>5913813</v>
      </c>
      <c r="R117" s="751"/>
      <c r="S117" s="748">
        <v>36858760</v>
      </c>
      <c r="T117" s="752">
        <v>-2934919</v>
      </c>
      <c r="U117" s="752">
        <v>33923842</v>
      </c>
    </row>
    <row r="118" spans="1:21" x14ac:dyDescent="0.25">
      <c r="A118" s="749">
        <v>32605</v>
      </c>
      <c r="B118" s="747" t="s">
        <v>901</v>
      </c>
      <c r="C118" s="750">
        <v>2.5604999999999998E-3</v>
      </c>
      <c r="D118" s="750">
        <v>2.5571999999999999E-3</v>
      </c>
      <c r="E118" s="748">
        <v>23503310</v>
      </c>
      <c r="F118" s="751">
        <v>20316136</v>
      </c>
      <c r="G118" s="748">
        <f>VLOOKUP(A118,'[3]TSERS Contributions FY 2017'!$A$2:$C$290,3,FALSE)</f>
        <v>3902909</v>
      </c>
      <c r="H118" s="751"/>
      <c r="I118" s="748">
        <v>440416</v>
      </c>
      <c r="J118" s="748">
        <v>9686569</v>
      </c>
      <c r="K118" s="748">
        <v>3209643</v>
      </c>
      <c r="L118" s="751">
        <v>561240</v>
      </c>
      <c r="M118" s="751"/>
      <c r="N118" s="748">
        <v>664647</v>
      </c>
      <c r="O118" s="748">
        <v>6937106</v>
      </c>
      <c r="P118" s="748">
        <v>0</v>
      </c>
      <c r="Q118" s="751">
        <v>0</v>
      </c>
      <c r="R118" s="751"/>
      <c r="S118" s="748">
        <v>5474994</v>
      </c>
      <c r="T118" s="752">
        <v>277924</v>
      </c>
      <c r="U118" s="752">
        <v>5752919</v>
      </c>
    </row>
    <row r="119" spans="1:21" x14ac:dyDescent="0.25">
      <c r="A119" s="749">
        <v>32700</v>
      </c>
      <c r="B119" s="747" t="s">
        <v>902</v>
      </c>
      <c r="C119" s="750">
        <v>1.6209E-3</v>
      </c>
      <c r="D119" s="750">
        <v>1.5617999999999999E-3</v>
      </c>
      <c r="E119" s="748">
        <v>14354555</v>
      </c>
      <c r="F119" s="751">
        <v>12860935</v>
      </c>
      <c r="G119" s="748">
        <f>VLOOKUP(A119,'[3]TSERS Contributions FY 2017'!$A$2:$C$290,3,FALSE)</f>
        <v>2262317</v>
      </c>
      <c r="H119" s="751"/>
      <c r="I119" s="748">
        <v>278801</v>
      </c>
      <c r="J119" s="748">
        <v>6131990</v>
      </c>
      <c r="K119" s="748">
        <v>2031834</v>
      </c>
      <c r="L119" s="751">
        <v>382679</v>
      </c>
      <c r="M119" s="751"/>
      <c r="N119" s="748">
        <v>420748</v>
      </c>
      <c r="O119" s="748">
        <v>4391469</v>
      </c>
      <c r="P119" s="748">
        <v>0</v>
      </c>
      <c r="Q119" s="751">
        <v>0</v>
      </c>
      <c r="R119" s="751"/>
      <c r="S119" s="748">
        <v>3465893</v>
      </c>
      <c r="T119" s="752">
        <v>182790</v>
      </c>
      <c r="U119" s="752">
        <v>3648683</v>
      </c>
    </row>
    <row r="120" spans="1:21" x14ac:dyDescent="0.25">
      <c r="A120" s="749">
        <v>32800</v>
      </c>
      <c r="B120" s="747" t="s">
        <v>903</v>
      </c>
      <c r="C120" s="750">
        <v>2.1829000000000002E-3</v>
      </c>
      <c r="D120" s="750">
        <v>2.1503999999999998E-3</v>
      </c>
      <c r="E120" s="748">
        <v>19764397</v>
      </c>
      <c r="F120" s="751">
        <v>17320091</v>
      </c>
      <c r="G120" s="748">
        <f>VLOOKUP(A120,'[3]TSERS Contributions FY 2017'!$A$2:$C$290,3,FALSE)</f>
        <v>3329357</v>
      </c>
      <c r="H120" s="751"/>
      <c r="I120" s="748">
        <v>375468</v>
      </c>
      <c r="J120" s="748">
        <v>8258079</v>
      </c>
      <c r="K120" s="748">
        <v>2736313</v>
      </c>
      <c r="L120" s="751">
        <v>613098</v>
      </c>
      <c r="M120" s="751"/>
      <c r="N120" s="748">
        <v>566631</v>
      </c>
      <c r="O120" s="748">
        <v>5914083</v>
      </c>
      <c r="P120" s="748">
        <v>0</v>
      </c>
      <c r="Q120" s="751">
        <v>0</v>
      </c>
      <c r="R120" s="751"/>
      <c r="S120" s="748">
        <v>4667590</v>
      </c>
      <c r="T120" s="752">
        <v>264187</v>
      </c>
      <c r="U120" s="752">
        <v>4931777</v>
      </c>
    </row>
    <row r="121" spans="1:21" x14ac:dyDescent="0.25">
      <c r="A121" s="749">
        <v>32900</v>
      </c>
      <c r="B121" s="747" t="s">
        <v>904</v>
      </c>
      <c r="C121" s="750">
        <v>6.5319999999999996E-3</v>
      </c>
      <c r="D121" s="750">
        <v>6.633E-3</v>
      </c>
      <c r="E121" s="748">
        <v>60964122</v>
      </c>
      <c r="F121" s="751">
        <v>51827769</v>
      </c>
      <c r="G121" s="748">
        <f>VLOOKUP(A121,'[3]TSERS Contributions FY 2017'!$A$2:$C$290,3,FALSE)</f>
        <v>9104217</v>
      </c>
      <c r="H121" s="751"/>
      <c r="I121" s="748">
        <v>1123530</v>
      </c>
      <c r="J121" s="748">
        <v>24711059</v>
      </c>
      <c r="K121" s="748">
        <v>8188006</v>
      </c>
      <c r="L121" s="751">
        <v>19944</v>
      </c>
      <c r="M121" s="751"/>
      <c r="N121" s="748">
        <v>1695557</v>
      </c>
      <c r="O121" s="748">
        <v>17697004</v>
      </c>
      <c r="P121" s="748">
        <v>0</v>
      </c>
      <c r="Q121" s="751">
        <v>775253</v>
      </c>
      <c r="R121" s="751"/>
      <c r="S121" s="748">
        <v>13967062</v>
      </c>
      <c r="T121" s="752">
        <v>-370134</v>
      </c>
      <c r="U121" s="752">
        <v>13596928</v>
      </c>
    </row>
    <row r="122" spans="1:21" x14ac:dyDescent="0.25">
      <c r="A122" s="749">
        <v>32901</v>
      </c>
      <c r="B122" s="747" t="s">
        <v>905</v>
      </c>
      <c r="C122" s="750">
        <v>1.4310000000000001E-4</v>
      </c>
      <c r="D122" s="750">
        <v>1.9560000000000001E-4</v>
      </c>
      <c r="E122" s="748">
        <v>1797766</v>
      </c>
      <c r="F122" s="751">
        <v>1135419</v>
      </c>
      <c r="G122" s="748">
        <f>VLOOKUP(A122,'[3]TSERS Contributions FY 2017'!$A$2:$C$290,3,FALSE)</f>
        <v>195379</v>
      </c>
      <c r="H122" s="751"/>
      <c r="I122" s="748">
        <v>24614</v>
      </c>
      <c r="J122" s="748">
        <v>541358</v>
      </c>
      <c r="K122" s="748">
        <v>179379</v>
      </c>
      <c r="L122" s="751">
        <v>329160</v>
      </c>
      <c r="M122" s="751"/>
      <c r="N122" s="748">
        <v>37145</v>
      </c>
      <c r="O122" s="748">
        <v>387698</v>
      </c>
      <c r="P122" s="748">
        <v>0</v>
      </c>
      <c r="Q122" s="751">
        <v>204118</v>
      </c>
      <c r="R122" s="751"/>
      <c r="S122" s="748">
        <v>305984</v>
      </c>
      <c r="T122" s="752">
        <v>140360</v>
      </c>
      <c r="U122" s="752">
        <v>446343</v>
      </c>
    </row>
    <row r="123" spans="1:21" x14ac:dyDescent="0.25">
      <c r="A123" s="749">
        <v>32905</v>
      </c>
      <c r="B123" s="747" t="s">
        <v>906</v>
      </c>
      <c r="C123" s="750">
        <v>9.6400000000000001E-4</v>
      </c>
      <c r="D123" s="750">
        <v>9.3849999999999999E-4</v>
      </c>
      <c r="E123" s="748">
        <v>8625784</v>
      </c>
      <c r="F123" s="751">
        <v>7648801</v>
      </c>
      <c r="G123" s="748">
        <f>VLOOKUP(A123,'[3]TSERS Contributions FY 2017'!$A$2:$C$290,3,FALSE)</f>
        <v>1454566</v>
      </c>
      <c r="H123" s="751"/>
      <c r="I123" s="748">
        <v>165812</v>
      </c>
      <c r="J123" s="748">
        <v>3646886</v>
      </c>
      <c r="K123" s="748">
        <v>1208395</v>
      </c>
      <c r="L123" s="751">
        <v>170018</v>
      </c>
      <c r="M123" s="751"/>
      <c r="N123" s="748">
        <v>250232</v>
      </c>
      <c r="O123" s="748">
        <v>2611744</v>
      </c>
      <c r="P123" s="748">
        <v>0</v>
      </c>
      <c r="Q123" s="751">
        <v>149958</v>
      </c>
      <c r="R123" s="751"/>
      <c r="S123" s="748">
        <v>2061275</v>
      </c>
      <c r="T123" s="752">
        <v>-46152</v>
      </c>
      <c r="U123" s="752">
        <v>2015123</v>
      </c>
    </row>
    <row r="124" spans="1:21" x14ac:dyDescent="0.25">
      <c r="A124" s="749">
        <v>32910</v>
      </c>
      <c r="B124" s="747" t="s">
        <v>907</v>
      </c>
      <c r="C124" s="750">
        <v>1.2267000000000001E-3</v>
      </c>
      <c r="D124" s="750">
        <v>1.2221000000000001E-3</v>
      </c>
      <c r="E124" s="748">
        <v>11232361</v>
      </c>
      <c r="F124" s="751">
        <v>9733179</v>
      </c>
      <c r="G124" s="748">
        <f>VLOOKUP(A124,'[3]TSERS Contributions FY 2017'!$A$2:$C$290,3,FALSE)</f>
        <v>1775407</v>
      </c>
      <c r="H124" s="751"/>
      <c r="I124" s="748">
        <v>210997</v>
      </c>
      <c r="J124" s="748">
        <v>4640701</v>
      </c>
      <c r="K124" s="748">
        <v>1537695</v>
      </c>
      <c r="L124" s="751">
        <v>27896</v>
      </c>
      <c r="M124" s="751"/>
      <c r="N124" s="748">
        <v>318423</v>
      </c>
      <c r="O124" s="748">
        <v>3323471</v>
      </c>
      <c r="P124" s="748">
        <v>0</v>
      </c>
      <c r="Q124" s="751">
        <v>165077</v>
      </c>
      <c r="R124" s="751"/>
      <c r="S124" s="748">
        <v>2622994</v>
      </c>
      <c r="T124" s="752">
        <v>-91677</v>
      </c>
      <c r="U124" s="752">
        <v>2531317</v>
      </c>
    </row>
    <row r="125" spans="1:21" x14ac:dyDescent="0.25">
      <c r="A125" s="749">
        <v>32920</v>
      </c>
      <c r="B125" s="747" t="s">
        <v>908</v>
      </c>
      <c r="C125" s="750">
        <v>1.0145E-3</v>
      </c>
      <c r="D125" s="750">
        <v>1.0083E-3</v>
      </c>
      <c r="E125" s="748">
        <v>9267319</v>
      </c>
      <c r="F125" s="751">
        <v>8049490</v>
      </c>
      <c r="G125" s="748">
        <f>VLOOKUP(A125,'[3]TSERS Contributions FY 2017'!$A$2:$C$290,3,FALSE)</f>
        <v>1403160</v>
      </c>
      <c r="H125" s="751"/>
      <c r="I125" s="748">
        <v>174498</v>
      </c>
      <c r="J125" s="748">
        <v>3837932</v>
      </c>
      <c r="K125" s="748">
        <v>1271698</v>
      </c>
      <c r="L125" s="751">
        <v>34805</v>
      </c>
      <c r="M125" s="751"/>
      <c r="N125" s="748">
        <v>263341</v>
      </c>
      <c r="O125" s="748">
        <v>2748563</v>
      </c>
      <c r="P125" s="748">
        <v>0</v>
      </c>
      <c r="Q125" s="751">
        <v>156637</v>
      </c>
      <c r="R125" s="751"/>
      <c r="S125" s="748">
        <v>2169257</v>
      </c>
      <c r="T125" s="752">
        <v>-89865</v>
      </c>
      <c r="U125" s="752">
        <v>2079391</v>
      </c>
    </row>
    <row r="126" spans="1:21" x14ac:dyDescent="0.25">
      <c r="A126" s="749">
        <v>33000</v>
      </c>
      <c r="B126" s="747" t="s">
        <v>909</v>
      </c>
      <c r="C126" s="750">
        <v>2.4756000000000001E-3</v>
      </c>
      <c r="D126" s="750">
        <v>2.5539E-3</v>
      </c>
      <c r="E126" s="748">
        <v>23472979</v>
      </c>
      <c r="F126" s="751">
        <v>19642502</v>
      </c>
      <c r="G126" s="748">
        <f>VLOOKUP(A126,'[3]TSERS Contributions FY 2017'!$A$2:$C$290,3,FALSE)</f>
        <v>3346436</v>
      </c>
      <c r="H126" s="751"/>
      <c r="I126" s="748">
        <v>425813</v>
      </c>
      <c r="J126" s="748">
        <v>9365385</v>
      </c>
      <c r="K126" s="748">
        <v>3103219</v>
      </c>
      <c r="L126" s="751">
        <v>0</v>
      </c>
      <c r="M126" s="751"/>
      <c r="N126" s="748">
        <v>642609</v>
      </c>
      <c r="O126" s="748">
        <v>6707089</v>
      </c>
      <c r="P126" s="748">
        <v>0</v>
      </c>
      <c r="Q126" s="751">
        <v>679433</v>
      </c>
      <c r="R126" s="751"/>
      <c r="S126" s="748">
        <v>5293457</v>
      </c>
      <c r="T126" s="752">
        <v>-293393</v>
      </c>
      <c r="U126" s="752">
        <v>5000064</v>
      </c>
    </row>
    <row r="127" spans="1:21" x14ac:dyDescent="0.25">
      <c r="A127" s="749">
        <v>33001</v>
      </c>
      <c r="B127" s="747" t="s">
        <v>910</v>
      </c>
      <c r="C127" s="750">
        <v>8.3700000000000002E-5</v>
      </c>
      <c r="D127" s="750">
        <v>7.1699999999999995E-5</v>
      </c>
      <c r="E127" s="748">
        <v>658997</v>
      </c>
      <c r="F127" s="751">
        <v>664113</v>
      </c>
      <c r="G127" s="748">
        <f>VLOOKUP(A127,'[3]TSERS Contributions FY 2017'!$A$2:$C$290,3,FALSE)</f>
        <v>99879</v>
      </c>
      <c r="H127" s="751"/>
      <c r="I127" s="748">
        <v>14397</v>
      </c>
      <c r="J127" s="748">
        <v>316644</v>
      </c>
      <c r="K127" s="748">
        <v>104920</v>
      </c>
      <c r="L127" s="751">
        <v>102360</v>
      </c>
      <c r="M127" s="751"/>
      <c r="N127" s="748">
        <v>21727</v>
      </c>
      <c r="O127" s="748">
        <v>226767</v>
      </c>
      <c r="P127" s="748">
        <v>0</v>
      </c>
      <c r="Q127" s="751">
        <v>0</v>
      </c>
      <c r="R127" s="751"/>
      <c r="S127" s="748">
        <v>178972</v>
      </c>
      <c r="T127" s="752">
        <v>64533</v>
      </c>
      <c r="U127" s="752">
        <v>243505</v>
      </c>
    </row>
    <row r="128" spans="1:21" x14ac:dyDescent="0.25">
      <c r="A128" s="749">
        <v>33027</v>
      </c>
      <c r="B128" s="747" t="s">
        <v>911</v>
      </c>
      <c r="C128" s="750">
        <v>2.8249999999999998E-4</v>
      </c>
      <c r="D128" s="750">
        <v>2.377E-4</v>
      </c>
      <c r="E128" s="748">
        <v>2184709</v>
      </c>
      <c r="F128" s="751">
        <v>2241480</v>
      </c>
      <c r="G128" s="748">
        <f>VLOOKUP(A128,'[3]TSERS Contributions FY 2017'!$A$2:$C$290,3,FALSE)</f>
        <v>321802</v>
      </c>
      <c r="H128" s="751"/>
      <c r="I128" s="748">
        <v>48591.13</v>
      </c>
      <c r="J128" s="748">
        <v>1068719</v>
      </c>
      <c r="K128" s="748">
        <v>354120</v>
      </c>
      <c r="L128" s="751">
        <v>302503</v>
      </c>
      <c r="M128" s="751"/>
      <c r="N128" s="748">
        <v>73331</v>
      </c>
      <c r="O128" s="748">
        <v>765371</v>
      </c>
      <c r="P128" s="748">
        <v>0</v>
      </c>
      <c r="Q128" s="751">
        <v>0</v>
      </c>
      <c r="R128" s="751"/>
      <c r="S128" s="748">
        <v>604056</v>
      </c>
      <c r="T128" s="752">
        <v>160150</v>
      </c>
      <c r="U128" s="752">
        <v>764206</v>
      </c>
    </row>
    <row r="129" spans="1:21" x14ac:dyDescent="0.25">
      <c r="A129" s="749">
        <v>33100</v>
      </c>
      <c r="B129" s="747" t="s">
        <v>912</v>
      </c>
      <c r="C129" s="750">
        <v>3.5601999999999999E-3</v>
      </c>
      <c r="D129" s="750">
        <v>3.6789000000000001E-3</v>
      </c>
      <c r="E129" s="748">
        <v>33812891</v>
      </c>
      <c r="F129" s="751">
        <v>28248197</v>
      </c>
      <c r="G129" s="748">
        <f>VLOOKUP(A129,'[3]TSERS Contributions FY 2017'!$A$2:$C$290,3,FALSE)</f>
        <v>5000926</v>
      </c>
      <c r="H129" s="751"/>
      <c r="I129" s="748">
        <v>612369</v>
      </c>
      <c r="J129" s="748">
        <v>13468511</v>
      </c>
      <c r="K129" s="748">
        <v>4462789</v>
      </c>
      <c r="L129" s="751">
        <v>573536</v>
      </c>
      <c r="M129" s="751"/>
      <c r="N129" s="748">
        <v>924146</v>
      </c>
      <c r="O129" s="748">
        <v>9645572</v>
      </c>
      <c r="P129" s="748">
        <v>0</v>
      </c>
      <c r="Q129" s="751">
        <v>527271</v>
      </c>
      <c r="R129" s="751"/>
      <c r="S129" s="748">
        <v>7612605</v>
      </c>
      <c r="T129" s="752">
        <v>245675</v>
      </c>
      <c r="U129" s="752">
        <v>7858279</v>
      </c>
    </row>
    <row r="130" spans="1:21" x14ac:dyDescent="0.25">
      <c r="A130" s="749">
        <v>33105</v>
      </c>
      <c r="B130" s="747" t="s">
        <v>913</v>
      </c>
      <c r="C130" s="750">
        <v>4.0299999999999998E-4</v>
      </c>
      <c r="D130" s="750">
        <v>3.9419999999999999E-4</v>
      </c>
      <c r="E130" s="748">
        <v>3623105</v>
      </c>
      <c r="F130" s="751">
        <v>3197580</v>
      </c>
      <c r="G130" s="748">
        <f>VLOOKUP(A130,'[3]TSERS Contributions FY 2017'!$A$2:$C$290,3,FALSE)</f>
        <v>599442</v>
      </c>
      <c r="H130" s="751"/>
      <c r="I130" s="748">
        <v>69318</v>
      </c>
      <c r="J130" s="748">
        <v>1524580</v>
      </c>
      <c r="K130" s="748">
        <v>505169</v>
      </c>
      <c r="L130" s="751">
        <v>48589</v>
      </c>
      <c r="M130" s="751"/>
      <c r="N130" s="748">
        <v>104610</v>
      </c>
      <c r="O130" s="748">
        <v>1091839</v>
      </c>
      <c r="P130" s="748">
        <v>0</v>
      </c>
      <c r="Q130" s="751">
        <v>122429</v>
      </c>
      <c r="R130" s="751"/>
      <c r="S130" s="748">
        <v>861716</v>
      </c>
      <c r="T130" s="752">
        <v>-49329</v>
      </c>
      <c r="U130" s="752">
        <v>812386</v>
      </c>
    </row>
    <row r="131" spans="1:21" x14ac:dyDescent="0.25">
      <c r="A131" s="749">
        <v>33200</v>
      </c>
      <c r="B131" s="747" t="s">
        <v>914</v>
      </c>
      <c r="C131" s="750">
        <v>1.55155E-2</v>
      </c>
      <c r="D131" s="750">
        <v>1.57856E-2</v>
      </c>
      <c r="E131" s="748">
        <v>145085971</v>
      </c>
      <c r="F131" s="751">
        <v>123106819</v>
      </c>
      <c r="G131" s="748">
        <f>VLOOKUP(A131,'[3]TSERS Contributions FY 2017'!$A$2:$C$290,3,FALSE)</f>
        <v>20835380</v>
      </c>
      <c r="H131" s="751"/>
      <c r="I131" s="748">
        <v>2668728</v>
      </c>
      <c r="J131" s="748">
        <v>58696331</v>
      </c>
      <c r="K131" s="748">
        <v>19449021</v>
      </c>
      <c r="L131" s="751">
        <v>1039822</v>
      </c>
      <c r="M131" s="751"/>
      <c r="N131" s="748">
        <v>4027467</v>
      </c>
      <c r="O131" s="748">
        <v>42035803</v>
      </c>
      <c r="P131" s="748">
        <v>0</v>
      </c>
      <c r="Q131" s="751">
        <v>2393021</v>
      </c>
      <c r="R131" s="751"/>
      <c r="S131" s="748">
        <v>33176049</v>
      </c>
      <c r="T131" s="752">
        <v>-487092</v>
      </c>
      <c r="U131" s="752">
        <v>32688957</v>
      </c>
    </row>
    <row r="132" spans="1:21" x14ac:dyDescent="0.25">
      <c r="A132" s="749">
        <v>33202</v>
      </c>
      <c r="B132" s="747" t="s">
        <v>915</v>
      </c>
      <c r="C132" s="750">
        <v>2.2599999999999999E-4</v>
      </c>
      <c r="D132" s="750">
        <v>1.8359999999999999E-4</v>
      </c>
      <c r="E132" s="748">
        <v>1687474</v>
      </c>
      <c r="F132" s="751">
        <v>1793184</v>
      </c>
      <c r="G132" s="748">
        <f>VLOOKUP(A132,'[3]TSERS Contributions FY 2017'!$A$2:$C$290,3,FALSE)</f>
        <v>271000</v>
      </c>
      <c r="H132" s="751"/>
      <c r="I132" s="748">
        <v>38873</v>
      </c>
      <c r="J132" s="748">
        <v>854975</v>
      </c>
      <c r="K132" s="748">
        <v>283296</v>
      </c>
      <c r="L132" s="751">
        <v>191730</v>
      </c>
      <c r="M132" s="751"/>
      <c r="N132" s="748">
        <v>58664</v>
      </c>
      <c r="O132" s="748">
        <v>612297</v>
      </c>
      <c r="P132" s="748">
        <v>0</v>
      </c>
      <c r="Q132" s="751">
        <v>0</v>
      </c>
      <c r="R132" s="751"/>
      <c r="S132" s="748">
        <v>483245</v>
      </c>
      <c r="T132" s="752">
        <v>81048</v>
      </c>
      <c r="U132" s="752">
        <v>564293</v>
      </c>
    </row>
    <row r="133" spans="1:21" x14ac:dyDescent="0.25">
      <c r="A133" s="749">
        <v>33203</v>
      </c>
      <c r="B133" s="747" t="s">
        <v>916</v>
      </c>
      <c r="C133" s="750">
        <v>1.418E-4</v>
      </c>
      <c r="D133" s="750">
        <v>1.3540000000000001E-4</v>
      </c>
      <c r="E133" s="748">
        <v>1244466</v>
      </c>
      <c r="F133" s="751">
        <v>1125104</v>
      </c>
      <c r="G133" s="748">
        <f>VLOOKUP(A133,'[3]TSERS Contributions FY 2017'!$A$2:$C$290,3,FALSE)</f>
        <v>157860</v>
      </c>
      <c r="H133" s="751"/>
      <c r="I133" s="748">
        <v>24390</v>
      </c>
      <c r="J133" s="748">
        <v>536440</v>
      </c>
      <c r="K133" s="748">
        <v>177749</v>
      </c>
      <c r="L133" s="751">
        <v>23478</v>
      </c>
      <c r="M133" s="751"/>
      <c r="N133" s="748">
        <v>36808</v>
      </c>
      <c r="O133" s="748">
        <v>384176</v>
      </c>
      <c r="P133" s="748">
        <v>0</v>
      </c>
      <c r="Q133" s="751">
        <v>37858</v>
      </c>
      <c r="R133" s="751"/>
      <c r="S133" s="748">
        <v>303204</v>
      </c>
      <c r="T133" s="752">
        <v>801</v>
      </c>
      <c r="U133" s="752">
        <v>304005</v>
      </c>
    </row>
    <row r="134" spans="1:21" x14ac:dyDescent="0.25">
      <c r="A134" s="749">
        <v>33204</v>
      </c>
      <c r="B134" s="747" t="s">
        <v>917</v>
      </c>
      <c r="C134" s="750">
        <v>4.6000000000000001E-4</v>
      </c>
      <c r="D134" s="750">
        <v>4.4210000000000001E-4</v>
      </c>
      <c r="E134" s="748">
        <v>4063356</v>
      </c>
      <c r="F134" s="751">
        <v>3649843</v>
      </c>
      <c r="G134" s="748">
        <f>VLOOKUP(A134,'[3]TSERS Contributions FY 2017'!$A$2:$C$290,3,FALSE)</f>
        <v>535947</v>
      </c>
      <c r="H134" s="751"/>
      <c r="I134" s="748">
        <v>79121.84</v>
      </c>
      <c r="J134" s="748">
        <v>1740215</v>
      </c>
      <c r="K134" s="748">
        <v>576620.12</v>
      </c>
      <c r="L134" s="751">
        <v>11769</v>
      </c>
      <c r="M134" s="751"/>
      <c r="N134" s="748">
        <v>119405.42</v>
      </c>
      <c r="O134" s="748">
        <v>1246268</v>
      </c>
      <c r="P134" s="748">
        <v>0</v>
      </c>
      <c r="Q134" s="751">
        <v>42535</v>
      </c>
      <c r="R134" s="751"/>
      <c r="S134" s="748">
        <v>983595.92</v>
      </c>
      <c r="T134" s="752">
        <v>-22445</v>
      </c>
      <c r="U134" s="752">
        <v>961151</v>
      </c>
    </row>
    <row r="135" spans="1:21" x14ac:dyDescent="0.25">
      <c r="A135" s="749">
        <v>33205</v>
      </c>
      <c r="B135" s="747" t="s">
        <v>918</v>
      </c>
      <c r="C135" s="750">
        <v>1.3364E-3</v>
      </c>
      <c r="D135" s="750">
        <v>1.2955E-3</v>
      </c>
      <c r="E135" s="748">
        <v>11906983</v>
      </c>
      <c r="F135" s="751">
        <v>10603587</v>
      </c>
      <c r="G135" s="748">
        <f>VLOOKUP(A135,'[3]TSERS Contributions FY 2017'!$A$2:$C$290,3,FALSE)</f>
        <v>1938174</v>
      </c>
      <c r="H135" s="751"/>
      <c r="I135" s="748">
        <v>229866</v>
      </c>
      <c r="J135" s="748">
        <v>5055704</v>
      </c>
      <c r="K135" s="748">
        <v>1675207</v>
      </c>
      <c r="L135" s="751">
        <v>377331</v>
      </c>
      <c r="M135" s="751"/>
      <c r="N135" s="748">
        <v>346899</v>
      </c>
      <c r="O135" s="748">
        <v>3620679</v>
      </c>
      <c r="P135" s="748">
        <v>0</v>
      </c>
      <c r="Q135" s="751">
        <v>0</v>
      </c>
      <c r="R135" s="751"/>
      <c r="S135" s="748">
        <v>2857560</v>
      </c>
      <c r="T135" s="752">
        <v>153367</v>
      </c>
      <c r="U135" s="752">
        <v>3010927</v>
      </c>
    </row>
    <row r="136" spans="1:21" x14ac:dyDescent="0.25">
      <c r="A136" s="749">
        <v>33206</v>
      </c>
      <c r="B136" s="747" t="s">
        <v>919</v>
      </c>
      <c r="C136" s="750">
        <v>1.1349999999999999E-4</v>
      </c>
      <c r="D136" s="750">
        <v>1.032E-4</v>
      </c>
      <c r="E136" s="748">
        <v>948515</v>
      </c>
      <c r="F136" s="751">
        <v>900559</v>
      </c>
      <c r="G136" s="748">
        <f>VLOOKUP(A136,'[3]TSERS Contributions FY 2017'!$A$2:$C$290,3,FALSE)</f>
        <v>155437</v>
      </c>
      <c r="H136" s="751"/>
      <c r="I136" s="748">
        <v>19522</v>
      </c>
      <c r="J136" s="748">
        <v>429379</v>
      </c>
      <c r="K136" s="748">
        <v>142275</v>
      </c>
      <c r="L136" s="751">
        <v>45731</v>
      </c>
      <c r="M136" s="751"/>
      <c r="N136" s="748">
        <v>29462</v>
      </c>
      <c r="O136" s="748">
        <v>307503</v>
      </c>
      <c r="P136" s="748">
        <v>0</v>
      </c>
      <c r="Q136" s="751">
        <v>7433</v>
      </c>
      <c r="R136" s="751"/>
      <c r="S136" s="748">
        <v>242692</v>
      </c>
      <c r="T136" s="752">
        <v>21081</v>
      </c>
      <c r="U136" s="752">
        <v>263773</v>
      </c>
    </row>
    <row r="137" spans="1:21" x14ac:dyDescent="0.25">
      <c r="A137" s="749">
        <v>33207</v>
      </c>
      <c r="B137" s="747" t="s">
        <v>1134</v>
      </c>
      <c r="C137" s="750">
        <v>3.0190000000000002E-4</v>
      </c>
      <c r="D137" s="750">
        <v>2.231E-4</v>
      </c>
      <c r="E137" s="748">
        <v>2050519</v>
      </c>
      <c r="F137" s="751">
        <v>2395408</v>
      </c>
      <c r="G137" s="748">
        <f>VLOOKUP(A137,'[3]TSERS Contributions FY 2017'!$A$2:$C$290,3,FALSE)</f>
        <v>310451</v>
      </c>
      <c r="H137" s="751"/>
      <c r="I137" s="748">
        <v>51928</v>
      </c>
      <c r="J137" s="748">
        <v>1142111</v>
      </c>
      <c r="K137" s="748">
        <v>378438</v>
      </c>
      <c r="L137" s="751">
        <v>654132</v>
      </c>
      <c r="M137" s="751"/>
      <c r="N137" s="748">
        <v>78366</v>
      </c>
      <c r="O137" s="748">
        <v>817931</v>
      </c>
      <c r="P137" s="748">
        <v>0</v>
      </c>
      <c r="Q137" s="751">
        <v>0</v>
      </c>
      <c r="R137" s="751"/>
      <c r="S137" s="748">
        <v>645538</v>
      </c>
      <c r="T137" s="752">
        <v>288725</v>
      </c>
      <c r="U137" s="752">
        <v>934263</v>
      </c>
    </row>
    <row r="138" spans="1:21" x14ac:dyDescent="0.25">
      <c r="A138" s="749">
        <v>33208</v>
      </c>
      <c r="B138" s="747" t="s">
        <v>1135</v>
      </c>
      <c r="C138" s="750">
        <v>0</v>
      </c>
      <c r="D138" s="750">
        <v>3.6999999999999998E-5</v>
      </c>
      <c r="E138" s="748">
        <v>340068</v>
      </c>
      <c r="F138" s="751">
        <v>0</v>
      </c>
      <c r="G138" s="748">
        <f>VLOOKUP(A138,'[3]TSERS Contributions FY 2017'!$A$2:$C$290,3,FALSE)</f>
        <v>11223</v>
      </c>
      <c r="H138" s="751"/>
      <c r="I138" s="748">
        <v>0</v>
      </c>
      <c r="J138" s="748">
        <v>0</v>
      </c>
      <c r="K138" s="748">
        <v>0</v>
      </c>
      <c r="L138" s="751">
        <v>58048</v>
      </c>
      <c r="M138" s="751"/>
      <c r="N138" s="748">
        <v>0</v>
      </c>
      <c r="O138" s="748">
        <v>0</v>
      </c>
      <c r="P138" s="748">
        <v>0</v>
      </c>
      <c r="Q138" s="751">
        <v>144481</v>
      </c>
      <c r="R138" s="751"/>
      <c r="S138" s="748">
        <v>0</v>
      </c>
      <c r="T138" s="752">
        <v>-13086</v>
      </c>
      <c r="U138" s="752">
        <v>-13086</v>
      </c>
    </row>
    <row r="139" spans="1:21" x14ac:dyDescent="0.25">
      <c r="A139" s="749">
        <v>33209</v>
      </c>
      <c r="B139" s="747" t="s">
        <v>1136</v>
      </c>
      <c r="C139" s="750">
        <v>7.6600000000000005E-5</v>
      </c>
      <c r="D139" s="750">
        <v>6.5599999999999995E-5</v>
      </c>
      <c r="E139" s="748">
        <v>602932</v>
      </c>
      <c r="F139" s="751">
        <v>607778</v>
      </c>
      <c r="G139" s="748">
        <f>VLOOKUP(A139,'[3]TSERS Contributions FY 2017'!$A$2:$C$290,3,FALSE)</f>
        <v>97339</v>
      </c>
      <c r="H139" s="751"/>
      <c r="I139" s="748">
        <v>13176</v>
      </c>
      <c r="J139" s="748">
        <v>289784</v>
      </c>
      <c r="K139" s="748">
        <v>96020</v>
      </c>
      <c r="L139" s="751">
        <v>149678</v>
      </c>
      <c r="M139" s="751"/>
      <c r="N139" s="748">
        <v>19884</v>
      </c>
      <c r="O139" s="748">
        <v>207531</v>
      </c>
      <c r="P139" s="748">
        <v>0</v>
      </c>
      <c r="Q139" s="751">
        <v>0</v>
      </c>
      <c r="R139" s="751"/>
      <c r="S139" s="748">
        <v>163790</v>
      </c>
      <c r="T139" s="752">
        <v>80329</v>
      </c>
      <c r="U139" s="752">
        <v>244119</v>
      </c>
    </row>
    <row r="140" spans="1:21" x14ac:dyDescent="0.25">
      <c r="A140" s="749">
        <v>33300</v>
      </c>
      <c r="B140" s="747" t="s">
        <v>920</v>
      </c>
      <c r="C140" s="750">
        <v>2.2932999999999999E-3</v>
      </c>
      <c r="D140" s="750">
        <v>2.2869000000000001E-3</v>
      </c>
      <c r="E140" s="748">
        <v>21018973</v>
      </c>
      <c r="F140" s="751">
        <v>18196054</v>
      </c>
      <c r="G140" s="748">
        <f>VLOOKUP(A140,'[3]TSERS Contributions FY 2017'!$A$2:$C$290,3,FALSE)</f>
        <v>3249564</v>
      </c>
      <c r="H140" s="751"/>
      <c r="I140" s="748">
        <v>394457</v>
      </c>
      <c r="J140" s="748">
        <v>8675730</v>
      </c>
      <c r="K140" s="748">
        <v>2874702</v>
      </c>
      <c r="L140" s="751">
        <v>0</v>
      </c>
      <c r="M140" s="751"/>
      <c r="N140" s="748">
        <v>595288</v>
      </c>
      <c r="O140" s="748">
        <v>6213187</v>
      </c>
      <c r="P140" s="748">
        <v>0</v>
      </c>
      <c r="Q140" s="751">
        <v>182173</v>
      </c>
      <c r="R140" s="751"/>
      <c r="S140" s="748">
        <v>4903653</v>
      </c>
      <c r="T140" s="752">
        <v>-183983</v>
      </c>
      <c r="U140" s="752">
        <v>4719670</v>
      </c>
    </row>
    <row r="141" spans="1:21" x14ac:dyDescent="0.25">
      <c r="A141" s="749">
        <v>33305</v>
      </c>
      <c r="B141" s="747" t="s">
        <v>921</v>
      </c>
      <c r="C141" s="750">
        <v>5.6919999999999996E-4</v>
      </c>
      <c r="D141" s="750">
        <v>6.0360000000000003E-4</v>
      </c>
      <c r="E141" s="748">
        <v>5547708</v>
      </c>
      <c r="F141" s="751">
        <v>4516284</v>
      </c>
      <c r="G141" s="748">
        <f>VLOOKUP(A141,'[3]TSERS Contributions FY 2017'!$A$2:$C$290,3,FALSE)</f>
        <v>955651</v>
      </c>
      <c r="H141" s="751"/>
      <c r="I141" s="748">
        <v>97905</v>
      </c>
      <c r="J141" s="748">
        <v>2153327</v>
      </c>
      <c r="K141" s="748">
        <v>713505</v>
      </c>
      <c r="L141" s="751">
        <v>26877</v>
      </c>
      <c r="M141" s="751"/>
      <c r="N141" s="748">
        <v>147751</v>
      </c>
      <c r="O141" s="748">
        <v>1542121</v>
      </c>
      <c r="P141" s="748">
        <v>0</v>
      </c>
      <c r="Q141" s="751">
        <v>61681</v>
      </c>
      <c r="R141" s="751"/>
      <c r="S141" s="748">
        <v>1217093</v>
      </c>
      <c r="T141" s="752">
        <v>-40815</v>
      </c>
      <c r="U141" s="752">
        <v>1176278</v>
      </c>
    </row>
    <row r="142" spans="1:21" x14ac:dyDescent="0.25">
      <c r="A142" s="749">
        <v>33400</v>
      </c>
      <c r="B142" s="747" t="s">
        <v>922</v>
      </c>
      <c r="C142" s="750">
        <v>2.0501200000000001E-2</v>
      </c>
      <c r="D142" s="750">
        <v>2.05119E-2</v>
      </c>
      <c r="E142" s="748">
        <v>188525550</v>
      </c>
      <c r="F142" s="751">
        <v>162665562</v>
      </c>
      <c r="G142" s="748">
        <f>VLOOKUP(A142,'[3]TSERS Contributions FY 2017'!$A$2:$C$290,3,FALSE)</f>
        <v>29076028</v>
      </c>
      <c r="H142" s="751"/>
      <c r="I142" s="748">
        <v>3526288</v>
      </c>
      <c r="J142" s="748">
        <v>77557618</v>
      </c>
      <c r="K142" s="748">
        <v>25698705</v>
      </c>
      <c r="L142" s="751">
        <v>1203320</v>
      </c>
      <c r="M142" s="751"/>
      <c r="N142" s="748">
        <v>5321640</v>
      </c>
      <c r="O142" s="748">
        <v>55543450</v>
      </c>
      <c r="P142" s="748">
        <v>0</v>
      </c>
      <c r="Q142" s="751">
        <v>308251</v>
      </c>
      <c r="R142" s="751"/>
      <c r="S142" s="748">
        <v>43836732</v>
      </c>
      <c r="T142" s="752">
        <v>686706</v>
      </c>
      <c r="U142" s="752">
        <v>44523438</v>
      </c>
    </row>
    <row r="143" spans="1:21" x14ac:dyDescent="0.25">
      <c r="A143" s="749">
        <v>33402</v>
      </c>
      <c r="B143" s="747" t="s">
        <v>923</v>
      </c>
      <c r="C143" s="750">
        <v>1.6369999999999999E-4</v>
      </c>
      <c r="D143" s="750">
        <v>1.585E-4</v>
      </c>
      <c r="E143" s="748">
        <v>1456779</v>
      </c>
      <c r="F143" s="751">
        <v>1298868</v>
      </c>
      <c r="G143" s="748">
        <f>VLOOKUP(A143,'[3]TSERS Contributions FY 2017'!$A$2:$C$290,3,FALSE)</f>
        <v>208318</v>
      </c>
      <c r="H143" s="751"/>
      <c r="I143" s="748">
        <v>28157</v>
      </c>
      <c r="J143" s="748">
        <v>619290</v>
      </c>
      <c r="K143" s="748">
        <v>205202</v>
      </c>
      <c r="L143" s="751">
        <v>24969</v>
      </c>
      <c r="M143" s="751"/>
      <c r="N143" s="748">
        <v>42493</v>
      </c>
      <c r="O143" s="748">
        <v>443509</v>
      </c>
      <c r="P143" s="748">
        <v>0</v>
      </c>
      <c r="Q143" s="751">
        <v>2495</v>
      </c>
      <c r="R143" s="751"/>
      <c r="S143" s="748">
        <v>350032</v>
      </c>
      <c r="T143" s="752">
        <v>18710</v>
      </c>
      <c r="U143" s="752">
        <v>368741</v>
      </c>
    </row>
    <row r="144" spans="1:21" x14ac:dyDescent="0.25">
      <c r="A144" s="749">
        <v>33403</v>
      </c>
      <c r="B144" s="747" t="s">
        <v>924</v>
      </c>
      <c r="C144" s="750">
        <v>0</v>
      </c>
      <c r="D144" s="750">
        <v>0</v>
      </c>
      <c r="E144" s="748">
        <v>0</v>
      </c>
      <c r="F144" s="751">
        <v>0</v>
      </c>
      <c r="G144" s="748">
        <v>0</v>
      </c>
      <c r="H144" s="751"/>
      <c r="I144" s="748">
        <v>0</v>
      </c>
      <c r="J144" s="748">
        <v>0</v>
      </c>
      <c r="K144" s="748">
        <v>0</v>
      </c>
      <c r="L144" s="751">
        <v>0</v>
      </c>
      <c r="M144" s="751"/>
      <c r="N144" s="748">
        <v>0</v>
      </c>
      <c r="O144" s="748">
        <v>0</v>
      </c>
      <c r="P144" s="748">
        <v>0</v>
      </c>
      <c r="Q144" s="751">
        <v>40051</v>
      </c>
      <c r="R144" s="751"/>
      <c r="S144" s="748">
        <v>0</v>
      </c>
      <c r="T144" s="752">
        <v>-50697</v>
      </c>
      <c r="U144" s="752">
        <v>-50697</v>
      </c>
    </row>
    <row r="145" spans="1:21" x14ac:dyDescent="0.25">
      <c r="A145" s="749">
        <v>33405</v>
      </c>
      <c r="B145" s="747" t="s">
        <v>925</v>
      </c>
      <c r="C145" s="750">
        <v>1.9762E-3</v>
      </c>
      <c r="D145" s="750">
        <v>2.0352E-3</v>
      </c>
      <c r="E145" s="748">
        <v>18705590</v>
      </c>
      <c r="F145" s="751">
        <v>15680042</v>
      </c>
      <c r="G145" s="748">
        <f>VLOOKUP(A145,'[3]TSERS Contributions FY 2017'!$A$2:$C$290,3,FALSE)</f>
        <v>3030609</v>
      </c>
      <c r="H145" s="751"/>
      <c r="I145" s="748">
        <v>339914</v>
      </c>
      <c r="J145" s="748">
        <v>7476117</v>
      </c>
      <c r="K145" s="748">
        <v>2477210</v>
      </c>
      <c r="L145" s="751">
        <v>320892</v>
      </c>
      <c r="M145" s="751"/>
      <c r="N145" s="748">
        <v>512976</v>
      </c>
      <c r="O145" s="748">
        <v>5354075</v>
      </c>
      <c r="P145" s="748">
        <v>0</v>
      </c>
      <c r="Q145" s="751">
        <v>93548</v>
      </c>
      <c r="R145" s="751"/>
      <c r="S145" s="748">
        <v>4225614</v>
      </c>
      <c r="T145" s="752">
        <v>244127</v>
      </c>
      <c r="U145" s="752">
        <v>4469741</v>
      </c>
    </row>
    <row r="146" spans="1:21" x14ac:dyDescent="0.25">
      <c r="A146" s="754">
        <v>33500</v>
      </c>
      <c r="B146" s="747" t="s">
        <v>926</v>
      </c>
      <c r="C146" s="750">
        <v>3.2347999999999999E-3</v>
      </c>
      <c r="D146" s="750">
        <v>3.3923E-3</v>
      </c>
      <c r="E146" s="748">
        <v>31178741</v>
      </c>
      <c r="F146" s="751">
        <v>25666330</v>
      </c>
      <c r="G146" s="748">
        <f>VLOOKUP(A146,'[3]TSERS Contributions FY 2017'!$A$2:$C$290,3,FALSE)</f>
        <v>4330346</v>
      </c>
      <c r="H146" s="751"/>
      <c r="I146" s="748">
        <v>556399</v>
      </c>
      <c r="J146" s="748">
        <v>12237497</v>
      </c>
      <c r="K146" s="748">
        <v>4054893</v>
      </c>
      <c r="L146" s="751">
        <v>301696</v>
      </c>
      <c r="M146" s="751"/>
      <c r="N146" s="748">
        <v>839680</v>
      </c>
      <c r="O146" s="748">
        <v>8763972</v>
      </c>
      <c r="P146" s="748">
        <v>0</v>
      </c>
      <c r="Q146" s="751">
        <v>825094</v>
      </c>
      <c r="R146" s="751"/>
      <c r="S146" s="748">
        <v>6916818</v>
      </c>
      <c r="T146" s="752">
        <v>-51888</v>
      </c>
      <c r="U146" s="752">
        <v>6864929</v>
      </c>
    </row>
    <row r="147" spans="1:21" x14ac:dyDescent="0.25">
      <c r="A147" s="754">
        <v>33501</v>
      </c>
      <c r="B147" s="747" t="s">
        <v>927</v>
      </c>
      <c r="C147" s="750">
        <v>7.8100000000000001E-5</v>
      </c>
      <c r="D147" s="750">
        <v>7.0699999999999997E-5</v>
      </c>
      <c r="E147" s="748">
        <v>649806</v>
      </c>
      <c r="F147" s="751">
        <v>619680</v>
      </c>
      <c r="G147" s="748">
        <f>VLOOKUP(A147,'[3]TSERS Contributions FY 2017'!$A$2:$C$290,3,FALSE)</f>
        <v>96061</v>
      </c>
      <c r="H147" s="751"/>
      <c r="I147" s="748">
        <v>13434</v>
      </c>
      <c r="J147" s="748">
        <v>295458</v>
      </c>
      <c r="K147" s="748">
        <v>97900</v>
      </c>
      <c r="L147" s="751">
        <v>25004</v>
      </c>
      <c r="M147" s="751"/>
      <c r="N147" s="748">
        <v>20273</v>
      </c>
      <c r="O147" s="748">
        <v>211595</v>
      </c>
      <c r="P147" s="748">
        <v>0</v>
      </c>
      <c r="Q147" s="751">
        <v>4893</v>
      </c>
      <c r="R147" s="751"/>
      <c r="S147" s="748">
        <v>166997</v>
      </c>
      <c r="T147" s="752">
        <v>5029</v>
      </c>
      <c r="U147" s="752">
        <v>172026</v>
      </c>
    </row>
    <row r="148" spans="1:21" x14ac:dyDescent="0.25">
      <c r="A148" s="754">
        <v>33600</v>
      </c>
      <c r="B148" s="747" t="s">
        <v>928</v>
      </c>
      <c r="C148" s="750">
        <v>1.0969400000000001E-2</v>
      </c>
      <c r="D148" s="750">
        <v>1.0871499999999999E-2</v>
      </c>
      <c r="E148" s="748">
        <v>99920315</v>
      </c>
      <c r="F148" s="751">
        <v>87036057</v>
      </c>
      <c r="G148" s="748">
        <f>VLOOKUP(A148,'[3]TSERS Contributions FY 2017'!$A$2:$C$290,3,FALSE)</f>
        <v>14965571</v>
      </c>
      <c r="H148" s="751"/>
      <c r="I148" s="748">
        <v>1886781</v>
      </c>
      <c r="J148" s="748">
        <v>41498085</v>
      </c>
      <c r="K148" s="748">
        <v>13750384</v>
      </c>
      <c r="L148" s="751">
        <v>683033</v>
      </c>
      <c r="M148" s="751"/>
      <c r="N148" s="748">
        <v>2847404</v>
      </c>
      <c r="O148" s="748">
        <v>29719154</v>
      </c>
      <c r="P148" s="748">
        <v>0</v>
      </c>
      <c r="Q148" s="751">
        <v>392093</v>
      </c>
      <c r="R148" s="751"/>
      <c r="S148" s="748">
        <v>23455341</v>
      </c>
      <c r="T148" s="752">
        <v>46873</v>
      </c>
      <c r="U148" s="752">
        <v>23502215</v>
      </c>
    </row>
    <row r="149" spans="1:21" x14ac:dyDescent="0.25">
      <c r="A149" s="749">
        <v>33605</v>
      </c>
      <c r="B149" s="747" t="s">
        <v>929</v>
      </c>
      <c r="C149" s="750">
        <v>1.4507999999999999E-3</v>
      </c>
      <c r="D149" s="750">
        <v>1.4801E-3</v>
      </c>
      <c r="E149" s="748">
        <v>13603648</v>
      </c>
      <c r="F149" s="751">
        <v>11511287</v>
      </c>
      <c r="G149" s="748">
        <f>VLOOKUP(A149,'[3]TSERS Contributions FY 2017'!$A$2:$C$290,3,FALSE)</f>
        <v>2299487</v>
      </c>
      <c r="H149" s="751"/>
      <c r="I149" s="748">
        <v>249543</v>
      </c>
      <c r="J149" s="748">
        <v>5488488</v>
      </c>
      <c r="K149" s="748">
        <v>1818610</v>
      </c>
      <c r="L149" s="751">
        <v>166424</v>
      </c>
      <c r="M149" s="751"/>
      <c r="N149" s="748">
        <v>376594</v>
      </c>
      <c r="O149" s="748">
        <v>3930621</v>
      </c>
      <c r="P149" s="748">
        <v>0</v>
      </c>
      <c r="Q149" s="751">
        <v>0</v>
      </c>
      <c r="R149" s="751"/>
      <c r="S149" s="748">
        <v>3102176</v>
      </c>
      <c r="T149" s="752">
        <v>83936</v>
      </c>
      <c r="U149" s="752">
        <v>3186112</v>
      </c>
    </row>
    <row r="150" spans="1:21" x14ac:dyDescent="0.25">
      <c r="A150" s="749">
        <v>33700</v>
      </c>
      <c r="B150" s="747" t="s">
        <v>930</v>
      </c>
      <c r="C150" s="750">
        <v>7.5849999999999995E-4</v>
      </c>
      <c r="D150" s="750">
        <v>7.9049999999999997E-4</v>
      </c>
      <c r="E150" s="748">
        <v>7265512</v>
      </c>
      <c r="F150" s="751">
        <v>6018273</v>
      </c>
      <c r="G150" s="748">
        <f>VLOOKUP(A150,'[3]TSERS Contributions FY 2017'!$A$2:$C$290,3,FALSE)</f>
        <v>1080814</v>
      </c>
      <c r="H150" s="751"/>
      <c r="I150" s="748">
        <v>130465</v>
      </c>
      <c r="J150" s="748">
        <v>2869464</v>
      </c>
      <c r="K150" s="748">
        <v>950796</v>
      </c>
      <c r="L150" s="751">
        <v>14450</v>
      </c>
      <c r="M150" s="751"/>
      <c r="N150" s="748">
        <v>196889</v>
      </c>
      <c r="O150" s="748">
        <v>2054987</v>
      </c>
      <c r="P150" s="748">
        <v>0</v>
      </c>
      <c r="Q150" s="751">
        <v>226720</v>
      </c>
      <c r="R150" s="751"/>
      <c r="S150" s="748">
        <v>1621864</v>
      </c>
      <c r="T150" s="752">
        <v>-68290</v>
      </c>
      <c r="U150" s="752">
        <v>1553574</v>
      </c>
    </row>
    <row r="151" spans="1:21" x14ac:dyDescent="0.25">
      <c r="A151" s="749">
        <v>33800</v>
      </c>
      <c r="B151" s="747" t="s">
        <v>931</v>
      </c>
      <c r="C151" s="750">
        <v>5.8359999999999998E-4</v>
      </c>
      <c r="D151" s="750">
        <v>5.8219999999999995E-4</v>
      </c>
      <c r="E151" s="748">
        <v>5351019</v>
      </c>
      <c r="F151" s="751">
        <v>4630540</v>
      </c>
      <c r="G151" s="748">
        <f>VLOOKUP(A151,'[3]TSERS Contributions FY 2017'!$A$2:$C$290,3,FALSE)</f>
        <v>816941</v>
      </c>
      <c r="H151" s="751"/>
      <c r="I151" s="748">
        <v>100382</v>
      </c>
      <c r="J151" s="748">
        <v>2207804</v>
      </c>
      <c r="K151" s="748">
        <v>731555</v>
      </c>
      <c r="L151" s="751">
        <v>43440</v>
      </c>
      <c r="M151" s="751"/>
      <c r="N151" s="748">
        <v>151489</v>
      </c>
      <c r="O151" s="748">
        <v>1581135</v>
      </c>
      <c r="P151" s="748">
        <v>0</v>
      </c>
      <c r="Q151" s="751">
        <v>18602</v>
      </c>
      <c r="R151" s="751"/>
      <c r="S151" s="748">
        <v>1247884</v>
      </c>
      <c r="T151" s="752">
        <v>10609</v>
      </c>
      <c r="U151" s="752">
        <v>1258493</v>
      </c>
    </row>
    <row r="152" spans="1:21" x14ac:dyDescent="0.25">
      <c r="A152" s="749">
        <v>33900</v>
      </c>
      <c r="B152" s="747" t="s">
        <v>932</v>
      </c>
      <c r="C152" s="750">
        <v>2.9142999999999999E-3</v>
      </c>
      <c r="D152" s="750">
        <v>3.0546000000000002E-3</v>
      </c>
      <c r="E152" s="748">
        <v>28074929</v>
      </c>
      <c r="F152" s="751">
        <v>23123341</v>
      </c>
      <c r="G152" s="748">
        <f>VLOOKUP(A152,'[3]TSERS Contributions FY 2017'!$A$2:$C$290,3,FALSE)</f>
        <v>4215172</v>
      </c>
      <c r="H152" s="751"/>
      <c r="I152" s="748">
        <v>501271</v>
      </c>
      <c r="J152" s="748">
        <v>11025021</v>
      </c>
      <c r="K152" s="748">
        <v>3653139</v>
      </c>
      <c r="L152" s="751">
        <v>163761</v>
      </c>
      <c r="M152" s="751"/>
      <c r="N152" s="748">
        <v>756485</v>
      </c>
      <c r="O152" s="748">
        <v>7895649</v>
      </c>
      <c r="P152" s="748">
        <v>0</v>
      </c>
      <c r="Q152" s="751">
        <v>692160</v>
      </c>
      <c r="R152" s="751"/>
      <c r="S152" s="748">
        <v>6231508</v>
      </c>
      <c r="T152" s="752">
        <v>-250325</v>
      </c>
      <c r="U152" s="752">
        <v>5981183</v>
      </c>
    </row>
    <row r="153" spans="1:21" x14ac:dyDescent="0.25">
      <c r="A153" s="749">
        <v>34000</v>
      </c>
      <c r="B153" s="747" t="s">
        <v>933</v>
      </c>
      <c r="C153" s="750">
        <v>1.3129999999999999E-3</v>
      </c>
      <c r="D153" s="750">
        <v>1.3045000000000001E-3</v>
      </c>
      <c r="E153" s="748">
        <v>11989703</v>
      </c>
      <c r="F153" s="751">
        <v>10417921</v>
      </c>
      <c r="G153" s="748">
        <f>VLOOKUP(A153,'[3]TSERS Contributions FY 2017'!$A$2:$C$290,3,FALSE)</f>
        <v>1774936</v>
      </c>
      <c r="H153" s="751"/>
      <c r="I153" s="748">
        <v>225841</v>
      </c>
      <c r="J153" s="748">
        <v>4967180</v>
      </c>
      <c r="K153" s="748">
        <v>1645874</v>
      </c>
      <c r="L153" s="751">
        <v>0</v>
      </c>
      <c r="M153" s="751"/>
      <c r="N153" s="748">
        <v>340825</v>
      </c>
      <c r="O153" s="748">
        <v>3557282</v>
      </c>
      <c r="P153" s="748">
        <v>0</v>
      </c>
      <c r="Q153" s="751">
        <v>326466</v>
      </c>
      <c r="R153" s="751"/>
      <c r="S153" s="748">
        <v>2807525</v>
      </c>
      <c r="T153" s="752">
        <v>-191244</v>
      </c>
      <c r="U153" s="752">
        <v>2616281</v>
      </c>
    </row>
    <row r="154" spans="1:21" x14ac:dyDescent="0.25">
      <c r="A154" s="749">
        <v>34100</v>
      </c>
      <c r="B154" s="747" t="s">
        <v>934</v>
      </c>
      <c r="C154" s="750">
        <v>2.94278E-2</v>
      </c>
      <c r="D154" s="750">
        <v>2.9814299999999998E-2</v>
      </c>
      <c r="E154" s="748">
        <v>274024215</v>
      </c>
      <c r="F154" s="751">
        <v>233493143</v>
      </c>
      <c r="G154" s="748">
        <f>VLOOKUP(A154,'[3]TSERS Contributions FY 2017'!$A$2:$C$290,3,FALSE)</f>
        <v>39704334</v>
      </c>
      <c r="H154" s="751"/>
      <c r="I154" s="748">
        <v>5061699</v>
      </c>
      <c r="J154" s="748">
        <v>111327633</v>
      </c>
      <c r="K154" s="748">
        <v>36888395</v>
      </c>
      <c r="L154" s="751">
        <v>152410</v>
      </c>
      <c r="M154" s="751"/>
      <c r="N154" s="748">
        <v>7638780</v>
      </c>
      <c r="O154" s="748">
        <v>79728091</v>
      </c>
      <c r="P154" s="748">
        <v>0</v>
      </c>
      <c r="Q154" s="751">
        <v>7205310</v>
      </c>
      <c r="R154" s="751"/>
      <c r="S154" s="748">
        <v>62924052</v>
      </c>
      <c r="T154" s="752">
        <v>-2659808</v>
      </c>
      <c r="U154" s="752">
        <v>60264244</v>
      </c>
    </row>
    <row r="155" spans="1:21" x14ac:dyDescent="0.25">
      <c r="A155" s="749">
        <v>34105</v>
      </c>
      <c r="B155" s="747" t="s">
        <v>935</v>
      </c>
      <c r="C155" s="750">
        <v>2.5642999999999998E-3</v>
      </c>
      <c r="D155" s="750">
        <v>2.5124000000000001E-3</v>
      </c>
      <c r="E155" s="748">
        <v>23091551</v>
      </c>
      <c r="F155" s="751">
        <v>20346287</v>
      </c>
      <c r="G155" s="748">
        <f>VLOOKUP(A155,'[3]TSERS Contributions FY 2017'!$A$2:$C$290,3,FALSE)</f>
        <v>3859870</v>
      </c>
      <c r="H155" s="751"/>
      <c r="I155" s="748">
        <v>441070</v>
      </c>
      <c r="J155" s="748">
        <v>9700944</v>
      </c>
      <c r="K155" s="748">
        <v>3214406</v>
      </c>
      <c r="L155" s="751">
        <v>328044</v>
      </c>
      <c r="M155" s="751"/>
      <c r="N155" s="748">
        <v>665633</v>
      </c>
      <c r="O155" s="748">
        <v>6947402</v>
      </c>
      <c r="P155" s="748">
        <v>0</v>
      </c>
      <c r="Q155" s="751">
        <v>370843</v>
      </c>
      <c r="R155" s="751"/>
      <c r="S155" s="748">
        <v>5483120</v>
      </c>
      <c r="T155" s="752">
        <v>-62710</v>
      </c>
      <c r="U155" s="752">
        <v>5420409</v>
      </c>
    </row>
    <row r="156" spans="1:21" x14ac:dyDescent="0.25">
      <c r="A156" s="749">
        <v>34200</v>
      </c>
      <c r="B156" s="747" t="s">
        <v>936</v>
      </c>
      <c r="C156" s="750">
        <v>9.6480000000000003E-4</v>
      </c>
      <c r="D156" s="750">
        <v>1.1073999999999999E-3</v>
      </c>
      <c r="E156" s="748">
        <v>10178150</v>
      </c>
      <c r="F156" s="751">
        <v>7655149</v>
      </c>
      <c r="G156" s="748">
        <f>VLOOKUP(A156,'[3]TSERS Contributions FY 2017'!$A$2:$C$290,3,FALSE)</f>
        <v>1482102</v>
      </c>
      <c r="H156" s="751"/>
      <c r="I156" s="748">
        <v>165949</v>
      </c>
      <c r="J156" s="748">
        <v>3649913</v>
      </c>
      <c r="K156" s="748">
        <v>1209398</v>
      </c>
      <c r="L156" s="751">
        <v>0</v>
      </c>
      <c r="M156" s="751"/>
      <c r="N156" s="748">
        <v>250440</v>
      </c>
      <c r="O156" s="748">
        <v>2613911</v>
      </c>
      <c r="P156" s="748">
        <v>0</v>
      </c>
      <c r="Q156" s="751">
        <v>1345248</v>
      </c>
      <c r="R156" s="751"/>
      <c r="S156" s="748">
        <v>2062986</v>
      </c>
      <c r="T156" s="752">
        <v>-634505</v>
      </c>
      <c r="U156" s="752">
        <v>1428481</v>
      </c>
    </row>
    <row r="157" spans="1:21" x14ac:dyDescent="0.25">
      <c r="A157" s="749">
        <v>34205</v>
      </c>
      <c r="B157" s="747" t="s">
        <v>937</v>
      </c>
      <c r="C157" s="750">
        <v>4.6109999999999999E-4</v>
      </c>
      <c r="D157" s="750">
        <v>4.4920000000000002E-4</v>
      </c>
      <c r="E157" s="748">
        <v>4128612</v>
      </c>
      <c r="F157" s="751">
        <v>3658571</v>
      </c>
      <c r="G157" s="748">
        <f>VLOOKUP(A157,'[3]TSERS Contributions FY 2017'!$A$2:$C$290,3,FALSE)</f>
        <v>727583</v>
      </c>
      <c r="H157" s="751"/>
      <c r="I157" s="748">
        <v>79311</v>
      </c>
      <c r="J157" s="748">
        <v>1744377</v>
      </c>
      <c r="K157" s="748">
        <v>577999</v>
      </c>
      <c r="L157" s="751">
        <v>93741</v>
      </c>
      <c r="M157" s="751"/>
      <c r="N157" s="748">
        <v>119691</v>
      </c>
      <c r="O157" s="748">
        <v>1249248</v>
      </c>
      <c r="P157" s="748">
        <v>0</v>
      </c>
      <c r="Q157" s="751">
        <v>76041</v>
      </c>
      <c r="R157" s="751"/>
      <c r="S157" s="748">
        <v>985948</v>
      </c>
      <c r="T157" s="752">
        <v>-6558</v>
      </c>
      <c r="U157" s="752">
        <v>979390</v>
      </c>
    </row>
    <row r="158" spans="1:21" x14ac:dyDescent="0.25">
      <c r="A158" s="749">
        <v>34220</v>
      </c>
      <c r="B158" s="747" t="s">
        <v>938</v>
      </c>
      <c r="C158" s="750">
        <v>1.0878000000000001E-3</v>
      </c>
      <c r="D158" s="750">
        <v>1.0677E-3</v>
      </c>
      <c r="E158" s="748">
        <v>9813266</v>
      </c>
      <c r="F158" s="751">
        <v>8631085</v>
      </c>
      <c r="G158" s="748">
        <f>VLOOKUP(A158,'[3]TSERS Contributions FY 2017'!$A$2:$C$290,3,FALSE)</f>
        <v>1615026</v>
      </c>
      <c r="H158" s="751"/>
      <c r="I158" s="748">
        <v>187106</v>
      </c>
      <c r="J158" s="748">
        <v>4115231</v>
      </c>
      <c r="K158" s="748">
        <v>1363581</v>
      </c>
      <c r="L158" s="751">
        <v>174023</v>
      </c>
      <c r="M158" s="751"/>
      <c r="N158" s="748">
        <v>282368</v>
      </c>
      <c r="O158" s="748">
        <v>2947153</v>
      </c>
      <c r="P158" s="748">
        <v>0</v>
      </c>
      <c r="Q158" s="751">
        <v>5416</v>
      </c>
      <c r="R158" s="751"/>
      <c r="S158" s="748">
        <v>2325991</v>
      </c>
      <c r="T158" s="752">
        <v>57300</v>
      </c>
      <c r="U158" s="752">
        <v>2383290</v>
      </c>
    </row>
    <row r="159" spans="1:21" x14ac:dyDescent="0.25">
      <c r="A159" s="749">
        <v>34230</v>
      </c>
      <c r="B159" s="747" t="s">
        <v>939</v>
      </c>
      <c r="C159" s="750">
        <v>4.3560000000000002E-4</v>
      </c>
      <c r="D159" s="750">
        <v>4.9019999999999999E-4</v>
      </c>
      <c r="E159" s="748">
        <v>4505444</v>
      </c>
      <c r="F159" s="751">
        <v>3456242</v>
      </c>
      <c r="G159" s="748">
        <f>VLOOKUP(A159,'[3]TSERS Contributions FY 2017'!$A$2:$C$290,3,FALSE)</f>
        <v>629956</v>
      </c>
      <c r="H159" s="751"/>
      <c r="I159" s="748">
        <v>74925</v>
      </c>
      <c r="J159" s="748">
        <v>1647908</v>
      </c>
      <c r="K159" s="748">
        <v>546034</v>
      </c>
      <c r="L159" s="751">
        <v>525</v>
      </c>
      <c r="M159" s="751"/>
      <c r="N159" s="748">
        <v>113072</v>
      </c>
      <c r="O159" s="748">
        <v>1180161</v>
      </c>
      <c r="P159" s="748">
        <v>0</v>
      </c>
      <c r="Q159" s="751">
        <v>225084</v>
      </c>
      <c r="R159" s="751"/>
      <c r="S159" s="748">
        <v>931423</v>
      </c>
      <c r="T159" s="752">
        <v>-77169</v>
      </c>
      <c r="U159" s="752">
        <v>854254</v>
      </c>
    </row>
    <row r="160" spans="1:21" x14ac:dyDescent="0.25">
      <c r="A160" s="749">
        <v>34300</v>
      </c>
      <c r="B160" s="747" t="s">
        <v>940</v>
      </c>
      <c r="C160" s="750">
        <v>7.1383000000000002E-3</v>
      </c>
      <c r="D160" s="750">
        <v>7.0816000000000004E-3</v>
      </c>
      <c r="E160" s="748">
        <v>65087219</v>
      </c>
      <c r="F160" s="751">
        <v>56638420</v>
      </c>
      <c r="G160" s="748">
        <f>VLOOKUP(A160,'[3]TSERS Contributions FY 2017'!$A$2:$C$290,3,FALSE)</f>
        <v>9548802</v>
      </c>
      <c r="H160" s="751"/>
      <c r="I160" s="748">
        <v>1227816</v>
      </c>
      <c r="J160" s="748">
        <v>27004739</v>
      </c>
      <c r="K160" s="748">
        <v>8948016</v>
      </c>
      <c r="L160" s="751">
        <v>339778</v>
      </c>
      <c r="M160" s="751"/>
      <c r="N160" s="748">
        <v>1852938</v>
      </c>
      <c r="O160" s="748">
        <v>19339639</v>
      </c>
      <c r="P160" s="748">
        <v>0</v>
      </c>
      <c r="Q160" s="751">
        <v>1295207</v>
      </c>
      <c r="R160" s="751"/>
      <c r="S160" s="748">
        <v>15263484</v>
      </c>
      <c r="T160" s="752">
        <v>-222710</v>
      </c>
      <c r="U160" s="752">
        <v>15040774</v>
      </c>
    </row>
    <row r="161" spans="1:21" x14ac:dyDescent="0.25">
      <c r="A161" s="749">
        <v>34400</v>
      </c>
      <c r="B161" s="747" t="s">
        <v>941</v>
      </c>
      <c r="C161" s="750">
        <v>2.8241999999999998E-3</v>
      </c>
      <c r="D161" s="750">
        <v>2.9927E-3</v>
      </c>
      <c r="E161" s="748">
        <v>27506004</v>
      </c>
      <c r="F161" s="751">
        <v>22408448</v>
      </c>
      <c r="G161" s="748">
        <f>VLOOKUP(A161,'[3]TSERS Contributions FY 2017'!$A$2:$C$290,3,FALSE)</f>
        <v>3864608</v>
      </c>
      <c r="H161" s="751"/>
      <c r="I161" s="748">
        <v>485774</v>
      </c>
      <c r="J161" s="748">
        <v>10684166</v>
      </c>
      <c r="K161" s="748">
        <v>3540197</v>
      </c>
      <c r="L161" s="751">
        <v>52246</v>
      </c>
      <c r="M161" s="751"/>
      <c r="N161" s="748">
        <v>733097</v>
      </c>
      <c r="O161" s="748">
        <v>7651543</v>
      </c>
      <c r="P161" s="748">
        <v>0</v>
      </c>
      <c r="Q161" s="751">
        <v>926692</v>
      </c>
      <c r="R161" s="751"/>
      <c r="S161" s="748">
        <v>6038851</v>
      </c>
      <c r="T161" s="752">
        <v>-323866</v>
      </c>
      <c r="U161" s="752">
        <v>5714986</v>
      </c>
    </row>
    <row r="162" spans="1:21" x14ac:dyDescent="0.25">
      <c r="A162" s="749">
        <v>34405</v>
      </c>
      <c r="B162" s="747" t="s">
        <v>942</v>
      </c>
      <c r="C162" s="750">
        <v>5.6530000000000003E-4</v>
      </c>
      <c r="D162" s="750">
        <v>5.9949999999999999E-4</v>
      </c>
      <c r="E162" s="748">
        <v>5510024</v>
      </c>
      <c r="F162" s="751">
        <v>4485339</v>
      </c>
      <c r="G162" s="748">
        <f>VLOOKUP(A162,'[3]TSERS Contributions FY 2017'!$A$2:$C$290,3,FALSE)</f>
        <v>820413</v>
      </c>
      <c r="H162" s="751"/>
      <c r="I162" s="748">
        <v>97234</v>
      </c>
      <c r="J162" s="748">
        <v>2138573</v>
      </c>
      <c r="K162" s="748">
        <v>708616</v>
      </c>
      <c r="L162" s="751">
        <v>3818</v>
      </c>
      <c r="M162" s="751"/>
      <c r="N162" s="748">
        <v>146739</v>
      </c>
      <c r="O162" s="748">
        <v>1531555</v>
      </c>
      <c r="P162" s="748">
        <v>0</v>
      </c>
      <c r="Q162" s="751">
        <v>217532</v>
      </c>
      <c r="R162" s="751"/>
      <c r="S162" s="748">
        <v>1208754</v>
      </c>
      <c r="T162" s="752">
        <v>-86149</v>
      </c>
      <c r="U162" s="752">
        <v>1122605</v>
      </c>
    </row>
    <row r="163" spans="1:21" x14ac:dyDescent="0.25">
      <c r="A163" s="749">
        <v>34500</v>
      </c>
      <c r="B163" s="747" t="s">
        <v>943</v>
      </c>
      <c r="C163" s="750">
        <v>5.0848000000000004E-3</v>
      </c>
      <c r="D163" s="750">
        <v>5.1397999999999999E-3</v>
      </c>
      <c r="E163" s="748">
        <v>47240071</v>
      </c>
      <c r="F163" s="751">
        <v>40345046</v>
      </c>
      <c r="G163" s="748">
        <f>VLOOKUP(A163,'[3]TSERS Contributions FY 2017'!$A$2:$C$290,3,FALSE)</f>
        <v>6998083</v>
      </c>
      <c r="H163" s="751"/>
      <c r="I163" s="748">
        <v>874606</v>
      </c>
      <c r="J163" s="748">
        <v>19236190</v>
      </c>
      <c r="K163" s="748">
        <v>6373909</v>
      </c>
      <c r="L163" s="751">
        <v>263505</v>
      </c>
      <c r="M163" s="751"/>
      <c r="N163" s="748">
        <v>1319897</v>
      </c>
      <c r="O163" s="748">
        <v>13776137</v>
      </c>
      <c r="P163" s="748">
        <v>0</v>
      </c>
      <c r="Q163" s="751">
        <v>478708</v>
      </c>
      <c r="R163" s="751"/>
      <c r="S163" s="748">
        <v>10872584</v>
      </c>
      <c r="T163" s="752">
        <v>-77099</v>
      </c>
      <c r="U163" s="752">
        <v>10795485</v>
      </c>
    </row>
    <row r="164" spans="1:21" x14ac:dyDescent="0.25">
      <c r="A164" s="749">
        <v>34501</v>
      </c>
      <c r="B164" s="747" t="s">
        <v>944</v>
      </c>
      <c r="C164" s="750">
        <v>6.1799999999999998E-5</v>
      </c>
      <c r="D164" s="750">
        <v>6.19E-5</v>
      </c>
      <c r="E164" s="748">
        <v>568925</v>
      </c>
      <c r="F164" s="751">
        <v>490348</v>
      </c>
      <c r="G164" s="748">
        <f>VLOOKUP(A164,'[3]TSERS Contributions FY 2017'!$A$2:$C$290,3,FALSE)</f>
        <v>80344</v>
      </c>
      <c r="H164" s="751"/>
      <c r="I164" s="748">
        <v>10630</v>
      </c>
      <c r="J164" s="748">
        <v>233794</v>
      </c>
      <c r="K164" s="748">
        <v>77468</v>
      </c>
      <c r="L164" s="751">
        <v>7597</v>
      </c>
      <c r="M164" s="751"/>
      <c r="N164" s="748">
        <v>16042</v>
      </c>
      <c r="O164" s="748">
        <v>167433</v>
      </c>
      <c r="P164" s="748">
        <v>0</v>
      </c>
      <c r="Q164" s="751">
        <v>11982</v>
      </c>
      <c r="R164" s="751"/>
      <c r="S164" s="748">
        <v>132144</v>
      </c>
      <c r="T164" s="752">
        <v>371</v>
      </c>
      <c r="U164" s="752">
        <v>132515</v>
      </c>
    </row>
    <row r="165" spans="1:21" x14ac:dyDescent="0.25">
      <c r="A165" s="749">
        <v>34505</v>
      </c>
      <c r="B165" s="747" t="s">
        <v>945</v>
      </c>
      <c r="C165" s="750">
        <v>6.6370000000000003E-4</v>
      </c>
      <c r="D165" s="750">
        <v>6.3159999999999996E-4</v>
      </c>
      <c r="E165" s="748">
        <v>5805056</v>
      </c>
      <c r="F165" s="751">
        <v>5266088</v>
      </c>
      <c r="G165" s="748">
        <f>VLOOKUP(A165,'[3]TSERS Contributions FY 2017'!$A$2:$C$290,3,FALSE)</f>
        <v>1032685</v>
      </c>
      <c r="H165" s="751"/>
      <c r="I165" s="748">
        <v>114159</v>
      </c>
      <c r="J165" s="748">
        <v>2510828</v>
      </c>
      <c r="K165" s="748">
        <v>831963</v>
      </c>
      <c r="L165" s="751">
        <v>312315</v>
      </c>
      <c r="M165" s="751"/>
      <c r="N165" s="748">
        <v>172281</v>
      </c>
      <c r="O165" s="748">
        <v>1798148</v>
      </c>
      <c r="P165" s="748">
        <v>0</v>
      </c>
      <c r="Q165" s="751">
        <v>14469</v>
      </c>
      <c r="R165" s="751"/>
      <c r="S165" s="748">
        <v>1419158</v>
      </c>
      <c r="T165" s="752">
        <v>135550</v>
      </c>
      <c r="U165" s="752">
        <v>1554707</v>
      </c>
    </row>
    <row r="166" spans="1:21" x14ac:dyDescent="0.25">
      <c r="A166" s="749">
        <v>34600</v>
      </c>
      <c r="B166" s="747" t="s">
        <v>946</v>
      </c>
      <c r="C166" s="750">
        <v>1.2166E-3</v>
      </c>
      <c r="D166" s="750">
        <v>1.2158E-3</v>
      </c>
      <c r="E166" s="748">
        <v>11174458</v>
      </c>
      <c r="F166" s="751">
        <v>9653041</v>
      </c>
      <c r="G166" s="748">
        <f>VLOOKUP(A166,'[3]TSERS Contributions FY 2017'!$A$2:$C$290,3,FALSE)</f>
        <v>1781311</v>
      </c>
      <c r="H166" s="751"/>
      <c r="I166" s="748">
        <v>209260</v>
      </c>
      <c r="J166" s="748">
        <v>4602491</v>
      </c>
      <c r="K166" s="748">
        <v>1525035</v>
      </c>
      <c r="L166" s="751">
        <v>28972</v>
      </c>
      <c r="M166" s="751"/>
      <c r="N166" s="748">
        <v>315801</v>
      </c>
      <c r="O166" s="748">
        <v>3296108</v>
      </c>
      <c r="P166" s="748">
        <v>0</v>
      </c>
      <c r="Q166" s="751">
        <v>142575</v>
      </c>
      <c r="R166" s="751"/>
      <c r="S166" s="748">
        <v>2601397</v>
      </c>
      <c r="T166" s="752">
        <v>-96032</v>
      </c>
      <c r="U166" s="752">
        <v>2505365</v>
      </c>
    </row>
    <row r="167" spans="1:21" x14ac:dyDescent="0.25">
      <c r="A167" s="749">
        <v>34605</v>
      </c>
      <c r="B167" s="747" t="s">
        <v>947</v>
      </c>
      <c r="C167" s="750">
        <v>2.5179999999999999E-4</v>
      </c>
      <c r="D167" s="750">
        <v>2.766E-4</v>
      </c>
      <c r="E167" s="748">
        <v>2542240</v>
      </c>
      <c r="F167" s="751">
        <v>1997892</v>
      </c>
      <c r="G167" s="748">
        <f>VLOOKUP(A167,'[3]TSERS Contributions FY 2017'!$A$2:$C$290,3,FALSE)</f>
        <v>382102</v>
      </c>
      <c r="H167" s="751"/>
      <c r="I167" s="748">
        <v>43311</v>
      </c>
      <c r="J167" s="748">
        <v>952579</v>
      </c>
      <c r="K167" s="748">
        <v>315637</v>
      </c>
      <c r="L167" s="751">
        <v>35103</v>
      </c>
      <c r="M167" s="751"/>
      <c r="N167" s="748">
        <v>65361</v>
      </c>
      <c r="O167" s="748">
        <v>682196</v>
      </c>
      <c r="P167" s="748">
        <v>0</v>
      </c>
      <c r="Q167" s="751">
        <v>92438</v>
      </c>
      <c r="R167" s="751"/>
      <c r="S167" s="748">
        <v>538412</v>
      </c>
      <c r="T167" s="752">
        <v>-16999</v>
      </c>
      <c r="U167" s="752">
        <v>521413</v>
      </c>
    </row>
    <row r="168" spans="1:21" x14ac:dyDescent="0.25">
      <c r="A168" s="749">
        <v>34700</v>
      </c>
      <c r="B168" s="747" t="s">
        <v>948</v>
      </c>
      <c r="C168" s="750">
        <v>3.3004000000000002E-3</v>
      </c>
      <c r="D168" s="750">
        <v>3.3E-3</v>
      </c>
      <c r="E168" s="748">
        <v>30330409</v>
      </c>
      <c r="F168" s="751">
        <v>26186829</v>
      </c>
      <c r="G168" s="748">
        <f>VLOOKUP(A168,'[3]TSERS Contributions FY 2017'!$A$2:$C$290,3,FALSE)</f>
        <v>4239854</v>
      </c>
      <c r="H168" s="751"/>
      <c r="I168" s="748">
        <v>567682</v>
      </c>
      <c r="J168" s="748">
        <v>12485667</v>
      </c>
      <c r="K168" s="748">
        <v>4137124</v>
      </c>
      <c r="L168" s="751">
        <v>120081</v>
      </c>
      <c r="M168" s="751"/>
      <c r="N168" s="748">
        <v>856708</v>
      </c>
      <c r="O168" s="748">
        <v>8941701</v>
      </c>
      <c r="P168" s="748">
        <v>0</v>
      </c>
      <c r="Q168" s="751">
        <v>689061</v>
      </c>
      <c r="R168" s="751"/>
      <c r="S168" s="748">
        <v>7057087</v>
      </c>
      <c r="T168" s="752">
        <v>-157285</v>
      </c>
      <c r="U168" s="752">
        <v>6899801</v>
      </c>
    </row>
    <row r="169" spans="1:21" x14ac:dyDescent="0.25">
      <c r="A169" s="749">
        <v>34800</v>
      </c>
      <c r="B169" s="747" t="s">
        <v>949</v>
      </c>
      <c r="C169" s="750">
        <v>3.7389999999999998E-4</v>
      </c>
      <c r="D169" s="750">
        <v>3.6390000000000001E-4</v>
      </c>
      <c r="E169" s="748">
        <v>3344617</v>
      </c>
      <c r="F169" s="751">
        <v>2966687</v>
      </c>
      <c r="G169" s="748">
        <f>VLOOKUP(A169,'[3]TSERS Contributions FY 2017'!$A$2:$C$290,3,FALSE)</f>
        <v>572772</v>
      </c>
      <c r="H169" s="751"/>
      <c r="I169" s="748">
        <v>64312</v>
      </c>
      <c r="J169" s="748">
        <v>1414492</v>
      </c>
      <c r="K169" s="748">
        <v>468692</v>
      </c>
      <c r="L169" s="751">
        <v>194072</v>
      </c>
      <c r="M169" s="751"/>
      <c r="N169" s="748">
        <v>97056</v>
      </c>
      <c r="O169" s="748">
        <v>1012999</v>
      </c>
      <c r="P169" s="748">
        <v>0</v>
      </c>
      <c r="Q169" s="751">
        <v>15786</v>
      </c>
      <c r="R169" s="751"/>
      <c r="S169" s="748">
        <v>799492</v>
      </c>
      <c r="T169" s="752">
        <v>74972</v>
      </c>
      <c r="U169" s="752">
        <v>874464</v>
      </c>
    </row>
    <row r="170" spans="1:21" x14ac:dyDescent="0.25">
      <c r="A170" s="749">
        <v>34900</v>
      </c>
      <c r="B170" s="747" t="s">
        <v>950</v>
      </c>
      <c r="C170" s="750">
        <v>7.332E-3</v>
      </c>
      <c r="D170" s="750">
        <v>7.3692000000000002E-3</v>
      </c>
      <c r="E170" s="748">
        <v>67730560</v>
      </c>
      <c r="F170" s="751">
        <v>58175321</v>
      </c>
      <c r="G170" s="748">
        <f>VLOOKUP(A170,'[3]TSERS Contributions FY 2017'!$A$2:$C$290,3,FALSE)</f>
        <v>10227939</v>
      </c>
      <c r="H170" s="751"/>
      <c r="I170" s="748">
        <v>1261133</v>
      </c>
      <c r="J170" s="748">
        <v>27737521</v>
      </c>
      <c r="K170" s="748">
        <v>9190823</v>
      </c>
      <c r="L170" s="751">
        <v>0</v>
      </c>
      <c r="M170" s="751"/>
      <c r="N170" s="748">
        <v>1903219</v>
      </c>
      <c r="O170" s="748">
        <v>19864426</v>
      </c>
      <c r="P170" s="748">
        <v>0</v>
      </c>
      <c r="Q170" s="751">
        <v>1403472</v>
      </c>
      <c r="R170" s="751"/>
      <c r="S170" s="748">
        <v>15677664</v>
      </c>
      <c r="T170" s="752">
        <v>-791381</v>
      </c>
      <c r="U170" s="752">
        <v>14886282</v>
      </c>
    </row>
    <row r="171" spans="1:21" x14ac:dyDescent="0.25">
      <c r="A171" s="749">
        <v>34901</v>
      </c>
      <c r="B171" s="747" t="s">
        <v>951</v>
      </c>
      <c r="C171" s="750">
        <v>1.797E-4</v>
      </c>
      <c r="D171" s="750">
        <v>1.8909999999999999E-4</v>
      </c>
      <c r="E171" s="748">
        <v>1738024</v>
      </c>
      <c r="F171" s="751">
        <v>1425819</v>
      </c>
      <c r="G171" s="748">
        <f>VLOOKUP(A171,'[3]TSERS Contributions FY 2017'!$A$2:$C$290,3,FALSE)</f>
        <v>219076</v>
      </c>
      <c r="H171" s="751"/>
      <c r="I171" s="748">
        <v>30909</v>
      </c>
      <c r="J171" s="748">
        <v>679819</v>
      </c>
      <c r="K171" s="748">
        <v>225258</v>
      </c>
      <c r="L171" s="751">
        <v>4514</v>
      </c>
      <c r="M171" s="751"/>
      <c r="N171" s="748">
        <v>46646</v>
      </c>
      <c r="O171" s="748">
        <v>486857</v>
      </c>
      <c r="P171" s="748">
        <v>0</v>
      </c>
      <c r="Q171" s="751">
        <v>101907</v>
      </c>
      <c r="R171" s="751"/>
      <c r="S171" s="748">
        <v>384244</v>
      </c>
      <c r="T171" s="752">
        <v>-38566</v>
      </c>
      <c r="U171" s="752">
        <v>345678</v>
      </c>
    </row>
    <row r="172" spans="1:21" x14ac:dyDescent="0.25">
      <c r="A172" s="749">
        <v>34903</v>
      </c>
      <c r="B172" s="747" t="s">
        <v>952</v>
      </c>
      <c r="C172" s="750">
        <v>1.26E-5</v>
      </c>
      <c r="D172" s="750">
        <v>1.34E-5</v>
      </c>
      <c r="E172" s="748">
        <v>123160</v>
      </c>
      <c r="F172" s="751">
        <v>99974</v>
      </c>
      <c r="G172" s="748">
        <f>VLOOKUP(A172,'[3]TSERS Contributions FY 2017'!$A$2:$C$290,3,FALSE)</f>
        <v>25755</v>
      </c>
      <c r="H172" s="751"/>
      <c r="I172" s="748">
        <v>2167</v>
      </c>
      <c r="J172" s="748">
        <v>47667</v>
      </c>
      <c r="K172" s="748">
        <v>15794</v>
      </c>
      <c r="L172" s="751">
        <v>2753</v>
      </c>
      <c r="M172" s="751"/>
      <c r="N172" s="748">
        <v>3271</v>
      </c>
      <c r="O172" s="748">
        <v>34137</v>
      </c>
      <c r="P172" s="748">
        <v>0</v>
      </c>
      <c r="Q172" s="751">
        <v>14472</v>
      </c>
      <c r="R172" s="751"/>
      <c r="S172" s="748">
        <v>26942</v>
      </c>
      <c r="T172" s="752">
        <v>-5866</v>
      </c>
      <c r="U172" s="752">
        <v>21076</v>
      </c>
    </row>
    <row r="173" spans="1:21" x14ac:dyDescent="0.25">
      <c r="A173" s="749">
        <v>34905</v>
      </c>
      <c r="B173" s="747" t="s">
        <v>953</v>
      </c>
      <c r="C173" s="750">
        <v>7.3019999999999997E-4</v>
      </c>
      <c r="D173" s="750">
        <v>7.2610000000000003E-4</v>
      </c>
      <c r="E173" s="748">
        <v>6673609</v>
      </c>
      <c r="F173" s="751">
        <v>5793729</v>
      </c>
      <c r="G173" s="748">
        <f>VLOOKUP(A173,'[3]TSERS Contributions FY 2017'!$A$2:$C$290,3,FALSE)</f>
        <v>1041662</v>
      </c>
      <c r="H173" s="751"/>
      <c r="I173" s="748">
        <v>125597</v>
      </c>
      <c r="J173" s="748">
        <v>2762403</v>
      </c>
      <c r="K173" s="748">
        <v>915322</v>
      </c>
      <c r="L173" s="751">
        <v>30061</v>
      </c>
      <c r="M173" s="751"/>
      <c r="N173" s="748">
        <v>189543</v>
      </c>
      <c r="O173" s="748">
        <v>1978315</v>
      </c>
      <c r="P173" s="748">
        <v>0</v>
      </c>
      <c r="Q173" s="751">
        <v>131675</v>
      </c>
      <c r="R173" s="751"/>
      <c r="S173" s="748">
        <v>1561352</v>
      </c>
      <c r="T173" s="752">
        <v>-39905</v>
      </c>
      <c r="U173" s="752">
        <v>1521447</v>
      </c>
    </row>
    <row r="174" spans="1:21" x14ac:dyDescent="0.25">
      <c r="A174" s="749">
        <v>34910</v>
      </c>
      <c r="B174" s="747" t="s">
        <v>954</v>
      </c>
      <c r="C174" s="750">
        <v>2.2791E-3</v>
      </c>
      <c r="D174" s="750">
        <v>2.3143E-3</v>
      </c>
      <c r="E174" s="748">
        <v>21270808</v>
      </c>
      <c r="F174" s="751">
        <v>18083384</v>
      </c>
      <c r="G174" s="748">
        <f>VLOOKUP(A174,'[3]TSERS Contributions FY 2017'!$A$2:$C$290,3,FALSE)</f>
        <v>3016910</v>
      </c>
      <c r="H174" s="751"/>
      <c r="I174" s="748">
        <v>392014</v>
      </c>
      <c r="J174" s="748">
        <v>8622011</v>
      </c>
      <c r="K174" s="748">
        <v>2856902</v>
      </c>
      <c r="L174" s="751">
        <v>299236</v>
      </c>
      <c r="M174" s="751"/>
      <c r="N174" s="748">
        <v>591602</v>
      </c>
      <c r="O174" s="748">
        <v>6174715</v>
      </c>
      <c r="P174" s="748">
        <v>0</v>
      </c>
      <c r="Q174" s="751">
        <v>323191</v>
      </c>
      <c r="R174" s="751"/>
      <c r="S174" s="748">
        <v>4873290</v>
      </c>
      <c r="T174" s="752">
        <v>63378</v>
      </c>
      <c r="U174" s="752">
        <v>4936668</v>
      </c>
    </row>
    <row r="175" spans="1:21" x14ac:dyDescent="0.25">
      <c r="A175" s="749">
        <v>35000</v>
      </c>
      <c r="B175" s="747" t="s">
        <v>955</v>
      </c>
      <c r="C175" s="750">
        <v>1.5081999999999999E-3</v>
      </c>
      <c r="D175" s="750">
        <v>1.5556999999999999E-3</v>
      </c>
      <c r="E175" s="748">
        <v>14298490</v>
      </c>
      <c r="F175" s="751">
        <v>11966724</v>
      </c>
      <c r="G175" s="748">
        <f>VLOOKUP(A175,'[3]TSERS Contributions FY 2017'!$A$2:$C$290,3,FALSE)</f>
        <v>2042773</v>
      </c>
      <c r="H175" s="751"/>
      <c r="I175" s="748">
        <v>259416</v>
      </c>
      <c r="J175" s="748">
        <v>5705637</v>
      </c>
      <c r="K175" s="748">
        <v>1890562</v>
      </c>
      <c r="L175" s="751">
        <v>145627</v>
      </c>
      <c r="M175" s="751"/>
      <c r="N175" s="748">
        <v>391494</v>
      </c>
      <c r="O175" s="748">
        <v>4086133</v>
      </c>
      <c r="P175" s="748">
        <v>0</v>
      </c>
      <c r="Q175" s="751">
        <v>269760</v>
      </c>
      <c r="R175" s="751"/>
      <c r="S175" s="748">
        <v>3224912</v>
      </c>
      <c r="T175" s="752">
        <v>-8342</v>
      </c>
      <c r="U175" s="752">
        <v>3216569</v>
      </c>
    </row>
    <row r="176" spans="1:21" x14ac:dyDescent="0.25">
      <c r="A176" s="749">
        <v>35005</v>
      </c>
      <c r="B176" s="747" t="s">
        <v>956</v>
      </c>
      <c r="C176" s="750">
        <v>7.0140000000000003E-4</v>
      </c>
      <c r="D176" s="750">
        <v>7.0509999999999995E-4</v>
      </c>
      <c r="E176" s="748">
        <v>6480597</v>
      </c>
      <c r="F176" s="751">
        <v>5565217</v>
      </c>
      <c r="G176" s="748">
        <f>VLOOKUP(A176,'[3]TSERS Contributions FY 2017'!$A$2:$C$290,3,FALSE)</f>
        <v>1031101</v>
      </c>
      <c r="H176" s="751"/>
      <c r="I176" s="748">
        <v>120644</v>
      </c>
      <c r="J176" s="748">
        <v>2653450</v>
      </c>
      <c r="K176" s="748">
        <v>879220</v>
      </c>
      <c r="L176" s="751">
        <v>59502</v>
      </c>
      <c r="M176" s="751"/>
      <c r="N176" s="748">
        <v>182067</v>
      </c>
      <c r="O176" s="748">
        <v>1900288</v>
      </c>
      <c r="P176" s="748">
        <v>0</v>
      </c>
      <c r="Q176" s="751">
        <v>39858</v>
      </c>
      <c r="R176" s="751"/>
      <c r="S176" s="748">
        <v>1499770</v>
      </c>
      <c r="T176" s="752">
        <v>44009</v>
      </c>
      <c r="U176" s="752">
        <v>1543779</v>
      </c>
    </row>
    <row r="177" spans="1:21" x14ac:dyDescent="0.25">
      <c r="A177" s="749">
        <v>35100</v>
      </c>
      <c r="B177" s="747" t="s">
        <v>957</v>
      </c>
      <c r="C177" s="750">
        <v>1.3260600000000001E-2</v>
      </c>
      <c r="D177" s="750">
        <v>1.29987E-2</v>
      </c>
      <c r="E177" s="748">
        <v>119471481</v>
      </c>
      <c r="F177" s="751">
        <v>105215448</v>
      </c>
      <c r="G177" s="748">
        <f>VLOOKUP(A177,'[3]TSERS Contributions FY 2017'!$A$2:$C$290,3,FALSE)</f>
        <v>17403241</v>
      </c>
      <c r="H177" s="751"/>
      <c r="I177" s="748">
        <v>2280876</v>
      </c>
      <c r="J177" s="748">
        <v>50165871</v>
      </c>
      <c r="K177" s="748">
        <v>16622454</v>
      </c>
      <c r="L177" s="751">
        <v>410878</v>
      </c>
      <c r="M177" s="751"/>
      <c r="N177" s="748">
        <v>3442147</v>
      </c>
      <c r="O177" s="748">
        <v>35926652</v>
      </c>
      <c r="P177" s="748">
        <v>0</v>
      </c>
      <c r="Q177" s="751">
        <v>1634545</v>
      </c>
      <c r="R177" s="751"/>
      <c r="S177" s="748">
        <v>28354504</v>
      </c>
      <c r="T177" s="752">
        <v>-960847</v>
      </c>
      <c r="U177" s="752">
        <v>27393658</v>
      </c>
    </row>
    <row r="178" spans="1:21" x14ac:dyDescent="0.25">
      <c r="A178" s="749">
        <v>35105</v>
      </c>
      <c r="B178" s="747" t="s">
        <v>958</v>
      </c>
      <c r="C178" s="750">
        <v>1.1609000000000001E-3</v>
      </c>
      <c r="D178" s="750">
        <v>1.1724999999999999E-3</v>
      </c>
      <c r="E178" s="748">
        <v>10776486</v>
      </c>
      <c r="F178" s="751">
        <v>9211093</v>
      </c>
      <c r="G178" s="748">
        <f>VLOOKUP(A178,'[3]TSERS Contributions FY 2017'!$A$2:$C$290,3,FALSE)</f>
        <v>1605838</v>
      </c>
      <c r="H178" s="751"/>
      <c r="I178" s="748">
        <v>199679</v>
      </c>
      <c r="J178" s="748">
        <v>4391774</v>
      </c>
      <c r="K178" s="748">
        <v>1455214</v>
      </c>
      <c r="L178" s="751">
        <v>41668</v>
      </c>
      <c r="M178" s="751"/>
      <c r="N178" s="748">
        <v>301343</v>
      </c>
      <c r="O178" s="748">
        <v>3145201</v>
      </c>
      <c r="P178" s="748">
        <v>0</v>
      </c>
      <c r="Q178" s="751">
        <v>228275</v>
      </c>
      <c r="R178" s="751"/>
      <c r="S178" s="748">
        <v>2482297</v>
      </c>
      <c r="T178" s="752">
        <v>-41196</v>
      </c>
      <c r="U178" s="752">
        <v>2441101</v>
      </c>
    </row>
    <row r="179" spans="1:21" x14ac:dyDescent="0.25">
      <c r="A179" s="749">
        <v>35106</v>
      </c>
      <c r="B179" s="747" t="s">
        <v>959</v>
      </c>
      <c r="C179" s="750">
        <v>2.8630000000000002E-4</v>
      </c>
      <c r="D179" s="750">
        <v>2.9930000000000001E-4</v>
      </c>
      <c r="E179" s="748">
        <v>2750876</v>
      </c>
      <c r="F179" s="751">
        <v>2271630</v>
      </c>
      <c r="G179" s="748">
        <f>VLOOKUP(A179,'[3]TSERS Contributions FY 2017'!$A$2:$C$290,3,FALSE)</f>
        <v>343896</v>
      </c>
      <c r="H179" s="751"/>
      <c r="I179" s="748">
        <v>49245</v>
      </c>
      <c r="J179" s="748">
        <v>1083095</v>
      </c>
      <c r="K179" s="748">
        <v>358883</v>
      </c>
      <c r="L179" s="751">
        <v>133200</v>
      </c>
      <c r="M179" s="751"/>
      <c r="N179" s="748">
        <v>74317</v>
      </c>
      <c r="O179" s="748">
        <v>775666</v>
      </c>
      <c r="P179" s="748">
        <v>0</v>
      </c>
      <c r="Q179" s="751">
        <v>99032</v>
      </c>
      <c r="R179" s="751"/>
      <c r="S179" s="748">
        <v>612182</v>
      </c>
      <c r="T179" s="752">
        <v>57730</v>
      </c>
      <c r="U179" s="752">
        <v>669911</v>
      </c>
    </row>
    <row r="180" spans="1:21" x14ac:dyDescent="0.25">
      <c r="A180" s="749">
        <v>35200</v>
      </c>
      <c r="B180" s="747" t="s">
        <v>960</v>
      </c>
      <c r="C180" s="750">
        <v>5.6130000000000004E-4</v>
      </c>
      <c r="D180" s="750">
        <v>5.8060000000000002E-4</v>
      </c>
      <c r="E180" s="748">
        <v>5336314</v>
      </c>
      <c r="F180" s="751">
        <v>4453602</v>
      </c>
      <c r="G180" s="748">
        <f>VLOOKUP(A180,'[3]TSERS Contributions FY 2017'!$A$2:$C$290,3,FALSE)</f>
        <v>852815</v>
      </c>
      <c r="H180" s="751"/>
      <c r="I180" s="748">
        <v>96546</v>
      </c>
      <c r="J180" s="748">
        <v>2123441</v>
      </c>
      <c r="K180" s="748">
        <v>703602</v>
      </c>
      <c r="L180" s="751">
        <v>123140</v>
      </c>
      <c r="M180" s="751"/>
      <c r="N180" s="748">
        <v>145701</v>
      </c>
      <c r="O180" s="748">
        <v>1520718</v>
      </c>
      <c r="P180" s="748">
        <v>0</v>
      </c>
      <c r="Q180" s="751">
        <v>37044</v>
      </c>
      <c r="R180" s="751"/>
      <c r="S180" s="748">
        <v>1200201</v>
      </c>
      <c r="T180" s="752">
        <v>65582</v>
      </c>
      <c r="U180" s="752">
        <v>1265783</v>
      </c>
    </row>
    <row r="181" spans="1:21" x14ac:dyDescent="0.25">
      <c r="A181" s="749">
        <v>35300</v>
      </c>
      <c r="B181" s="747" t="s">
        <v>961</v>
      </c>
      <c r="C181" s="750">
        <v>4.0270999999999996E-3</v>
      </c>
      <c r="D181" s="750">
        <v>3.8329000000000002E-3</v>
      </c>
      <c r="E181" s="748">
        <v>35228310</v>
      </c>
      <c r="F181" s="751">
        <v>31952787</v>
      </c>
      <c r="G181" s="748">
        <f>VLOOKUP(A181,'[3]TSERS Contributions FY 2017'!$A$2:$C$290,3,FALSE)</f>
        <v>5334538</v>
      </c>
      <c r="H181" s="751"/>
      <c r="I181" s="748">
        <v>692677</v>
      </c>
      <c r="J181" s="748">
        <v>15234829</v>
      </c>
      <c r="K181" s="748">
        <v>5048058</v>
      </c>
      <c r="L181" s="751">
        <v>728127</v>
      </c>
      <c r="M181" s="751"/>
      <c r="N181" s="748">
        <v>1045343</v>
      </c>
      <c r="O181" s="748">
        <v>10910533</v>
      </c>
      <c r="P181" s="748">
        <v>0</v>
      </c>
      <c r="Q181" s="751">
        <v>108701</v>
      </c>
      <c r="R181" s="751"/>
      <c r="S181" s="748">
        <v>8610955</v>
      </c>
      <c r="T181" s="752">
        <v>155634</v>
      </c>
      <c r="U181" s="752">
        <v>8766589</v>
      </c>
    </row>
    <row r="182" spans="1:21" x14ac:dyDescent="0.25">
      <c r="A182" s="749">
        <v>35305</v>
      </c>
      <c r="B182" s="747" t="s">
        <v>962</v>
      </c>
      <c r="C182" s="750">
        <v>1.4071000000000001E-3</v>
      </c>
      <c r="D182" s="750">
        <v>1.42E-3</v>
      </c>
      <c r="E182" s="748">
        <v>13051267</v>
      </c>
      <c r="F182" s="751">
        <v>11164552</v>
      </c>
      <c r="G182" s="748">
        <f>VLOOKUP(A182,'[3]TSERS Contributions FY 2017'!$A$2:$C$290,3,FALSE)</f>
        <v>2067816</v>
      </c>
      <c r="H182" s="751"/>
      <c r="I182" s="748">
        <v>242027</v>
      </c>
      <c r="J182" s="748">
        <v>5323168</v>
      </c>
      <c r="K182" s="748">
        <v>1763831</v>
      </c>
      <c r="L182" s="751">
        <v>468062</v>
      </c>
      <c r="M182" s="751"/>
      <c r="N182" s="748">
        <v>365251</v>
      </c>
      <c r="O182" s="748">
        <v>3812225</v>
      </c>
      <c r="P182" s="748">
        <v>0</v>
      </c>
      <c r="Q182" s="751">
        <v>12569</v>
      </c>
      <c r="R182" s="751"/>
      <c r="S182" s="748">
        <v>3008734</v>
      </c>
      <c r="T182" s="752">
        <v>257478</v>
      </c>
      <c r="U182" s="752">
        <v>3266212</v>
      </c>
    </row>
    <row r="183" spans="1:21" x14ac:dyDescent="0.25">
      <c r="A183" s="749">
        <v>35400</v>
      </c>
      <c r="B183" s="747" t="s">
        <v>963</v>
      </c>
      <c r="C183" s="750">
        <v>2.9510000000000001E-3</v>
      </c>
      <c r="D183" s="750">
        <v>3.0752000000000002E-3</v>
      </c>
      <c r="E183" s="748">
        <v>28264265</v>
      </c>
      <c r="F183" s="751">
        <v>23414535</v>
      </c>
      <c r="G183" s="748">
        <f>VLOOKUP(A183,'[3]TSERS Contributions FY 2017'!$A$2:$C$290,3,FALSE)</f>
        <v>4305423</v>
      </c>
      <c r="H183" s="751"/>
      <c r="I183" s="748">
        <v>507584</v>
      </c>
      <c r="J183" s="748">
        <v>11163860</v>
      </c>
      <c r="K183" s="748">
        <v>3699143</v>
      </c>
      <c r="L183" s="751">
        <v>17861</v>
      </c>
      <c r="M183" s="751"/>
      <c r="N183" s="748">
        <v>766012</v>
      </c>
      <c r="O183" s="748">
        <v>7995079</v>
      </c>
      <c r="P183" s="748">
        <v>0</v>
      </c>
      <c r="Q183" s="751">
        <v>628177</v>
      </c>
      <c r="R183" s="751"/>
      <c r="S183" s="748">
        <v>6309982</v>
      </c>
      <c r="T183" s="752">
        <v>-227907</v>
      </c>
      <c r="U183" s="752">
        <v>6082075</v>
      </c>
    </row>
    <row r="184" spans="1:21" x14ac:dyDescent="0.25">
      <c r="A184" s="749">
        <v>35401</v>
      </c>
      <c r="B184" s="747" t="s">
        <v>964</v>
      </c>
      <c r="C184" s="750">
        <v>3.7200000000000003E-5</v>
      </c>
      <c r="D184" s="750">
        <v>2.7900000000000001E-5</v>
      </c>
      <c r="E184" s="748">
        <v>256430</v>
      </c>
      <c r="F184" s="751">
        <v>295161</v>
      </c>
      <c r="G184" s="748">
        <f>VLOOKUP(A184,'[3]TSERS Contributions FY 2017'!$A$2:$C$290,3,FALSE)</f>
        <v>45086</v>
      </c>
      <c r="H184" s="751"/>
      <c r="I184" s="748">
        <v>6399</v>
      </c>
      <c r="J184" s="748">
        <v>140730</v>
      </c>
      <c r="K184" s="748">
        <v>46631</v>
      </c>
      <c r="L184" s="751">
        <v>45362</v>
      </c>
      <c r="M184" s="751"/>
      <c r="N184" s="748">
        <v>9656</v>
      </c>
      <c r="O184" s="748">
        <v>100785</v>
      </c>
      <c r="P184" s="748">
        <v>0</v>
      </c>
      <c r="Q184" s="751">
        <v>20077</v>
      </c>
      <c r="R184" s="751"/>
      <c r="S184" s="748">
        <v>79543</v>
      </c>
      <c r="T184" s="752">
        <v>4584</v>
      </c>
      <c r="U184" s="752">
        <v>84127</v>
      </c>
    </row>
    <row r="185" spans="1:21" x14ac:dyDescent="0.25">
      <c r="A185" s="749">
        <v>35402</v>
      </c>
      <c r="B185" s="747" t="s">
        <v>965</v>
      </c>
      <c r="C185" s="750">
        <v>0</v>
      </c>
      <c r="D185" s="750">
        <v>0</v>
      </c>
      <c r="E185" s="748">
        <v>0</v>
      </c>
      <c r="F185" s="751">
        <v>0</v>
      </c>
      <c r="G185" s="748">
        <v>0</v>
      </c>
      <c r="H185" s="751"/>
      <c r="I185" s="748">
        <v>0</v>
      </c>
      <c r="J185" s="748">
        <v>0</v>
      </c>
      <c r="K185" s="748">
        <v>0</v>
      </c>
      <c r="L185" s="751">
        <v>0</v>
      </c>
      <c r="M185" s="751"/>
      <c r="N185" s="748">
        <v>0</v>
      </c>
      <c r="O185" s="748">
        <v>0</v>
      </c>
      <c r="P185" s="748">
        <v>0</v>
      </c>
      <c r="Q185" s="751">
        <v>99126</v>
      </c>
      <c r="R185" s="751"/>
      <c r="S185" s="748">
        <v>0</v>
      </c>
      <c r="T185" s="752">
        <v>-125476</v>
      </c>
      <c r="U185" s="752">
        <v>-125476</v>
      </c>
    </row>
    <row r="186" spans="1:21" x14ac:dyDescent="0.25">
      <c r="A186" s="749">
        <v>35405</v>
      </c>
      <c r="B186" s="747" t="s">
        <v>966</v>
      </c>
      <c r="C186" s="750">
        <v>1.0463E-3</v>
      </c>
      <c r="D186" s="750">
        <v>1.0782999999999999E-3</v>
      </c>
      <c r="E186" s="748">
        <v>9910691</v>
      </c>
      <c r="F186" s="751">
        <v>8301806</v>
      </c>
      <c r="G186" s="748">
        <f>VLOOKUP(A186,'[3]TSERS Contributions FY 2017'!$A$2:$C$290,3,FALSE)</f>
        <v>1447918</v>
      </c>
      <c r="H186" s="751"/>
      <c r="I186" s="748">
        <v>179968</v>
      </c>
      <c r="J186" s="748">
        <v>3958233</v>
      </c>
      <c r="K186" s="748">
        <v>1311560</v>
      </c>
      <c r="L186" s="751">
        <v>37230</v>
      </c>
      <c r="M186" s="751"/>
      <c r="N186" s="748">
        <v>271595</v>
      </c>
      <c r="O186" s="748">
        <v>2834718</v>
      </c>
      <c r="P186" s="748">
        <v>0</v>
      </c>
      <c r="Q186" s="751">
        <v>212448</v>
      </c>
      <c r="R186" s="751"/>
      <c r="S186" s="748">
        <v>2237253</v>
      </c>
      <c r="T186" s="752">
        <v>-62294</v>
      </c>
      <c r="U186" s="752">
        <v>2174959</v>
      </c>
    </row>
    <row r="187" spans="1:21" x14ac:dyDescent="0.25">
      <c r="A187" s="749">
        <v>35500</v>
      </c>
      <c r="B187" s="747" t="s">
        <v>967</v>
      </c>
      <c r="C187" s="750">
        <v>4.1085999999999996E-3</v>
      </c>
      <c r="D187" s="750">
        <v>4.3315999999999997E-3</v>
      </c>
      <c r="E187" s="748">
        <v>39811879</v>
      </c>
      <c r="F187" s="751">
        <v>32599444</v>
      </c>
      <c r="G187" s="748">
        <f>VLOOKUP(A187,'[3]TSERS Contributions FY 2017'!$A$2:$C$290,3,FALSE)</f>
        <v>5628921</v>
      </c>
      <c r="H187" s="751"/>
      <c r="I187" s="748">
        <v>706696</v>
      </c>
      <c r="J187" s="748">
        <v>15543150</v>
      </c>
      <c r="K187" s="748">
        <v>5150220</v>
      </c>
      <c r="L187" s="751">
        <v>149137</v>
      </c>
      <c r="M187" s="751"/>
      <c r="N187" s="748">
        <v>1066498</v>
      </c>
      <c r="O187" s="748">
        <v>11131340</v>
      </c>
      <c r="P187" s="748">
        <v>0</v>
      </c>
      <c r="Q187" s="751">
        <v>1371725</v>
      </c>
      <c r="R187" s="751"/>
      <c r="S187" s="748">
        <v>8785222</v>
      </c>
      <c r="T187" s="752">
        <v>-473142</v>
      </c>
      <c r="U187" s="752">
        <v>8312081</v>
      </c>
    </row>
    <row r="188" spans="1:21" x14ac:dyDescent="0.25">
      <c r="A188" s="749">
        <v>35600</v>
      </c>
      <c r="B188" s="747" t="s">
        <v>968</v>
      </c>
      <c r="C188" s="750">
        <v>1.7339E-3</v>
      </c>
      <c r="D188" s="750">
        <v>1.7164999999999999E-3</v>
      </c>
      <c r="E188" s="748">
        <v>15776408</v>
      </c>
      <c r="F188" s="751">
        <v>13757527</v>
      </c>
      <c r="G188" s="748">
        <f>VLOOKUP(A188,'[3]TSERS Contributions FY 2017'!$A$2:$C$290,3,FALSE)</f>
        <v>2430727</v>
      </c>
      <c r="H188" s="751"/>
      <c r="I188" s="748">
        <v>298238</v>
      </c>
      <c r="J188" s="748">
        <v>6559477</v>
      </c>
      <c r="K188" s="748">
        <v>2173482</v>
      </c>
      <c r="L188" s="751">
        <v>49876</v>
      </c>
      <c r="M188" s="751"/>
      <c r="N188" s="748">
        <v>450081</v>
      </c>
      <c r="O188" s="748">
        <v>4697617</v>
      </c>
      <c r="P188" s="748">
        <v>0</v>
      </c>
      <c r="Q188" s="751">
        <v>86728</v>
      </c>
      <c r="R188" s="751"/>
      <c r="S188" s="748">
        <v>3707515</v>
      </c>
      <c r="T188" s="752">
        <v>-69839</v>
      </c>
      <c r="U188" s="752">
        <v>3637676</v>
      </c>
    </row>
    <row r="189" spans="1:21" x14ac:dyDescent="0.25">
      <c r="A189" s="749">
        <v>35700</v>
      </c>
      <c r="B189" s="747" t="s">
        <v>969</v>
      </c>
      <c r="C189" s="750">
        <v>9.5529999999999996E-4</v>
      </c>
      <c r="D189" s="750">
        <v>9.657E-4</v>
      </c>
      <c r="E189" s="748">
        <v>8875781</v>
      </c>
      <c r="F189" s="751">
        <v>7579771</v>
      </c>
      <c r="G189" s="748">
        <f>VLOOKUP(A189,'[3]TSERS Contributions FY 2017'!$A$2:$C$290,3,FALSE)</f>
        <v>1342107</v>
      </c>
      <c r="H189" s="751"/>
      <c r="I189" s="748">
        <v>164315</v>
      </c>
      <c r="J189" s="748">
        <v>3613973</v>
      </c>
      <c r="K189" s="748">
        <v>1197490</v>
      </c>
      <c r="L189" s="751">
        <v>20223</v>
      </c>
      <c r="M189" s="751"/>
      <c r="N189" s="748">
        <v>247974</v>
      </c>
      <c r="O189" s="748">
        <v>2588173</v>
      </c>
      <c r="P189" s="748">
        <v>0</v>
      </c>
      <c r="Q189" s="751">
        <v>216071</v>
      </c>
      <c r="R189" s="751"/>
      <c r="S189" s="748">
        <v>2042672</v>
      </c>
      <c r="T189" s="752">
        <v>-92333</v>
      </c>
      <c r="U189" s="752">
        <v>1950340</v>
      </c>
    </row>
    <row r="190" spans="1:21" x14ac:dyDescent="0.25">
      <c r="A190" s="749">
        <v>35800</v>
      </c>
      <c r="B190" s="747" t="s">
        <v>970</v>
      </c>
      <c r="C190" s="750">
        <v>1.3487E-3</v>
      </c>
      <c r="D190" s="750">
        <v>1.3967999999999999E-3</v>
      </c>
      <c r="E190" s="748">
        <v>12838035</v>
      </c>
      <c r="F190" s="751">
        <v>10701181</v>
      </c>
      <c r="G190" s="748">
        <f>VLOOKUP(A190,'[3]TSERS Contributions FY 2017'!$A$2:$C$290,3,FALSE)</f>
        <v>2035094</v>
      </c>
      <c r="H190" s="751"/>
      <c r="I190" s="748">
        <v>231982</v>
      </c>
      <c r="J190" s="748">
        <v>5102236</v>
      </c>
      <c r="K190" s="748">
        <v>1690625</v>
      </c>
      <c r="L190" s="751">
        <v>0</v>
      </c>
      <c r="M190" s="751"/>
      <c r="N190" s="748">
        <v>350091</v>
      </c>
      <c r="O190" s="748">
        <v>3654003</v>
      </c>
      <c r="P190" s="748">
        <v>0</v>
      </c>
      <c r="Q190" s="751">
        <v>242477</v>
      </c>
      <c r="R190" s="751"/>
      <c r="S190" s="748">
        <v>2883860</v>
      </c>
      <c r="T190" s="752">
        <v>-114261</v>
      </c>
      <c r="U190" s="752">
        <v>2769600</v>
      </c>
    </row>
    <row r="191" spans="1:21" x14ac:dyDescent="0.25">
      <c r="A191" s="749">
        <v>35805</v>
      </c>
      <c r="B191" s="747" t="s">
        <v>971</v>
      </c>
      <c r="C191" s="750">
        <v>2.3470000000000001E-4</v>
      </c>
      <c r="D191" s="750">
        <v>2.2379999999999999E-4</v>
      </c>
      <c r="E191" s="748">
        <v>2056953</v>
      </c>
      <c r="F191" s="751">
        <v>1862213</v>
      </c>
      <c r="G191" s="748">
        <f>VLOOKUP(A191,'[3]TSERS Contributions FY 2017'!$A$2:$C$290,3,FALSE)</f>
        <v>397712</v>
      </c>
      <c r="H191" s="751"/>
      <c r="I191" s="748">
        <v>40369</v>
      </c>
      <c r="J191" s="748">
        <v>887888</v>
      </c>
      <c r="K191" s="748">
        <v>294202</v>
      </c>
      <c r="L191" s="751">
        <v>229271</v>
      </c>
      <c r="M191" s="751"/>
      <c r="N191" s="748">
        <v>60923</v>
      </c>
      <c r="O191" s="748">
        <v>635868</v>
      </c>
      <c r="P191" s="748">
        <v>0</v>
      </c>
      <c r="Q191" s="751">
        <v>27166</v>
      </c>
      <c r="R191" s="751"/>
      <c r="S191" s="748">
        <v>501848</v>
      </c>
      <c r="T191" s="752">
        <v>65931</v>
      </c>
      <c r="U191" s="752">
        <v>567779</v>
      </c>
    </row>
    <row r="192" spans="1:21" x14ac:dyDescent="0.25">
      <c r="A192" s="749">
        <v>35900</v>
      </c>
      <c r="B192" s="747" t="s">
        <v>972</v>
      </c>
      <c r="C192" s="750">
        <v>2.4949E-3</v>
      </c>
      <c r="D192" s="750">
        <v>2.5728999999999999E-3</v>
      </c>
      <c r="E192" s="748">
        <v>23647609</v>
      </c>
      <c r="F192" s="751">
        <v>19795637</v>
      </c>
      <c r="G192" s="748">
        <f>VLOOKUP(A192,'[3]TSERS Contributions FY 2017'!$A$2:$C$290,3,FALSE)</f>
        <v>3457053</v>
      </c>
      <c r="H192" s="751"/>
      <c r="I192" s="748">
        <v>429133</v>
      </c>
      <c r="J192" s="748">
        <v>9438399</v>
      </c>
      <c r="K192" s="748">
        <v>3127412</v>
      </c>
      <c r="L192" s="751">
        <v>0</v>
      </c>
      <c r="M192" s="751"/>
      <c r="N192" s="748">
        <v>647619</v>
      </c>
      <c r="O192" s="748">
        <v>6759378</v>
      </c>
      <c r="P192" s="748">
        <v>0</v>
      </c>
      <c r="Q192" s="751">
        <v>650210</v>
      </c>
      <c r="R192" s="751"/>
      <c r="S192" s="748">
        <v>5334725</v>
      </c>
      <c r="T192" s="752">
        <v>-340267</v>
      </c>
      <c r="U192" s="752">
        <v>4994458</v>
      </c>
    </row>
    <row r="193" spans="1:21" x14ac:dyDescent="0.25">
      <c r="A193" s="749">
        <v>35905</v>
      </c>
      <c r="B193" s="747" t="s">
        <v>973</v>
      </c>
      <c r="C193" s="750">
        <v>3.5080000000000002E-4</v>
      </c>
      <c r="D193" s="750">
        <v>3.5429999999999999E-4</v>
      </c>
      <c r="E193" s="748">
        <v>3256383</v>
      </c>
      <c r="F193" s="751">
        <v>2783402</v>
      </c>
      <c r="G193" s="748">
        <f>VLOOKUP(A193,'[3]TSERS Contributions FY 2017'!$A$2:$C$290,3,FALSE)</f>
        <v>591160</v>
      </c>
      <c r="H193" s="751"/>
      <c r="I193" s="748">
        <v>60339</v>
      </c>
      <c r="J193" s="748">
        <v>1327103</v>
      </c>
      <c r="K193" s="748">
        <v>439736</v>
      </c>
      <c r="L193" s="751">
        <v>77016</v>
      </c>
      <c r="M193" s="751"/>
      <c r="N193" s="748">
        <v>91060</v>
      </c>
      <c r="O193" s="748">
        <v>950415</v>
      </c>
      <c r="P193" s="748">
        <v>0</v>
      </c>
      <c r="Q193" s="751">
        <v>0</v>
      </c>
      <c r="R193" s="751"/>
      <c r="S193" s="748">
        <v>750099</v>
      </c>
      <c r="T193" s="752">
        <v>31950</v>
      </c>
      <c r="U193" s="752">
        <v>782049</v>
      </c>
    </row>
    <row r="194" spans="1:21" x14ac:dyDescent="0.25">
      <c r="A194" s="749">
        <v>36000</v>
      </c>
      <c r="B194" s="747" t="s">
        <v>974</v>
      </c>
      <c r="C194" s="750">
        <v>5.97805E-2</v>
      </c>
      <c r="D194" s="750">
        <v>5.8661999999999999E-2</v>
      </c>
      <c r="E194" s="748">
        <v>539164378</v>
      </c>
      <c r="F194" s="751">
        <v>474324850</v>
      </c>
      <c r="G194" s="748">
        <f>VLOOKUP(A194,'[3]TSERS Contributions FY 2017'!$A$2:$C$290,3,FALSE)</f>
        <v>78132407</v>
      </c>
      <c r="H194" s="751"/>
      <c r="I194" s="748">
        <v>10282485</v>
      </c>
      <c r="J194" s="748">
        <v>226154235</v>
      </c>
      <c r="K194" s="748">
        <v>74936172</v>
      </c>
      <c r="L194" s="751">
        <v>917582</v>
      </c>
      <c r="M194" s="751"/>
      <c r="N194" s="748">
        <v>15517643</v>
      </c>
      <c r="O194" s="748">
        <v>161961993</v>
      </c>
      <c r="P194" s="748">
        <v>0</v>
      </c>
      <c r="Q194" s="751">
        <v>4697985</v>
      </c>
      <c r="R194" s="751"/>
      <c r="S194" s="748">
        <v>127825774</v>
      </c>
      <c r="T194" s="752">
        <v>-2558010</v>
      </c>
      <c r="U194" s="752">
        <v>125267764</v>
      </c>
    </row>
    <row r="195" spans="1:21" x14ac:dyDescent="0.25">
      <c r="A195" s="749">
        <v>36001</v>
      </c>
      <c r="B195" s="747" t="s">
        <v>975</v>
      </c>
      <c r="C195" s="750">
        <v>2.8799999999999999E-5</v>
      </c>
      <c r="D195" s="750">
        <v>3.2799999999999998E-5</v>
      </c>
      <c r="E195" s="748">
        <v>301466</v>
      </c>
      <c r="F195" s="751">
        <v>228512</v>
      </c>
      <c r="G195" s="748">
        <f>VLOOKUP(A195,'[3]TSERS Contributions FY 2017'!$A$2:$C$290,3,FALSE)</f>
        <v>44351</v>
      </c>
      <c r="H195" s="751"/>
      <c r="I195" s="748">
        <v>4954</v>
      </c>
      <c r="J195" s="748">
        <v>108953</v>
      </c>
      <c r="K195" s="748">
        <v>36101</v>
      </c>
      <c r="L195" s="751">
        <v>0</v>
      </c>
      <c r="M195" s="751"/>
      <c r="N195" s="748">
        <v>7476</v>
      </c>
      <c r="O195" s="748">
        <v>78027</v>
      </c>
      <c r="P195" s="748">
        <v>0</v>
      </c>
      <c r="Q195" s="751">
        <v>65699</v>
      </c>
      <c r="R195" s="751"/>
      <c r="S195" s="748">
        <v>61582</v>
      </c>
      <c r="T195" s="752">
        <v>-41113</v>
      </c>
      <c r="U195" s="752">
        <v>20468</v>
      </c>
    </row>
    <row r="196" spans="1:21" x14ac:dyDescent="0.25">
      <c r="A196" s="749">
        <v>36002</v>
      </c>
      <c r="B196" s="747" t="s">
        <v>976</v>
      </c>
      <c r="C196" s="750">
        <v>0</v>
      </c>
      <c r="D196" s="750">
        <v>1.4239999999999999E-4</v>
      </c>
      <c r="E196" s="748">
        <v>1308803</v>
      </c>
      <c r="F196" s="751">
        <v>0</v>
      </c>
      <c r="G196" s="748">
        <v>0</v>
      </c>
      <c r="H196" s="751"/>
      <c r="I196" s="748">
        <v>0</v>
      </c>
      <c r="J196" s="748">
        <v>0</v>
      </c>
      <c r="K196" s="748">
        <v>0</v>
      </c>
      <c r="L196" s="751">
        <v>27051</v>
      </c>
      <c r="M196" s="751"/>
      <c r="N196" s="748">
        <v>0</v>
      </c>
      <c r="O196" s="748">
        <v>0</v>
      </c>
      <c r="P196" s="748">
        <v>0</v>
      </c>
      <c r="Q196" s="751">
        <v>802301</v>
      </c>
      <c r="R196" s="751"/>
      <c r="S196" s="748">
        <v>0</v>
      </c>
      <c r="T196" s="752">
        <v>-255973</v>
      </c>
      <c r="U196" s="752">
        <v>-255973</v>
      </c>
    </row>
    <row r="197" spans="1:21" x14ac:dyDescent="0.25">
      <c r="A197" s="749">
        <v>36003</v>
      </c>
      <c r="B197" s="747" t="s">
        <v>977</v>
      </c>
      <c r="C197" s="750">
        <v>4.3980000000000001E-4</v>
      </c>
      <c r="D197" s="750">
        <v>4.481E-4</v>
      </c>
      <c r="E197" s="748">
        <v>4118502</v>
      </c>
      <c r="F197" s="751">
        <v>3489567</v>
      </c>
      <c r="G197" s="748">
        <f>VLOOKUP(A197,'[3]TSERS Contributions FY 2017'!$A$2:$C$290,3,FALSE)</f>
        <v>512201</v>
      </c>
      <c r="H197" s="751"/>
      <c r="I197" s="748">
        <v>75647</v>
      </c>
      <c r="J197" s="748">
        <v>1663797</v>
      </c>
      <c r="K197" s="748">
        <v>551299</v>
      </c>
      <c r="L197" s="751">
        <v>3132</v>
      </c>
      <c r="M197" s="751"/>
      <c r="N197" s="748">
        <v>114162</v>
      </c>
      <c r="O197" s="748">
        <v>1191540</v>
      </c>
      <c r="P197" s="748">
        <v>0</v>
      </c>
      <c r="Q197" s="751">
        <v>197849</v>
      </c>
      <c r="R197" s="751"/>
      <c r="S197" s="748">
        <v>940403</v>
      </c>
      <c r="T197" s="752">
        <v>-72275</v>
      </c>
      <c r="U197" s="752">
        <v>868128</v>
      </c>
    </row>
    <row r="198" spans="1:21" x14ac:dyDescent="0.25">
      <c r="A198" s="749">
        <v>36004</v>
      </c>
      <c r="B198" s="747" t="s">
        <v>978</v>
      </c>
      <c r="C198" s="750">
        <v>2.397E-4</v>
      </c>
      <c r="D198" s="750">
        <v>2.1230000000000001E-4</v>
      </c>
      <c r="E198" s="748">
        <v>1951256</v>
      </c>
      <c r="F198" s="751">
        <v>1901886</v>
      </c>
      <c r="G198" s="748">
        <f>VLOOKUP(A198,'[3]TSERS Contributions FY 2017'!$A$2:$C$290,3,FALSE)</f>
        <v>270631</v>
      </c>
      <c r="H198" s="751"/>
      <c r="I198" s="748">
        <v>41229</v>
      </c>
      <c r="J198" s="748">
        <v>906804</v>
      </c>
      <c r="K198" s="748">
        <v>300469</v>
      </c>
      <c r="L198" s="751">
        <v>357800</v>
      </c>
      <c r="M198" s="751"/>
      <c r="N198" s="748">
        <v>62221</v>
      </c>
      <c r="O198" s="748">
        <v>649414</v>
      </c>
      <c r="P198" s="748">
        <v>0</v>
      </c>
      <c r="Q198" s="751">
        <v>0</v>
      </c>
      <c r="R198" s="751"/>
      <c r="S198" s="748">
        <v>512539</v>
      </c>
      <c r="T198" s="752">
        <v>246051</v>
      </c>
      <c r="U198" s="752">
        <v>758590</v>
      </c>
    </row>
    <row r="199" spans="1:21" x14ac:dyDescent="0.25">
      <c r="A199" s="749">
        <v>36005</v>
      </c>
      <c r="B199" s="747" t="s">
        <v>979</v>
      </c>
      <c r="C199" s="750">
        <v>5.0964000000000001E-3</v>
      </c>
      <c r="D199" s="750">
        <v>5.0835000000000003E-3</v>
      </c>
      <c r="E199" s="748">
        <v>46722616</v>
      </c>
      <c r="F199" s="751">
        <v>40437085</v>
      </c>
      <c r="G199" s="748">
        <f>VLOOKUP(A199,'[3]TSERS Contributions FY 2017'!$A$2:$C$290,3,FALSE)</f>
        <v>7296450</v>
      </c>
      <c r="H199" s="751"/>
      <c r="I199" s="748">
        <v>876601</v>
      </c>
      <c r="J199" s="748">
        <v>19280074</v>
      </c>
      <c r="K199" s="748">
        <v>6388450</v>
      </c>
      <c r="L199" s="751">
        <v>1374462</v>
      </c>
      <c r="M199" s="751"/>
      <c r="N199" s="748">
        <v>1322908</v>
      </c>
      <c r="O199" s="748">
        <v>13807564</v>
      </c>
      <c r="P199" s="748">
        <v>0</v>
      </c>
      <c r="Q199" s="751">
        <v>0</v>
      </c>
      <c r="R199" s="751"/>
      <c r="S199" s="748">
        <v>10897387</v>
      </c>
      <c r="T199" s="752">
        <v>877955</v>
      </c>
      <c r="U199" s="752">
        <v>11775343</v>
      </c>
    </row>
    <row r="200" spans="1:21" x14ac:dyDescent="0.25">
      <c r="A200" s="749">
        <v>36006</v>
      </c>
      <c r="B200" s="747" t="s">
        <v>980</v>
      </c>
      <c r="C200" s="750">
        <v>5.5060000000000005E-4</v>
      </c>
      <c r="D200" s="750">
        <v>5.3390000000000002E-4</v>
      </c>
      <c r="E200" s="748">
        <v>4907093</v>
      </c>
      <c r="F200" s="751">
        <v>4368703</v>
      </c>
      <c r="G200" s="748">
        <f>VLOOKUP(A200,'[3]TSERS Contributions FY 2017'!$A$2:$C$290,3,FALSE)</f>
        <v>664154</v>
      </c>
      <c r="H200" s="751"/>
      <c r="I200" s="748">
        <v>94705</v>
      </c>
      <c r="J200" s="748">
        <v>2082962</v>
      </c>
      <c r="K200" s="748">
        <v>690189</v>
      </c>
      <c r="L200" s="751">
        <v>13198</v>
      </c>
      <c r="M200" s="751"/>
      <c r="N200" s="748">
        <v>142923</v>
      </c>
      <c r="O200" s="748">
        <v>1491728</v>
      </c>
      <c r="P200" s="748">
        <v>0</v>
      </c>
      <c r="Q200" s="751">
        <v>142897</v>
      </c>
      <c r="R200" s="751"/>
      <c r="S200" s="748">
        <v>1177322</v>
      </c>
      <c r="T200" s="752">
        <v>-45625</v>
      </c>
      <c r="U200" s="752">
        <v>1131696</v>
      </c>
    </row>
    <row r="201" spans="1:21" x14ac:dyDescent="0.25">
      <c r="A201" s="749">
        <v>36007</v>
      </c>
      <c r="B201" s="747" t="s">
        <v>981</v>
      </c>
      <c r="C201" s="750">
        <v>1.94E-4</v>
      </c>
      <c r="D201" s="750">
        <v>1.7589999999999999E-4</v>
      </c>
      <c r="E201" s="748">
        <v>1616703</v>
      </c>
      <c r="F201" s="751">
        <v>1539282</v>
      </c>
      <c r="G201" s="748">
        <f>VLOOKUP(A201,'[3]TSERS Contributions FY 2017'!$A$2:$C$290,3,FALSE)</f>
        <v>244211</v>
      </c>
      <c r="H201" s="751"/>
      <c r="I201" s="748">
        <v>33369</v>
      </c>
      <c r="J201" s="748">
        <v>733917</v>
      </c>
      <c r="K201" s="748">
        <v>243183</v>
      </c>
      <c r="L201" s="751">
        <v>50486</v>
      </c>
      <c r="M201" s="751"/>
      <c r="N201" s="748">
        <v>50358</v>
      </c>
      <c r="O201" s="748">
        <v>525600</v>
      </c>
      <c r="P201" s="748">
        <v>0</v>
      </c>
      <c r="Q201" s="751">
        <v>44109</v>
      </c>
      <c r="R201" s="751"/>
      <c r="S201" s="748">
        <v>414821</v>
      </c>
      <c r="T201" s="752">
        <v>6248</v>
      </c>
      <c r="U201" s="752">
        <v>421069</v>
      </c>
    </row>
    <row r="202" spans="1:21" x14ac:dyDescent="0.25">
      <c r="A202" s="749">
        <v>36008</v>
      </c>
      <c r="B202" s="747" t="s">
        <v>982</v>
      </c>
      <c r="C202" s="750">
        <v>6.1220000000000003E-4</v>
      </c>
      <c r="D202" s="750">
        <v>5.4390000000000005E-4</v>
      </c>
      <c r="E202" s="748">
        <v>4999003</v>
      </c>
      <c r="F202" s="751">
        <v>4857465</v>
      </c>
      <c r="G202" s="748">
        <f>VLOOKUP(A202,'[3]TSERS Contributions FY 2017'!$A$2:$C$290,3,FALSE)</f>
        <v>687679</v>
      </c>
      <c r="H202" s="751"/>
      <c r="I202" s="748">
        <v>105301</v>
      </c>
      <c r="J202" s="748">
        <v>2316000</v>
      </c>
      <c r="K202" s="748">
        <v>767406</v>
      </c>
      <c r="L202" s="751">
        <v>126130</v>
      </c>
      <c r="M202" s="751"/>
      <c r="N202" s="748">
        <v>158913</v>
      </c>
      <c r="O202" s="748">
        <v>1658620</v>
      </c>
      <c r="P202" s="748">
        <v>0</v>
      </c>
      <c r="Q202" s="751">
        <v>86677</v>
      </c>
      <c r="R202" s="751"/>
      <c r="S202" s="748">
        <v>1309038</v>
      </c>
      <c r="T202" s="752">
        <v>19478</v>
      </c>
      <c r="U202" s="752">
        <v>1328516</v>
      </c>
    </row>
    <row r="203" spans="1:21" x14ac:dyDescent="0.25">
      <c r="A203" s="749">
        <v>36009</v>
      </c>
      <c r="B203" s="747" t="s">
        <v>983</v>
      </c>
      <c r="C203" s="750">
        <v>1.416E-4</v>
      </c>
      <c r="D203" s="750">
        <v>1.7899999999999999E-4</v>
      </c>
      <c r="E203" s="748">
        <v>1645195</v>
      </c>
      <c r="F203" s="751">
        <v>1123517</v>
      </c>
      <c r="G203" s="748">
        <f>VLOOKUP(A203,'[3]TSERS Contributions FY 2017'!$A$2:$C$290,3,FALSE)</f>
        <v>169829</v>
      </c>
      <c r="H203" s="751"/>
      <c r="I203" s="748">
        <v>24356</v>
      </c>
      <c r="J203" s="748">
        <v>535684</v>
      </c>
      <c r="K203" s="748">
        <v>177499</v>
      </c>
      <c r="L203" s="751">
        <v>133833</v>
      </c>
      <c r="M203" s="751"/>
      <c r="N203" s="748">
        <v>36756</v>
      </c>
      <c r="O203" s="748">
        <v>383634</v>
      </c>
      <c r="P203" s="748">
        <v>0</v>
      </c>
      <c r="Q203" s="751">
        <v>165130</v>
      </c>
      <c r="R203" s="751"/>
      <c r="S203" s="748">
        <v>302776</v>
      </c>
      <c r="T203" s="752">
        <v>31645</v>
      </c>
      <c r="U203" s="752">
        <v>334422</v>
      </c>
    </row>
    <row r="204" spans="1:21" x14ac:dyDescent="0.25">
      <c r="A204" s="749">
        <v>36100</v>
      </c>
      <c r="B204" s="747" t="s">
        <v>984</v>
      </c>
      <c r="C204" s="750">
        <v>7.4960000000000001E-4</v>
      </c>
      <c r="D204" s="750">
        <v>7.7249999999999997E-4</v>
      </c>
      <c r="E204" s="748">
        <v>7100073</v>
      </c>
      <c r="F204" s="751">
        <v>5947657</v>
      </c>
      <c r="G204" s="748">
        <f>VLOOKUP(A204,'[3]TSERS Contributions FY 2017'!$A$2:$C$290,3,FALSE)</f>
        <v>1122457</v>
      </c>
      <c r="H204" s="751"/>
      <c r="I204" s="748">
        <v>128934</v>
      </c>
      <c r="J204" s="748">
        <v>2835795</v>
      </c>
      <c r="K204" s="748">
        <v>939640</v>
      </c>
      <c r="L204" s="751">
        <v>5467</v>
      </c>
      <c r="M204" s="751"/>
      <c r="N204" s="748">
        <v>194579</v>
      </c>
      <c r="O204" s="748">
        <v>2030875</v>
      </c>
      <c r="P204" s="748">
        <v>0</v>
      </c>
      <c r="Q204" s="751">
        <v>90971</v>
      </c>
      <c r="R204" s="751"/>
      <c r="S204" s="748">
        <v>1602834</v>
      </c>
      <c r="T204" s="752">
        <v>-58537</v>
      </c>
      <c r="U204" s="752">
        <v>1544296</v>
      </c>
    </row>
    <row r="205" spans="1:21" x14ac:dyDescent="0.25">
      <c r="A205" s="749">
        <v>36102</v>
      </c>
      <c r="B205" s="747" t="s">
        <v>985</v>
      </c>
      <c r="C205" s="750">
        <v>2.1670000000000001E-4</v>
      </c>
      <c r="D205" s="750">
        <v>1.615E-4</v>
      </c>
      <c r="E205" s="748">
        <v>1484352</v>
      </c>
      <c r="F205" s="751">
        <v>1719393</v>
      </c>
      <c r="G205" s="748">
        <f>VLOOKUP(A205,'[3]TSERS Contributions FY 2017'!$A$2:$C$290,3,FALSE)</f>
        <v>243575</v>
      </c>
      <c r="H205" s="751"/>
      <c r="I205" s="748">
        <v>37273</v>
      </c>
      <c r="J205" s="748">
        <v>819793</v>
      </c>
      <c r="K205" s="748">
        <v>271638</v>
      </c>
      <c r="L205" s="751">
        <v>235689</v>
      </c>
      <c r="M205" s="751"/>
      <c r="N205" s="748">
        <v>56250</v>
      </c>
      <c r="O205" s="748">
        <v>587101</v>
      </c>
      <c r="P205" s="748">
        <v>0</v>
      </c>
      <c r="Q205" s="751">
        <v>98369</v>
      </c>
      <c r="R205" s="751"/>
      <c r="S205" s="748">
        <v>463359</v>
      </c>
      <c r="T205" s="752">
        <v>18302</v>
      </c>
      <c r="U205" s="752">
        <v>481661</v>
      </c>
    </row>
    <row r="206" spans="1:21" x14ac:dyDescent="0.25">
      <c r="A206" s="749">
        <v>36105</v>
      </c>
      <c r="B206" s="747" t="s">
        <v>986</v>
      </c>
      <c r="C206" s="750">
        <v>4.148E-4</v>
      </c>
      <c r="D206" s="750">
        <v>4.1159999999999998E-4</v>
      </c>
      <c r="E206" s="748">
        <v>3783029</v>
      </c>
      <c r="F206" s="751">
        <v>3291206</v>
      </c>
      <c r="G206" s="748">
        <f>VLOOKUP(A206,'[3]TSERS Contributions FY 2017'!$A$2:$C$290,3,FALSE)</f>
        <v>630238</v>
      </c>
      <c r="H206" s="751"/>
      <c r="I206" s="748">
        <v>71347</v>
      </c>
      <c r="J206" s="748">
        <v>1569220</v>
      </c>
      <c r="K206" s="748">
        <v>519961</v>
      </c>
      <c r="L206" s="751">
        <v>71811</v>
      </c>
      <c r="M206" s="751"/>
      <c r="N206" s="748">
        <v>107673</v>
      </c>
      <c r="O206" s="748">
        <v>1123809</v>
      </c>
      <c r="P206" s="748">
        <v>0</v>
      </c>
      <c r="Q206" s="751">
        <v>12596</v>
      </c>
      <c r="R206" s="751"/>
      <c r="S206" s="748">
        <v>886947</v>
      </c>
      <c r="T206" s="752">
        <v>11141</v>
      </c>
      <c r="U206" s="752">
        <v>898088</v>
      </c>
    </row>
    <row r="207" spans="1:21" x14ac:dyDescent="0.25">
      <c r="A207" s="749">
        <v>36200</v>
      </c>
      <c r="B207" s="747" t="s">
        <v>987</v>
      </c>
      <c r="C207" s="750">
        <v>1.593E-3</v>
      </c>
      <c r="D207" s="750">
        <v>1.632E-3</v>
      </c>
      <c r="E207" s="748">
        <v>14999766</v>
      </c>
      <c r="F207" s="751">
        <v>12639565</v>
      </c>
      <c r="G207" s="748">
        <f>VLOOKUP(A207,'[3]TSERS Contributions FY 2017'!$A$2:$C$290,3,FALSE)</f>
        <v>2300465</v>
      </c>
      <c r="H207" s="751"/>
      <c r="I207" s="748">
        <v>274002</v>
      </c>
      <c r="J207" s="748">
        <v>6026442</v>
      </c>
      <c r="K207" s="748">
        <v>1996861</v>
      </c>
      <c r="L207" s="751">
        <v>139963</v>
      </c>
      <c r="M207" s="751"/>
      <c r="N207" s="748">
        <v>413506</v>
      </c>
      <c r="O207" s="748">
        <v>4315880</v>
      </c>
      <c r="P207" s="748">
        <v>0</v>
      </c>
      <c r="Q207" s="751">
        <v>149911</v>
      </c>
      <c r="R207" s="751"/>
      <c r="S207" s="748">
        <v>3406235</v>
      </c>
      <c r="T207" s="752">
        <v>-2372</v>
      </c>
      <c r="U207" s="752">
        <v>3403864</v>
      </c>
    </row>
    <row r="208" spans="1:21" x14ac:dyDescent="0.25">
      <c r="A208" s="749">
        <v>36205</v>
      </c>
      <c r="B208" s="747" t="s">
        <v>988</v>
      </c>
      <c r="C208" s="750">
        <v>2.875E-4</v>
      </c>
      <c r="D208" s="750">
        <v>2.812E-4</v>
      </c>
      <c r="E208" s="748">
        <v>2584518</v>
      </c>
      <c r="F208" s="751">
        <v>2281152</v>
      </c>
      <c r="G208" s="748">
        <f>VLOOKUP(A208,'[3]TSERS Contributions FY 2017'!$A$2:$C$290,3,FALSE)</f>
        <v>406918</v>
      </c>
      <c r="H208" s="751"/>
      <c r="I208" s="748">
        <v>49451.15</v>
      </c>
      <c r="J208" s="748">
        <v>1087635</v>
      </c>
      <c r="K208" s="748">
        <v>360388</v>
      </c>
      <c r="L208" s="751">
        <v>100535</v>
      </c>
      <c r="M208" s="751"/>
      <c r="N208" s="748">
        <v>74628</v>
      </c>
      <c r="O208" s="748">
        <v>778917</v>
      </c>
      <c r="P208" s="748">
        <v>0</v>
      </c>
      <c r="Q208" s="751">
        <v>0</v>
      </c>
      <c r="R208" s="751"/>
      <c r="S208" s="748">
        <v>614747</v>
      </c>
      <c r="T208" s="752">
        <v>50647</v>
      </c>
      <c r="U208" s="752">
        <v>665394</v>
      </c>
    </row>
    <row r="209" spans="1:21" x14ac:dyDescent="0.25">
      <c r="A209" s="749">
        <v>36300</v>
      </c>
      <c r="B209" s="747" t="s">
        <v>989</v>
      </c>
      <c r="C209" s="750">
        <v>5.0737999999999998E-3</v>
      </c>
      <c r="D209" s="750">
        <v>5.0688E-3</v>
      </c>
      <c r="E209" s="748">
        <v>46587508</v>
      </c>
      <c r="F209" s="751">
        <v>40257767</v>
      </c>
      <c r="G209" s="748">
        <f>VLOOKUP(A209,'[3]TSERS Contributions FY 2017'!$A$2:$C$290,3,FALSE)</f>
        <v>6899437</v>
      </c>
      <c r="H209" s="751"/>
      <c r="I209" s="748">
        <v>872714</v>
      </c>
      <c r="J209" s="748">
        <v>19194576</v>
      </c>
      <c r="K209" s="748">
        <v>6360120</v>
      </c>
      <c r="L209" s="751">
        <v>422154</v>
      </c>
      <c r="M209" s="751"/>
      <c r="N209" s="748">
        <v>1317042</v>
      </c>
      <c r="O209" s="748">
        <v>13746335</v>
      </c>
      <c r="P209" s="748">
        <v>0</v>
      </c>
      <c r="Q209" s="751">
        <v>319715</v>
      </c>
      <c r="R209" s="751"/>
      <c r="S209" s="748">
        <v>10849063</v>
      </c>
      <c r="T209" s="752">
        <v>25216</v>
      </c>
      <c r="U209" s="752">
        <v>10874279</v>
      </c>
    </row>
    <row r="210" spans="1:21" x14ac:dyDescent="0.25">
      <c r="A210" s="749">
        <v>36301</v>
      </c>
      <c r="B210" s="747" t="s">
        <v>990</v>
      </c>
      <c r="C210" s="750">
        <v>7.8100000000000001E-5</v>
      </c>
      <c r="D210" s="750">
        <v>6.3499999999999999E-5</v>
      </c>
      <c r="E210" s="748">
        <v>583631</v>
      </c>
      <c r="F210" s="751">
        <v>619680</v>
      </c>
      <c r="G210" s="748">
        <f>VLOOKUP(A210,'[3]TSERS Contributions FY 2017'!$A$2:$C$290,3,FALSE)</f>
        <v>91684</v>
      </c>
      <c r="H210" s="751"/>
      <c r="I210" s="748">
        <v>13434</v>
      </c>
      <c r="J210" s="748">
        <v>295458</v>
      </c>
      <c r="K210" s="748">
        <v>97900</v>
      </c>
      <c r="L210" s="751">
        <v>66125</v>
      </c>
      <c r="M210" s="751"/>
      <c r="N210" s="748">
        <v>20273</v>
      </c>
      <c r="O210" s="748">
        <v>211595</v>
      </c>
      <c r="P210" s="748">
        <v>0</v>
      </c>
      <c r="Q210" s="751">
        <v>0</v>
      </c>
      <c r="R210" s="751"/>
      <c r="S210" s="748">
        <v>166997</v>
      </c>
      <c r="T210" s="752">
        <v>25963</v>
      </c>
      <c r="U210" s="752">
        <v>192960</v>
      </c>
    </row>
    <row r="211" spans="1:21" x14ac:dyDescent="0.25">
      <c r="A211" s="749">
        <v>36302</v>
      </c>
      <c r="B211" s="747" t="s">
        <v>991</v>
      </c>
      <c r="C211" s="750">
        <v>1.194E-4</v>
      </c>
      <c r="D211" s="750">
        <v>1.2420000000000001E-4</v>
      </c>
      <c r="E211" s="748">
        <v>1141526</v>
      </c>
      <c r="F211" s="751">
        <v>947372</v>
      </c>
      <c r="G211" s="748">
        <f>VLOOKUP(A211,'[3]TSERS Contributions FY 2017'!$A$2:$C$290,3,FALSE)</f>
        <v>143357</v>
      </c>
      <c r="H211" s="751"/>
      <c r="I211" s="748">
        <v>20537</v>
      </c>
      <c r="J211" s="748">
        <v>451699</v>
      </c>
      <c r="K211" s="748">
        <v>149671</v>
      </c>
      <c r="L211" s="751">
        <v>38370</v>
      </c>
      <c r="M211" s="751"/>
      <c r="N211" s="748">
        <v>30993</v>
      </c>
      <c r="O211" s="748">
        <v>323488</v>
      </c>
      <c r="P211" s="748">
        <v>0</v>
      </c>
      <c r="Q211" s="751">
        <v>59336</v>
      </c>
      <c r="R211" s="751"/>
      <c r="S211" s="748">
        <v>255307</v>
      </c>
      <c r="T211" s="752">
        <v>7890</v>
      </c>
      <c r="U211" s="752">
        <v>263198</v>
      </c>
    </row>
    <row r="212" spans="1:21" x14ac:dyDescent="0.25">
      <c r="A212" s="749">
        <v>36305</v>
      </c>
      <c r="B212" s="747" t="s">
        <v>992</v>
      </c>
      <c r="C212" s="750">
        <v>9.5120000000000003E-4</v>
      </c>
      <c r="D212" s="750">
        <v>9.9630000000000009E-4</v>
      </c>
      <c r="E212" s="748">
        <v>9157026</v>
      </c>
      <c r="F212" s="751">
        <v>7547240</v>
      </c>
      <c r="G212" s="748">
        <f>VLOOKUP(A212,'[3]TSERS Contributions FY 2017'!$A$2:$C$290,3,FALSE)</f>
        <v>1523974</v>
      </c>
      <c r="H212" s="751"/>
      <c r="I212" s="748">
        <v>163610</v>
      </c>
      <c r="J212" s="748">
        <v>3598463</v>
      </c>
      <c r="K212" s="748">
        <v>1192350</v>
      </c>
      <c r="L212" s="751">
        <v>187769</v>
      </c>
      <c r="M212" s="751"/>
      <c r="N212" s="748">
        <v>246910</v>
      </c>
      <c r="O212" s="748">
        <v>2577065</v>
      </c>
      <c r="P212" s="748">
        <v>0</v>
      </c>
      <c r="Q212" s="751">
        <v>75794</v>
      </c>
      <c r="R212" s="751"/>
      <c r="S212" s="748">
        <v>2033905</v>
      </c>
      <c r="T212" s="752">
        <v>39422</v>
      </c>
      <c r="U212" s="752">
        <v>2073327</v>
      </c>
    </row>
    <row r="213" spans="1:21" x14ac:dyDescent="0.25">
      <c r="A213" s="753">
        <v>36310</v>
      </c>
      <c r="B213" s="747" t="s">
        <v>1555</v>
      </c>
      <c r="C213" s="750">
        <v>3.8000000000000002E-5</v>
      </c>
      <c r="D213" s="750">
        <v>0</v>
      </c>
      <c r="E213" s="748">
        <v>0</v>
      </c>
      <c r="F213" s="751">
        <v>301509</v>
      </c>
      <c r="G213" s="748">
        <f>VLOOKUP(A213,'[3]TSERS Contributions FY 2017'!$A$2:$C$290,3,FALSE)</f>
        <v>49220</v>
      </c>
      <c r="H213" s="751"/>
      <c r="I213" s="748">
        <v>6536</v>
      </c>
      <c r="J213" s="748">
        <v>143757</v>
      </c>
      <c r="K213" s="748">
        <v>47634</v>
      </c>
      <c r="L213" s="751">
        <v>138273</v>
      </c>
      <c r="M213" s="751"/>
      <c r="N213" s="748">
        <v>9864</v>
      </c>
      <c r="O213" s="748">
        <v>102953</v>
      </c>
      <c r="P213" s="748">
        <v>0</v>
      </c>
      <c r="Q213" s="751">
        <v>0</v>
      </c>
      <c r="R213" s="751"/>
      <c r="S213" s="748">
        <v>81254</v>
      </c>
      <c r="T213" s="752">
        <v>46091</v>
      </c>
      <c r="U213" s="752">
        <v>127345</v>
      </c>
    </row>
    <row r="214" spans="1:21" x14ac:dyDescent="0.25">
      <c r="A214" s="749">
        <v>36400</v>
      </c>
      <c r="B214" s="747" t="s">
        <v>993</v>
      </c>
      <c r="C214" s="750">
        <v>5.6394000000000001E-3</v>
      </c>
      <c r="D214" s="750">
        <v>5.4936000000000004E-3</v>
      </c>
      <c r="E214" s="748">
        <v>50491859</v>
      </c>
      <c r="F214" s="751">
        <v>44745487</v>
      </c>
      <c r="G214" s="748">
        <f>VLOOKUP(A214,'[3]TSERS Contributions FY 2017'!$A$2:$C$290,3,FALSE)</f>
        <v>8123352</v>
      </c>
      <c r="H214" s="751"/>
      <c r="I214" s="748">
        <v>969999</v>
      </c>
      <c r="J214" s="748">
        <v>21334284</v>
      </c>
      <c r="K214" s="748">
        <v>7069112</v>
      </c>
      <c r="L214" s="751">
        <v>736117</v>
      </c>
      <c r="M214" s="751"/>
      <c r="N214" s="748">
        <v>1463859</v>
      </c>
      <c r="O214" s="748">
        <v>15278702</v>
      </c>
      <c r="P214" s="748">
        <v>0</v>
      </c>
      <c r="Q214" s="751">
        <v>615427</v>
      </c>
      <c r="R214" s="751"/>
      <c r="S214" s="748">
        <v>12058458</v>
      </c>
      <c r="T214" s="752">
        <v>-444562</v>
      </c>
      <c r="U214" s="752">
        <v>11613896</v>
      </c>
    </row>
    <row r="215" spans="1:21" x14ac:dyDescent="0.25">
      <c r="A215" s="749">
        <v>36405</v>
      </c>
      <c r="B215" s="747" t="s">
        <v>994</v>
      </c>
      <c r="C215" s="750">
        <v>9.7380000000000003E-4</v>
      </c>
      <c r="D215" s="750">
        <v>9.4269999999999998E-4</v>
      </c>
      <c r="E215" s="748">
        <v>8664387</v>
      </c>
      <c r="F215" s="751">
        <v>7726559</v>
      </c>
      <c r="G215" s="748">
        <f>VLOOKUP(A215,'[3]TSERS Contributions FY 2017'!$A$2:$C$290,3,FALSE)</f>
        <v>1333428</v>
      </c>
      <c r="H215" s="751"/>
      <c r="I215" s="748">
        <v>167497</v>
      </c>
      <c r="J215" s="748">
        <v>3683960</v>
      </c>
      <c r="K215" s="748">
        <v>1220680</v>
      </c>
      <c r="L215" s="751">
        <v>253423</v>
      </c>
      <c r="M215" s="751"/>
      <c r="N215" s="748">
        <v>252776</v>
      </c>
      <c r="O215" s="748">
        <v>2638295</v>
      </c>
      <c r="P215" s="748">
        <v>0</v>
      </c>
      <c r="Q215" s="751">
        <v>0</v>
      </c>
      <c r="R215" s="751"/>
      <c r="S215" s="748">
        <v>2082230</v>
      </c>
      <c r="T215" s="752">
        <v>160625</v>
      </c>
      <c r="U215" s="752">
        <v>2242854</v>
      </c>
    </row>
    <row r="216" spans="1:21" x14ac:dyDescent="0.25">
      <c r="A216" s="749">
        <v>36500</v>
      </c>
      <c r="B216" s="747" t="s">
        <v>995</v>
      </c>
      <c r="C216" s="750">
        <v>1.0977199999999999E-2</v>
      </c>
      <c r="D216" s="750">
        <v>1.07055E-2</v>
      </c>
      <c r="E216" s="748">
        <v>98394604</v>
      </c>
      <c r="F216" s="751">
        <v>87097946</v>
      </c>
      <c r="G216" s="748">
        <f>VLOOKUP(A216,'[3]TSERS Contributions FY 2017'!$A$2:$C$290,3,FALSE)</f>
        <v>15013988</v>
      </c>
      <c r="H216" s="751"/>
      <c r="I216" s="748">
        <v>1888122</v>
      </c>
      <c r="J216" s="748">
        <v>41527593</v>
      </c>
      <c r="K216" s="748">
        <v>13760162</v>
      </c>
      <c r="L216" s="751">
        <v>1222798</v>
      </c>
      <c r="M216" s="751"/>
      <c r="N216" s="748">
        <v>2849429</v>
      </c>
      <c r="O216" s="748">
        <v>29740286</v>
      </c>
      <c r="P216" s="748">
        <v>0</v>
      </c>
      <c r="Q216" s="751">
        <v>0</v>
      </c>
      <c r="R216" s="751"/>
      <c r="S216" s="748">
        <v>23472020</v>
      </c>
      <c r="T216" s="752">
        <v>746838</v>
      </c>
      <c r="U216" s="752">
        <v>24218857</v>
      </c>
    </row>
    <row r="217" spans="1:21" x14ac:dyDescent="0.25">
      <c r="A217" s="749">
        <v>36501</v>
      </c>
      <c r="B217" s="747" t="s">
        <v>996</v>
      </c>
      <c r="C217" s="750">
        <v>1.429E-4</v>
      </c>
      <c r="D217" s="750">
        <v>1.205E-4</v>
      </c>
      <c r="E217" s="748">
        <v>1107519</v>
      </c>
      <c r="F217" s="751">
        <v>1133832</v>
      </c>
      <c r="G217" s="748">
        <f>VLOOKUP(A217,'[3]TSERS Contributions FY 2017'!$A$2:$C$290,3,FALSE)</f>
        <v>170678</v>
      </c>
      <c r="H217" s="751"/>
      <c r="I217" s="748">
        <v>24579</v>
      </c>
      <c r="J217" s="748">
        <v>540602</v>
      </c>
      <c r="K217" s="748">
        <v>179128</v>
      </c>
      <c r="L217" s="751">
        <v>72106</v>
      </c>
      <c r="M217" s="751"/>
      <c r="N217" s="748">
        <v>37094</v>
      </c>
      <c r="O217" s="748">
        <v>387156</v>
      </c>
      <c r="P217" s="748">
        <v>0</v>
      </c>
      <c r="Q217" s="751">
        <v>3466</v>
      </c>
      <c r="R217" s="751"/>
      <c r="S217" s="748">
        <v>305556</v>
      </c>
      <c r="T217" s="752">
        <v>27413</v>
      </c>
      <c r="U217" s="752">
        <v>332969</v>
      </c>
    </row>
    <row r="218" spans="1:21" x14ac:dyDescent="0.25">
      <c r="A218" s="749">
        <v>36502</v>
      </c>
      <c r="B218" s="747" t="s">
        <v>997</v>
      </c>
      <c r="C218" s="750">
        <v>4.9200000000000003E-5</v>
      </c>
      <c r="D218" s="750">
        <v>5.1600000000000001E-5</v>
      </c>
      <c r="E218" s="748">
        <v>474257</v>
      </c>
      <c r="F218" s="751">
        <v>390374</v>
      </c>
      <c r="G218" s="748">
        <f>VLOOKUP(A218,'[3]TSERS Contributions FY 2017'!$A$2:$C$290,3,FALSE)</f>
        <v>61164</v>
      </c>
      <c r="H218" s="751"/>
      <c r="I218" s="748">
        <v>8463</v>
      </c>
      <c r="J218" s="748">
        <v>186127</v>
      </c>
      <c r="K218" s="748">
        <v>61673</v>
      </c>
      <c r="L218" s="751">
        <v>17297</v>
      </c>
      <c r="M218" s="751"/>
      <c r="N218" s="748">
        <v>12771</v>
      </c>
      <c r="O218" s="748">
        <v>133296</v>
      </c>
      <c r="P218" s="748">
        <v>0</v>
      </c>
      <c r="Q218" s="751">
        <v>21485</v>
      </c>
      <c r="R218" s="751"/>
      <c r="S218" s="748">
        <v>105202</v>
      </c>
      <c r="T218" s="752">
        <v>2711</v>
      </c>
      <c r="U218" s="752">
        <v>107913</v>
      </c>
    </row>
    <row r="219" spans="1:21" x14ac:dyDescent="0.25">
      <c r="A219" s="749">
        <v>36505</v>
      </c>
      <c r="B219" s="747" t="s">
        <v>998</v>
      </c>
      <c r="C219" s="750">
        <v>2.2230000000000001E-3</v>
      </c>
      <c r="D219" s="750">
        <v>2.1451999999999999E-3</v>
      </c>
      <c r="E219" s="748">
        <v>19716604</v>
      </c>
      <c r="F219" s="751">
        <v>17638262</v>
      </c>
      <c r="G219" s="748">
        <f>VLOOKUP(A219,'[3]TSERS Contributions FY 2017'!$A$2:$C$290,3,FALSE)</f>
        <v>3234988</v>
      </c>
      <c r="H219" s="751"/>
      <c r="I219" s="748">
        <v>382365</v>
      </c>
      <c r="J219" s="748">
        <v>8409780</v>
      </c>
      <c r="K219" s="748">
        <v>2786579</v>
      </c>
      <c r="L219" s="751">
        <v>639072</v>
      </c>
      <c r="M219" s="751"/>
      <c r="N219" s="748">
        <v>577040</v>
      </c>
      <c r="O219" s="748">
        <v>6022725</v>
      </c>
      <c r="P219" s="748">
        <v>0</v>
      </c>
      <c r="Q219" s="751">
        <v>118184</v>
      </c>
      <c r="R219" s="751"/>
      <c r="S219" s="748">
        <v>4753334</v>
      </c>
      <c r="T219" s="752">
        <v>249914</v>
      </c>
      <c r="U219" s="752">
        <v>5003249</v>
      </c>
    </row>
    <row r="220" spans="1:21" x14ac:dyDescent="0.25">
      <c r="A220" s="749">
        <v>36600</v>
      </c>
      <c r="B220" s="747" t="s">
        <v>999</v>
      </c>
      <c r="C220" s="750">
        <v>7.8490000000000005E-4</v>
      </c>
      <c r="D220" s="750">
        <v>7.938E-4</v>
      </c>
      <c r="E220" s="748">
        <v>7295842</v>
      </c>
      <c r="F220" s="751">
        <v>6227743</v>
      </c>
      <c r="G220" s="748">
        <f>VLOOKUP(A220,'[3]TSERS Contributions FY 2017'!$A$2:$C$290,3,FALSE)</f>
        <v>1237270</v>
      </c>
      <c r="H220" s="751"/>
      <c r="I220" s="748">
        <v>135006</v>
      </c>
      <c r="J220" s="748">
        <v>2969337</v>
      </c>
      <c r="K220" s="748">
        <v>983889</v>
      </c>
      <c r="L220" s="751">
        <v>49468</v>
      </c>
      <c r="M220" s="751"/>
      <c r="N220" s="748">
        <v>203742</v>
      </c>
      <c r="O220" s="748">
        <v>2126512</v>
      </c>
      <c r="P220" s="748">
        <v>0</v>
      </c>
      <c r="Q220" s="751">
        <v>141488</v>
      </c>
      <c r="R220" s="751"/>
      <c r="S220" s="748">
        <v>1678314</v>
      </c>
      <c r="T220" s="752">
        <v>-79804</v>
      </c>
      <c r="U220" s="752">
        <v>1598510</v>
      </c>
    </row>
    <row r="221" spans="1:21" x14ac:dyDescent="0.25">
      <c r="A221" s="749">
        <v>36601</v>
      </c>
      <c r="B221" s="747" t="s">
        <v>1000</v>
      </c>
      <c r="C221" s="750">
        <v>4.5150000000000002E-4</v>
      </c>
      <c r="D221" s="750">
        <v>4.0440000000000002E-4</v>
      </c>
      <c r="E221" s="748">
        <v>3716854</v>
      </c>
      <c r="F221" s="751">
        <v>3582400</v>
      </c>
      <c r="G221" s="748">
        <f>VLOOKUP(A221,'[3]TSERS Contributions FY 2017'!$A$2:$C$290,3,FALSE)</f>
        <v>529533</v>
      </c>
      <c r="H221" s="751"/>
      <c r="I221" s="748">
        <v>77660</v>
      </c>
      <c r="J221" s="748">
        <v>1708059</v>
      </c>
      <c r="K221" s="748">
        <v>565965</v>
      </c>
      <c r="L221" s="751">
        <v>245554</v>
      </c>
      <c r="M221" s="751"/>
      <c r="N221" s="748">
        <v>117199</v>
      </c>
      <c r="O221" s="748">
        <v>1223239</v>
      </c>
      <c r="P221" s="748">
        <v>0</v>
      </c>
      <c r="Q221" s="751">
        <v>0</v>
      </c>
      <c r="R221" s="751"/>
      <c r="S221" s="748">
        <v>965421</v>
      </c>
      <c r="T221" s="752">
        <v>126841</v>
      </c>
      <c r="U221" s="752">
        <v>1092262</v>
      </c>
    </row>
    <row r="222" spans="1:21" x14ac:dyDescent="0.25">
      <c r="A222" s="749">
        <v>36700</v>
      </c>
      <c r="B222" s="747" t="s">
        <v>1001</v>
      </c>
      <c r="C222" s="750">
        <v>9.1883999999999993E-3</v>
      </c>
      <c r="D222" s="750">
        <v>9.1280000000000007E-3</v>
      </c>
      <c r="E222" s="748">
        <v>83895749</v>
      </c>
      <c r="F222" s="751">
        <v>72904818</v>
      </c>
      <c r="G222" s="748">
        <f>VLOOKUP(A222,'[3]TSERS Contributions FY 2017'!$A$2:$C$290,3,FALSE)</f>
        <v>12459213</v>
      </c>
      <c r="H222" s="751"/>
      <c r="I222" s="748">
        <v>1580442</v>
      </c>
      <c r="J222" s="748">
        <v>34760425</v>
      </c>
      <c r="K222" s="748">
        <v>11517862</v>
      </c>
      <c r="L222" s="751">
        <v>641940</v>
      </c>
      <c r="M222" s="751"/>
      <c r="N222" s="748">
        <v>2385097</v>
      </c>
      <c r="O222" s="748">
        <v>24893930</v>
      </c>
      <c r="P222" s="748">
        <v>0</v>
      </c>
      <c r="Q222" s="751">
        <v>1438682</v>
      </c>
      <c r="R222" s="751"/>
      <c r="S222" s="748">
        <v>19647115</v>
      </c>
      <c r="T222" s="752">
        <v>-70317</v>
      </c>
      <c r="U222" s="752">
        <v>19576797</v>
      </c>
    </row>
    <row r="223" spans="1:21" x14ac:dyDescent="0.25">
      <c r="A223" s="749">
        <v>36701</v>
      </c>
      <c r="B223" s="747" t="s">
        <v>1002</v>
      </c>
      <c r="C223" s="750">
        <v>3.2400000000000001E-5</v>
      </c>
      <c r="D223" s="750">
        <v>4.6300000000000001E-5</v>
      </c>
      <c r="E223" s="748">
        <v>425545</v>
      </c>
      <c r="F223" s="751">
        <v>257076</v>
      </c>
      <c r="G223" s="748">
        <f>VLOOKUP(A223,'[3]TSERS Contributions FY 2017'!$A$2:$C$290,3,FALSE)</f>
        <v>34636</v>
      </c>
      <c r="H223" s="751"/>
      <c r="I223" s="748">
        <v>5573</v>
      </c>
      <c r="J223" s="748">
        <v>122572</v>
      </c>
      <c r="K223" s="748">
        <v>40614</v>
      </c>
      <c r="L223" s="751">
        <v>65078</v>
      </c>
      <c r="M223" s="751"/>
      <c r="N223" s="748">
        <v>8410</v>
      </c>
      <c r="O223" s="748">
        <v>87781</v>
      </c>
      <c r="P223" s="748">
        <v>0</v>
      </c>
      <c r="Q223" s="751">
        <v>60954</v>
      </c>
      <c r="R223" s="751"/>
      <c r="S223" s="748">
        <v>69279</v>
      </c>
      <c r="T223" s="752">
        <v>29165</v>
      </c>
      <c r="U223" s="752">
        <v>98444</v>
      </c>
    </row>
    <row r="224" spans="1:21" x14ac:dyDescent="0.25">
      <c r="A224" s="749">
        <v>36705</v>
      </c>
      <c r="B224" s="747" t="s">
        <v>1003</v>
      </c>
      <c r="C224" s="750">
        <v>1.0859000000000001E-3</v>
      </c>
      <c r="D224" s="750">
        <v>1.0365999999999999E-3</v>
      </c>
      <c r="E224" s="748">
        <v>9527425</v>
      </c>
      <c r="F224" s="751">
        <v>8616009</v>
      </c>
      <c r="G224" s="748">
        <f>VLOOKUP(A224,'[3]TSERS Contributions FY 2017'!$A$2:$C$290,3,FALSE)</f>
        <v>1583552</v>
      </c>
      <c r="H224" s="751"/>
      <c r="I224" s="748">
        <v>186779</v>
      </c>
      <c r="J224" s="748">
        <v>4108043</v>
      </c>
      <c r="K224" s="748">
        <v>1361200</v>
      </c>
      <c r="L224" s="751">
        <v>260375</v>
      </c>
      <c r="M224" s="751"/>
      <c r="N224" s="748">
        <v>281875</v>
      </c>
      <c r="O224" s="748">
        <v>2942005</v>
      </c>
      <c r="P224" s="748">
        <v>0</v>
      </c>
      <c r="Q224" s="751">
        <v>24908</v>
      </c>
      <c r="R224" s="751"/>
      <c r="S224" s="748">
        <v>2321928</v>
      </c>
      <c r="T224" s="752">
        <v>63786</v>
      </c>
      <c r="U224" s="752">
        <v>2385714</v>
      </c>
    </row>
    <row r="225" spans="1:21" x14ac:dyDescent="0.25">
      <c r="A225" s="749">
        <v>36800</v>
      </c>
      <c r="B225" s="747" t="s">
        <v>1004</v>
      </c>
      <c r="C225" s="750">
        <v>3.5022999999999999E-3</v>
      </c>
      <c r="D225" s="750">
        <v>3.4369000000000001E-3</v>
      </c>
      <c r="E225" s="748">
        <v>31588661</v>
      </c>
      <c r="F225" s="751">
        <v>27788793</v>
      </c>
      <c r="G225" s="748">
        <f>VLOOKUP(A225,'[3]TSERS Contributions FY 2017'!$A$2:$C$290,3,FALSE)</f>
        <v>5008222</v>
      </c>
      <c r="H225" s="751"/>
      <c r="I225" s="748">
        <v>602410</v>
      </c>
      <c r="J225" s="748">
        <v>13249471</v>
      </c>
      <c r="K225" s="748">
        <v>4390210</v>
      </c>
      <c r="L225" s="751">
        <v>569085</v>
      </c>
      <c r="M225" s="751"/>
      <c r="N225" s="748">
        <v>909117</v>
      </c>
      <c r="O225" s="748">
        <v>9488704</v>
      </c>
      <c r="P225" s="748">
        <v>0</v>
      </c>
      <c r="Q225" s="751">
        <v>30544</v>
      </c>
      <c r="R225" s="751"/>
      <c r="S225" s="748">
        <v>7488800</v>
      </c>
      <c r="T225" s="752">
        <v>195677</v>
      </c>
      <c r="U225" s="752">
        <v>7684477</v>
      </c>
    </row>
    <row r="226" spans="1:21" x14ac:dyDescent="0.25">
      <c r="A226" s="749">
        <v>36801</v>
      </c>
      <c r="B226" s="747" t="s">
        <v>1005</v>
      </c>
      <c r="C226" s="750">
        <v>0</v>
      </c>
      <c r="D226" s="750">
        <v>0</v>
      </c>
      <c r="E226" s="748">
        <v>0</v>
      </c>
      <c r="F226" s="751">
        <v>0</v>
      </c>
      <c r="G226" s="748">
        <v>0</v>
      </c>
      <c r="H226" s="751"/>
      <c r="I226" s="748">
        <v>0</v>
      </c>
      <c r="J226" s="748">
        <v>0</v>
      </c>
      <c r="K226" s="748">
        <v>0</v>
      </c>
      <c r="L226" s="751">
        <v>0</v>
      </c>
      <c r="M226" s="751"/>
      <c r="N226" s="748">
        <v>0</v>
      </c>
      <c r="O226" s="748">
        <v>0</v>
      </c>
      <c r="P226" s="748">
        <v>0</v>
      </c>
      <c r="Q226" s="751">
        <v>162661</v>
      </c>
      <c r="R226" s="751"/>
      <c r="S226" s="748">
        <v>0</v>
      </c>
      <c r="T226" s="752">
        <v>-70677</v>
      </c>
      <c r="U226" s="752">
        <v>-70677</v>
      </c>
    </row>
    <row r="227" spans="1:21" x14ac:dyDescent="0.25">
      <c r="A227" s="749">
        <v>36802</v>
      </c>
      <c r="B227" s="747" t="s">
        <v>1006</v>
      </c>
      <c r="C227" s="750">
        <v>1.2549999999999999E-4</v>
      </c>
      <c r="D227" s="750">
        <v>9.0199999999999997E-5</v>
      </c>
      <c r="E227" s="748">
        <v>829031</v>
      </c>
      <c r="F227" s="751">
        <v>995772</v>
      </c>
      <c r="G227" s="748">
        <f>VLOOKUP(A227,'[3]TSERS Contributions FY 2017'!$A$2:$C$290,3,FALSE)</f>
        <v>138917</v>
      </c>
      <c r="H227" s="751"/>
      <c r="I227" s="748">
        <v>21587</v>
      </c>
      <c r="J227" s="748">
        <v>474776</v>
      </c>
      <c r="K227" s="748">
        <v>157317</v>
      </c>
      <c r="L227" s="751">
        <v>102131</v>
      </c>
      <c r="M227" s="751"/>
      <c r="N227" s="748">
        <v>32577</v>
      </c>
      <c r="O227" s="748">
        <v>340014</v>
      </c>
      <c r="P227" s="748">
        <v>0</v>
      </c>
      <c r="Q227" s="751">
        <v>22784</v>
      </c>
      <c r="R227" s="751"/>
      <c r="S227" s="748">
        <v>268351</v>
      </c>
      <c r="T227" s="752">
        <v>12992</v>
      </c>
      <c r="U227" s="752">
        <v>281343</v>
      </c>
    </row>
    <row r="228" spans="1:21" x14ac:dyDescent="0.25">
      <c r="A228" s="749">
        <v>36810</v>
      </c>
      <c r="B228" s="747" t="s">
        <v>1007</v>
      </c>
      <c r="C228" s="750">
        <v>6.5713000000000004E-3</v>
      </c>
      <c r="D228" s="750">
        <v>6.6347000000000003E-3</v>
      </c>
      <c r="E228" s="748">
        <v>60979747</v>
      </c>
      <c r="F228" s="751">
        <v>52139592</v>
      </c>
      <c r="G228" s="748">
        <f>VLOOKUP(A228,'[3]TSERS Contributions FY 2017'!$A$2:$C$290,3,FALSE)</f>
        <v>8961885</v>
      </c>
      <c r="H228" s="751"/>
      <c r="I228" s="748">
        <v>1130290</v>
      </c>
      <c r="J228" s="748">
        <v>24859734</v>
      </c>
      <c r="K228" s="748">
        <v>8237269</v>
      </c>
      <c r="L228" s="751">
        <v>317367</v>
      </c>
      <c r="M228" s="751"/>
      <c r="N228" s="748">
        <v>1705758</v>
      </c>
      <c r="O228" s="748">
        <v>17803479</v>
      </c>
      <c r="P228" s="748">
        <v>0</v>
      </c>
      <c r="Q228" s="751">
        <v>591784</v>
      </c>
      <c r="R228" s="751"/>
      <c r="S228" s="748">
        <v>14051095</v>
      </c>
      <c r="T228" s="752">
        <v>-6798</v>
      </c>
      <c r="U228" s="752">
        <v>14044297</v>
      </c>
    </row>
    <row r="229" spans="1:21" x14ac:dyDescent="0.25">
      <c r="A229" s="749">
        <v>36900</v>
      </c>
      <c r="B229" s="747" t="s">
        <v>1008</v>
      </c>
      <c r="C229" s="750">
        <v>6.4899999999999995E-4</v>
      </c>
      <c r="D229" s="750">
        <v>6.5419999999999996E-4</v>
      </c>
      <c r="E229" s="748">
        <v>6012774</v>
      </c>
      <c r="F229" s="751">
        <v>5149452</v>
      </c>
      <c r="G229" s="748">
        <f>VLOOKUP(A229,'[3]TSERS Contributions FY 2017'!$A$2:$C$290,3,FALSE)</f>
        <v>923489</v>
      </c>
      <c r="H229" s="751"/>
      <c r="I229" s="748">
        <v>111631</v>
      </c>
      <c r="J229" s="748">
        <v>2455217</v>
      </c>
      <c r="K229" s="748">
        <v>813536</v>
      </c>
      <c r="L229" s="751">
        <v>48472</v>
      </c>
      <c r="M229" s="751"/>
      <c r="N229" s="748">
        <v>168465</v>
      </c>
      <c r="O229" s="748">
        <v>1758321</v>
      </c>
      <c r="P229" s="748">
        <v>0</v>
      </c>
      <c r="Q229" s="751">
        <v>25681</v>
      </c>
      <c r="R229" s="751"/>
      <c r="S229" s="748">
        <v>1387726</v>
      </c>
      <c r="T229" s="752">
        <v>13890</v>
      </c>
      <c r="U229" s="752">
        <v>1401616</v>
      </c>
    </row>
    <row r="230" spans="1:21" x14ac:dyDescent="0.25">
      <c r="A230" s="749">
        <v>36901</v>
      </c>
      <c r="B230" s="747" t="s">
        <v>1009</v>
      </c>
      <c r="C230" s="750">
        <v>2.232E-4</v>
      </c>
      <c r="D230" s="750">
        <v>2.1709999999999999E-4</v>
      </c>
      <c r="E230" s="748">
        <v>1995373</v>
      </c>
      <c r="F230" s="751">
        <v>1770967</v>
      </c>
      <c r="G230" s="748">
        <f>VLOOKUP(A230,'[3]TSERS Contributions FY 2017'!$A$2:$C$290,3,FALSE)</f>
        <v>316089</v>
      </c>
      <c r="H230" s="751"/>
      <c r="I230" s="748">
        <v>38391</v>
      </c>
      <c r="J230" s="748">
        <v>844383</v>
      </c>
      <c r="K230" s="748">
        <v>279786</v>
      </c>
      <c r="L230" s="751">
        <v>84676</v>
      </c>
      <c r="M230" s="751"/>
      <c r="N230" s="748">
        <v>57938</v>
      </c>
      <c r="O230" s="748">
        <v>604711</v>
      </c>
      <c r="P230" s="748">
        <v>0</v>
      </c>
      <c r="Q230" s="751">
        <v>391</v>
      </c>
      <c r="R230" s="751"/>
      <c r="S230" s="748">
        <v>477258</v>
      </c>
      <c r="T230" s="752">
        <v>36646</v>
      </c>
      <c r="U230" s="752">
        <v>513904</v>
      </c>
    </row>
    <row r="231" spans="1:21" x14ac:dyDescent="0.25">
      <c r="A231" s="749">
        <v>36905</v>
      </c>
      <c r="B231" s="747" t="s">
        <v>1010</v>
      </c>
      <c r="C231" s="750">
        <v>2.2240000000000001E-4</v>
      </c>
      <c r="D231" s="750">
        <v>2.084E-4</v>
      </c>
      <c r="E231" s="748">
        <v>1915411</v>
      </c>
      <c r="F231" s="751">
        <v>1764620</v>
      </c>
      <c r="G231" s="748">
        <f>VLOOKUP(A231,'[3]TSERS Contributions FY 2017'!$A$2:$C$290,3,FALSE)</f>
        <v>356645</v>
      </c>
      <c r="H231" s="751"/>
      <c r="I231" s="748">
        <v>38254</v>
      </c>
      <c r="J231" s="748">
        <v>841356</v>
      </c>
      <c r="K231" s="748">
        <v>278783</v>
      </c>
      <c r="L231" s="751">
        <v>131941</v>
      </c>
      <c r="M231" s="751"/>
      <c r="N231" s="748">
        <v>57730</v>
      </c>
      <c r="O231" s="748">
        <v>602543</v>
      </c>
      <c r="P231" s="748">
        <v>0</v>
      </c>
      <c r="Q231" s="751">
        <v>346</v>
      </c>
      <c r="R231" s="751"/>
      <c r="S231" s="748">
        <v>475547</v>
      </c>
      <c r="T231" s="752">
        <v>54536</v>
      </c>
      <c r="U231" s="752">
        <v>530084</v>
      </c>
    </row>
    <row r="232" spans="1:21" x14ac:dyDescent="0.25">
      <c r="A232" s="749">
        <v>37000</v>
      </c>
      <c r="B232" s="747" t="s">
        <v>1011</v>
      </c>
      <c r="C232" s="750">
        <v>2.1825E-3</v>
      </c>
      <c r="D232" s="750">
        <v>2.2902999999999999E-3</v>
      </c>
      <c r="E232" s="748">
        <v>21050223</v>
      </c>
      <c r="F232" s="751">
        <v>17316917</v>
      </c>
      <c r="G232" s="748">
        <f>VLOOKUP(A232,'[3]TSERS Contributions FY 2017'!$A$2:$C$290,3,FALSE)</f>
        <v>3052554</v>
      </c>
      <c r="H232" s="751"/>
      <c r="I232" s="748">
        <v>375398.73</v>
      </c>
      <c r="J232" s="748">
        <v>8256566</v>
      </c>
      <c r="K232" s="748">
        <v>2735812</v>
      </c>
      <c r="L232" s="751">
        <v>348380</v>
      </c>
      <c r="M232" s="751"/>
      <c r="N232" s="748">
        <v>566527</v>
      </c>
      <c r="O232" s="748">
        <v>5912999</v>
      </c>
      <c r="P232" s="748">
        <v>0</v>
      </c>
      <c r="Q232" s="751">
        <v>542531</v>
      </c>
      <c r="R232" s="751"/>
      <c r="S232" s="748">
        <v>4666734.99</v>
      </c>
      <c r="T232" s="752">
        <v>-93290</v>
      </c>
      <c r="U232" s="752">
        <v>4573445</v>
      </c>
    </row>
    <row r="233" spans="1:21" x14ac:dyDescent="0.25">
      <c r="A233" s="749">
        <v>37001</v>
      </c>
      <c r="B233" s="747" t="s">
        <v>1168</v>
      </c>
      <c r="C233" s="750">
        <v>8.7800000000000006E-5</v>
      </c>
      <c r="D233" s="750">
        <v>4.4100000000000001E-5</v>
      </c>
      <c r="E233" s="748">
        <v>405325</v>
      </c>
      <c r="F233" s="751">
        <v>696644</v>
      </c>
      <c r="G233" s="748">
        <f>VLOOKUP(A233,'[3]TSERS Contributions FY 2017'!$A$2:$C$290,3,FALSE)</f>
        <v>102761</v>
      </c>
      <c r="H233" s="751"/>
      <c r="I233" s="748">
        <v>15102</v>
      </c>
      <c r="J233" s="748">
        <v>332154</v>
      </c>
      <c r="K233" s="748">
        <v>110059</v>
      </c>
      <c r="L233" s="751">
        <v>251793</v>
      </c>
      <c r="M233" s="751"/>
      <c r="N233" s="748">
        <v>22791</v>
      </c>
      <c r="O233" s="748">
        <v>237875</v>
      </c>
      <c r="P233" s="748">
        <v>0</v>
      </c>
      <c r="Q233" s="751">
        <v>0</v>
      </c>
      <c r="R233" s="751"/>
      <c r="S233" s="748">
        <v>187739</v>
      </c>
      <c r="T233" s="752">
        <v>91144</v>
      </c>
      <c r="U233" s="752">
        <v>278882</v>
      </c>
    </row>
    <row r="234" spans="1:21" x14ac:dyDescent="0.25">
      <c r="A234" s="749">
        <v>37005</v>
      </c>
      <c r="B234" s="747" t="s">
        <v>1012</v>
      </c>
      <c r="C234" s="750">
        <v>5.287E-4</v>
      </c>
      <c r="D234" s="750">
        <v>5.3939999999999999E-4</v>
      </c>
      <c r="E234" s="748">
        <v>4957643</v>
      </c>
      <c r="F234" s="751">
        <v>4194939</v>
      </c>
      <c r="G234" s="748">
        <f>VLOOKUP(A234,'[3]TSERS Contributions FY 2017'!$A$2:$C$290,3,FALSE)</f>
        <v>843612</v>
      </c>
      <c r="H234" s="751"/>
      <c r="I234" s="748">
        <v>90939</v>
      </c>
      <c r="J234" s="748">
        <v>2000113</v>
      </c>
      <c r="K234" s="748">
        <v>662737</v>
      </c>
      <c r="L234" s="751">
        <v>68236</v>
      </c>
      <c r="M234" s="751"/>
      <c r="N234" s="748">
        <v>137238</v>
      </c>
      <c r="O234" s="748">
        <v>1432395</v>
      </c>
      <c r="P234" s="748">
        <v>0</v>
      </c>
      <c r="Q234" s="751">
        <v>0</v>
      </c>
      <c r="R234" s="751"/>
      <c r="S234" s="748">
        <v>1130494</v>
      </c>
      <c r="T234" s="752">
        <v>34631</v>
      </c>
      <c r="U234" s="752">
        <v>1165125</v>
      </c>
    </row>
    <row r="235" spans="1:21" x14ac:dyDescent="0.25">
      <c r="A235" s="749">
        <v>37100</v>
      </c>
      <c r="B235" s="747" t="s">
        <v>1013</v>
      </c>
      <c r="C235" s="750">
        <v>3.2637999999999999E-3</v>
      </c>
      <c r="D235" s="750">
        <v>3.1722999999999999E-3</v>
      </c>
      <c r="E235" s="748">
        <v>29156714</v>
      </c>
      <c r="F235" s="751">
        <v>25896429</v>
      </c>
      <c r="G235" s="748">
        <f>VLOOKUP(A235,'[3]TSERS Contributions FY 2017'!$A$2:$C$290,3,FALSE)</f>
        <v>4383122</v>
      </c>
      <c r="H235" s="751"/>
      <c r="I235" s="748">
        <v>561387</v>
      </c>
      <c r="J235" s="748">
        <v>12347207</v>
      </c>
      <c r="K235" s="748">
        <v>4091245</v>
      </c>
      <c r="L235" s="751">
        <v>411091</v>
      </c>
      <c r="M235" s="751"/>
      <c r="N235" s="748">
        <v>847207</v>
      </c>
      <c r="O235" s="748">
        <v>8842542</v>
      </c>
      <c r="P235" s="748">
        <v>0</v>
      </c>
      <c r="Q235" s="751">
        <v>148829</v>
      </c>
      <c r="R235" s="751"/>
      <c r="S235" s="748">
        <v>6978827</v>
      </c>
      <c r="T235" s="752">
        <v>15996</v>
      </c>
      <c r="U235" s="752">
        <v>6994823</v>
      </c>
    </row>
    <row r="236" spans="1:21" x14ac:dyDescent="0.25">
      <c r="A236" s="749">
        <v>37200</v>
      </c>
      <c r="B236" s="747" t="s">
        <v>1014</v>
      </c>
      <c r="C236" s="750">
        <v>7.2869999999999999E-4</v>
      </c>
      <c r="D236" s="750">
        <v>7.157E-4</v>
      </c>
      <c r="E236" s="748">
        <v>6578022</v>
      </c>
      <c r="F236" s="751">
        <v>5781827</v>
      </c>
      <c r="G236" s="748">
        <f>VLOOKUP(A236,'[3]TSERS Contributions FY 2017'!$A$2:$C$290,3,FALSE)</f>
        <v>1013602</v>
      </c>
      <c r="H236" s="751"/>
      <c r="I236" s="748">
        <v>125339</v>
      </c>
      <c r="J236" s="748">
        <v>2756728</v>
      </c>
      <c r="K236" s="748">
        <v>913441</v>
      </c>
      <c r="L236" s="751">
        <v>70931</v>
      </c>
      <c r="M236" s="751"/>
      <c r="N236" s="748">
        <v>189154</v>
      </c>
      <c r="O236" s="748">
        <v>1974251</v>
      </c>
      <c r="P236" s="748">
        <v>0</v>
      </c>
      <c r="Q236" s="751">
        <v>83365</v>
      </c>
      <c r="R236" s="751"/>
      <c r="S236" s="748">
        <v>1558144</v>
      </c>
      <c r="T236" s="752">
        <v>-15228</v>
      </c>
      <c r="U236" s="752">
        <v>1542916</v>
      </c>
    </row>
    <row r="237" spans="1:21" x14ac:dyDescent="0.25">
      <c r="A237" s="749">
        <v>37300</v>
      </c>
      <c r="B237" s="747" t="s">
        <v>1015</v>
      </c>
      <c r="C237" s="750">
        <v>1.9358999999999999E-3</v>
      </c>
      <c r="D237" s="750">
        <v>1.8910000000000001E-3</v>
      </c>
      <c r="E237" s="748">
        <v>17380243</v>
      </c>
      <c r="F237" s="751">
        <v>15360284</v>
      </c>
      <c r="G237" s="748">
        <f>VLOOKUP(A237,'[3]TSERS Contributions FY 2017'!$A$2:$C$290,3,FALSE)</f>
        <v>2592788</v>
      </c>
      <c r="H237" s="751"/>
      <c r="I237" s="748">
        <v>332983</v>
      </c>
      <c r="J237" s="748">
        <v>7323659</v>
      </c>
      <c r="K237" s="748">
        <v>2426693</v>
      </c>
      <c r="L237" s="751">
        <v>101090</v>
      </c>
      <c r="M237" s="751"/>
      <c r="N237" s="748">
        <v>502515</v>
      </c>
      <c r="O237" s="748">
        <v>5244891</v>
      </c>
      <c r="P237" s="748">
        <v>0</v>
      </c>
      <c r="Q237" s="751">
        <v>180396</v>
      </c>
      <c r="R237" s="751"/>
      <c r="S237" s="748">
        <v>4139442</v>
      </c>
      <c r="T237" s="752">
        <v>-139993</v>
      </c>
      <c r="U237" s="752">
        <v>3999449</v>
      </c>
    </row>
    <row r="238" spans="1:21" x14ac:dyDescent="0.25">
      <c r="A238" s="749">
        <v>37301</v>
      </c>
      <c r="B238" s="747" t="s">
        <v>1016</v>
      </c>
      <c r="C238" s="750">
        <v>2.153E-4</v>
      </c>
      <c r="D238" s="750">
        <v>1.974E-4</v>
      </c>
      <c r="E238" s="748">
        <v>1814310</v>
      </c>
      <c r="F238" s="751">
        <v>1708285</v>
      </c>
      <c r="G238" s="748">
        <f>VLOOKUP(A238,'[3]TSERS Contributions FY 2017'!$A$2:$C$290,3,FALSE)</f>
        <v>283479</v>
      </c>
      <c r="H238" s="751"/>
      <c r="I238" s="748">
        <v>37032</v>
      </c>
      <c r="J238" s="748">
        <v>814496</v>
      </c>
      <c r="K238" s="748">
        <v>269883</v>
      </c>
      <c r="L238" s="751">
        <v>96079</v>
      </c>
      <c r="M238" s="751"/>
      <c r="N238" s="748">
        <v>55887</v>
      </c>
      <c r="O238" s="748">
        <v>583308</v>
      </c>
      <c r="P238" s="748">
        <v>0</v>
      </c>
      <c r="Q238" s="751">
        <v>914</v>
      </c>
      <c r="R238" s="751"/>
      <c r="S238" s="748">
        <v>460366</v>
      </c>
      <c r="T238" s="752">
        <v>49407</v>
      </c>
      <c r="U238" s="752">
        <v>509773</v>
      </c>
    </row>
    <row r="239" spans="1:21" x14ac:dyDescent="0.25">
      <c r="A239" s="749">
        <v>37305</v>
      </c>
      <c r="B239" s="747" t="s">
        <v>1017</v>
      </c>
      <c r="C239" s="750">
        <v>5.2039999999999996E-4</v>
      </c>
      <c r="D239" s="750">
        <v>5.6899999999999995E-4</v>
      </c>
      <c r="E239" s="748">
        <v>5229698</v>
      </c>
      <c r="F239" s="751">
        <v>4129083</v>
      </c>
      <c r="G239" s="748">
        <f>VLOOKUP(A239,'[3]TSERS Contributions FY 2017'!$A$2:$C$290,3,FALSE)</f>
        <v>895729</v>
      </c>
      <c r="H239" s="751"/>
      <c r="I239" s="748">
        <v>89511</v>
      </c>
      <c r="J239" s="748">
        <v>1968713</v>
      </c>
      <c r="K239" s="748">
        <v>652333</v>
      </c>
      <c r="L239" s="751">
        <v>0</v>
      </c>
      <c r="M239" s="751"/>
      <c r="N239" s="748">
        <v>135084</v>
      </c>
      <c r="O239" s="748">
        <v>1409908</v>
      </c>
      <c r="P239" s="748">
        <v>0</v>
      </c>
      <c r="Q239" s="751">
        <v>298640</v>
      </c>
      <c r="R239" s="751"/>
      <c r="S239" s="748">
        <v>1112746</v>
      </c>
      <c r="T239" s="752">
        <v>-164904</v>
      </c>
      <c r="U239" s="752">
        <v>947842</v>
      </c>
    </row>
    <row r="240" spans="1:21" x14ac:dyDescent="0.25">
      <c r="A240" s="749">
        <v>37400</v>
      </c>
      <c r="B240" s="747" t="s">
        <v>1018</v>
      </c>
      <c r="C240" s="750">
        <v>8.9949000000000001E-3</v>
      </c>
      <c r="D240" s="750">
        <v>9.1569000000000008E-3</v>
      </c>
      <c r="E240" s="748">
        <v>84161370</v>
      </c>
      <c r="F240" s="751">
        <v>71369503</v>
      </c>
      <c r="G240" s="748">
        <f>VLOOKUP(A240,'[3]TSERS Contributions FY 2017'!$A$2:$C$290,3,FALSE)</f>
        <v>11914832</v>
      </c>
      <c r="H240" s="751"/>
      <c r="I240" s="748">
        <v>1547159</v>
      </c>
      <c r="J240" s="748">
        <v>34028399</v>
      </c>
      <c r="K240" s="748">
        <v>11275305</v>
      </c>
      <c r="L240" s="751">
        <v>63116</v>
      </c>
      <c r="M240" s="751"/>
      <c r="N240" s="748">
        <v>2334869</v>
      </c>
      <c r="O240" s="748">
        <v>24369685</v>
      </c>
      <c r="P240" s="748">
        <v>0</v>
      </c>
      <c r="Q240" s="751">
        <v>2161810</v>
      </c>
      <c r="R240" s="751"/>
      <c r="S240" s="748">
        <v>19233363</v>
      </c>
      <c r="T240" s="752">
        <v>-859968</v>
      </c>
      <c r="U240" s="752">
        <v>18373395</v>
      </c>
    </row>
    <row r="241" spans="1:21" x14ac:dyDescent="0.25">
      <c r="A241" s="749">
        <v>37405</v>
      </c>
      <c r="B241" s="747" t="s">
        <v>1019</v>
      </c>
      <c r="C241" s="750">
        <v>2.1207999999999999E-3</v>
      </c>
      <c r="D241" s="750">
        <v>2.0752000000000001E-3</v>
      </c>
      <c r="E241" s="748">
        <v>19073232</v>
      </c>
      <c r="F241" s="751">
        <v>16827362</v>
      </c>
      <c r="G241" s="748">
        <f>VLOOKUP(A241,'[3]TSERS Contributions FY 2017'!$A$2:$C$290,3,FALSE)</f>
        <v>2900463</v>
      </c>
      <c r="H241" s="751"/>
      <c r="I241" s="748">
        <v>364786</v>
      </c>
      <c r="J241" s="748">
        <v>8023150</v>
      </c>
      <c r="K241" s="748">
        <v>2658469</v>
      </c>
      <c r="L241" s="751">
        <v>435489</v>
      </c>
      <c r="M241" s="751"/>
      <c r="N241" s="748">
        <v>550511</v>
      </c>
      <c r="O241" s="748">
        <v>5745837</v>
      </c>
      <c r="P241" s="748">
        <v>0</v>
      </c>
      <c r="Q241" s="751">
        <v>0</v>
      </c>
      <c r="R241" s="751"/>
      <c r="S241" s="748">
        <v>4534805</v>
      </c>
      <c r="T241" s="752">
        <v>247570</v>
      </c>
      <c r="U241" s="752">
        <v>4782375</v>
      </c>
    </row>
    <row r="242" spans="1:21" x14ac:dyDescent="0.25">
      <c r="A242" s="749">
        <v>37500</v>
      </c>
      <c r="B242" s="747" t="s">
        <v>1020</v>
      </c>
      <c r="C242" s="750">
        <v>1.0158000000000001E-3</v>
      </c>
      <c r="D242" s="750">
        <v>1.0169000000000001E-3</v>
      </c>
      <c r="E242" s="748">
        <v>9346361</v>
      </c>
      <c r="F242" s="751">
        <v>8059805</v>
      </c>
      <c r="G242" s="748">
        <f>VLOOKUP(A242,'[3]TSERS Contributions FY 2017'!$A$2:$C$290,3,FALSE)</f>
        <v>1476054</v>
      </c>
      <c r="H242" s="751"/>
      <c r="I242" s="748">
        <v>174722</v>
      </c>
      <c r="J242" s="748">
        <v>3842850</v>
      </c>
      <c r="K242" s="748">
        <v>1273328</v>
      </c>
      <c r="L242" s="751">
        <v>137315</v>
      </c>
      <c r="M242" s="751"/>
      <c r="N242" s="748">
        <v>263678</v>
      </c>
      <c r="O242" s="748">
        <v>2752085</v>
      </c>
      <c r="P242" s="748">
        <v>0</v>
      </c>
      <c r="Q242" s="751">
        <v>77195</v>
      </c>
      <c r="R242" s="751"/>
      <c r="S242" s="748">
        <v>2172036</v>
      </c>
      <c r="T242" s="752">
        <v>74652</v>
      </c>
      <c r="U242" s="752">
        <v>2246688</v>
      </c>
    </row>
    <row r="243" spans="1:21" x14ac:dyDescent="0.25">
      <c r="A243" s="749">
        <v>37600</v>
      </c>
      <c r="B243" s="747" t="s">
        <v>1021</v>
      </c>
      <c r="C243" s="750">
        <v>6.3562999999999996E-3</v>
      </c>
      <c r="D243" s="750">
        <v>6.4549000000000004E-3</v>
      </c>
      <c r="E243" s="748">
        <v>59327199</v>
      </c>
      <c r="F243" s="751">
        <v>50433687</v>
      </c>
      <c r="G243" s="748">
        <f>VLOOKUP(A243,'[3]TSERS Contributions FY 2017'!$A$2:$C$290,3,FALSE)</f>
        <v>8602849</v>
      </c>
      <c r="H243" s="751"/>
      <c r="I243" s="748">
        <v>1093309</v>
      </c>
      <c r="J243" s="748">
        <v>24046372</v>
      </c>
      <c r="K243" s="748">
        <v>7967762</v>
      </c>
      <c r="L243" s="751">
        <v>0</v>
      </c>
      <c r="M243" s="751"/>
      <c r="N243" s="748">
        <v>1649949</v>
      </c>
      <c r="O243" s="748">
        <v>17220984</v>
      </c>
      <c r="P243" s="748">
        <v>0</v>
      </c>
      <c r="Q243" s="751">
        <v>1477163</v>
      </c>
      <c r="R243" s="751"/>
      <c r="S243" s="748">
        <v>13591371</v>
      </c>
      <c r="T243" s="752">
        <v>-668463</v>
      </c>
      <c r="U243" s="752">
        <v>12922908</v>
      </c>
    </row>
    <row r="244" spans="1:21" x14ac:dyDescent="0.25">
      <c r="A244" s="749">
        <v>37601</v>
      </c>
      <c r="B244" s="747" t="s">
        <v>1022</v>
      </c>
      <c r="C244" s="750">
        <v>2.5470000000000001E-4</v>
      </c>
      <c r="D244" s="750">
        <v>2.029E-4</v>
      </c>
      <c r="E244" s="748">
        <v>1864861</v>
      </c>
      <c r="F244" s="751">
        <v>2020902</v>
      </c>
      <c r="G244" s="748">
        <f>VLOOKUP(A244,'[3]TSERS Contributions FY 2017'!$A$2:$C$290,3,FALSE)</f>
        <v>300480</v>
      </c>
      <c r="H244" s="751"/>
      <c r="I244" s="748">
        <v>43809</v>
      </c>
      <c r="J244" s="748">
        <v>963550</v>
      </c>
      <c r="K244" s="748">
        <v>319272</v>
      </c>
      <c r="L244" s="751">
        <v>528352</v>
      </c>
      <c r="M244" s="751"/>
      <c r="N244" s="748">
        <v>66114</v>
      </c>
      <c r="O244" s="748">
        <v>690053</v>
      </c>
      <c r="P244" s="748">
        <v>0</v>
      </c>
      <c r="Q244" s="751">
        <v>0</v>
      </c>
      <c r="R244" s="751"/>
      <c r="S244" s="748">
        <v>544613</v>
      </c>
      <c r="T244" s="752">
        <v>253475</v>
      </c>
      <c r="U244" s="752">
        <v>798087</v>
      </c>
    </row>
    <row r="245" spans="1:21" x14ac:dyDescent="0.25">
      <c r="A245" s="749">
        <v>37605</v>
      </c>
      <c r="B245" s="747" t="s">
        <v>1023</v>
      </c>
      <c r="C245" s="750">
        <v>7.8950000000000005E-4</v>
      </c>
      <c r="D245" s="750">
        <v>7.6970000000000001E-4</v>
      </c>
      <c r="E245" s="748">
        <v>7074338</v>
      </c>
      <c r="F245" s="751">
        <v>6264241</v>
      </c>
      <c r="G245" s="748">
        <f>VLOOKUP(A245,'[3]TSERS Contributions FY 2017'!$A$2:$C$290,3,FALSE)</f>
        <v>1079836</v>
      </c>
      <c r="H245" s="751"/>
      <c r="I245" s="748">
        <v>135797</v>
      </c>
      <c r="J245" s="748">
        <v>2986739</v>
      </c>
      <c r="K245" s="748">
        <v>989656</v>
      </c>
      <c r="L245" s="751">
        <v>93527</v>
      </c>
      <c r="M245" s="751"/>
      <c r="N245" s="748">
        <v>204936</v>
      </c>
      <c r="O245" s="748">
        <v>2138975</v>
      </c>
      <c r="P245" s="748">
        <v>0</v>
      </c>
      <c r="Q245" s="751">
        <v>12074</v>
      </c>
      <c r="R245" s="751"/>
      <c r="S245" s="748">
        <v>1688150</v>
      </c>
      <c r="T245" s="752">
        <v>26906</v>
      </c>
      <c r="U245" s="752">
        <v>1715056</v>
      </c>
    </row>
    <row r="246" spans="1:21" x14ac:dyDescent="0.25">
      <c r="A246" s="749">
        <v>37610</v>
      </c>
      <c r="B246" s="747" t="s">
        <v>1024</v>
      </c>
      <c r="C246" s="750">
        <v>1.9607000000000001E-3</v>
      </c>
      <c r="D246" s="750">
        <v>1.9426999999999999E-3</v>
      </c>
      <c r="E246" s="748">
        <v>17855420</v>
      </c>
      <c r="F246" s="751">
        <v>15557058</v>
      </c>
      <c r="G246" s="748">
        <f>VLOOKUP(A246,'[3]TSERS Contributions FY 2017'!$A$2:$C$290,3,FALSE)</f>
        <v>2525680</v>
      </c>
      <c r="H246" s="751"/>
      <c r="I246" s="748">
        <v>337248</v>
      </c>
      <c r="J246" s="748">
        <v>7417479</v>
      </c>
      <c r="K246" s="748">
        <v>2457781</v>
      </c>
      <c r="L246" s="751">
        <v>4595</v>
      </c>
      <c r="M246" s="751"/>
      <c r="N246" s="748">
        <v>508953</v>
      </c>
      <c r="O246" s="748">
        <v>5312081</v>
      </c>
      <c r="P246" s="748">
        <v>0</v>
      </c>
      <c r="Q246" s="751">
        <v>738729</v>
      </c>
      <c r="R246" s="751"/>
      <c r="S246" s="748">
        <v>4192471</v>
      </c>
      <c r="T246" s="752">
        <v>-311486</v>
      </c>
      <c r="U246" s="752">
        <v>3880985</v>
      </c>
    </row>
    <row r="247" spans="1:21" x14ac:dyDescent="0.25">
      <c r="A247" s="749">
        <v>37700</v>
      </c>
      <c r="B247" s="747" t="s">
        <v>1025</v>
      </c>
      <c r="C247" s="750">
        <v>2.6852E-3</v>
      </c>
      <c r="D247" s="750">
        <v>2.7463000000000001E-3</v>
      </c>
      <c r="E247" s="748">
        <v>25241334</v>
      </c>
      <c r="F247" s="751">
        <v>21305561</v>
      </c>
      <c r="G247" s="748">
        <f>VLOOKUP(A247,'[3]TSERS Contributions FY 2017'!$A$2:$C$290,3,FALSE)</f>
        <v>3779573</v>
      </c>
      <c r="H247" s="751"/>
      <c r="I247" s="748">
        <v>461865</v>
      </c>
      <c r="J247" s="748">
        <v>10158318</v>
      </c>
      <c r="K247" s="748">
        <v>3365957</v>
      </c>
      <c r="L247" s="751">
        <v>39388</v>
      </c>
      <c r="M247" s="751"/>
      <c r="N247" s="748">
        <v>697016</v>
      </c>
      <c r="O247" s="748">
        <v>7274953</v>
      </c>
      <c r="P247" s="748">
        <v>0</v>
      </c>
      <c r="Q247" s="751">
        <v>367641</v>
      </c>
      <c r="R247" s="751"/>
      <c r="S247" s="748">
        <v>5741634</v>
      </c>
      <c r="T247" s="752">
        <v>-169271</v>
      </c>
      <c r="U247" s="752">
        <v>5572363</v>
      </c>
    </row>
    <row r="248" spans="1:21" x14ac:dyDescent="0.25">
      <c r="A248" s="749">
        <v>37705</v>
      </c>
      <c r="B248" s="747" t="s">
        <v>1026</v>
      </c>
      <c r="C248" s="750">
        <v>8.0670000000000004E-4</v>
      </c>
      <c r="D248" s="750">
        <v>8.03E-4</v>
      </c>
      <c r="E248" s="748">
        <v>7380399</v>
      </c>
      <c r="F248" s="751">
        <v>6400714</v>
      </c>
      <c r="G248" s="748">
        <f>VLOOKUP(A248,'[3]TSERS Contributions FY 2017'!$A$2:$C$290,3,FALSE)</f>
        <v>1166864</v>
      </c>
      <c r="H248" s="751"/>
      <c r="I248" s="748">
        <v>138756</v>
      </c>
      <c r="J248" s="748">
        <v>3051808</v>
      </c>
      <c r="K248" s="748">
        <v>1011216</v>
      </c>
      <c r="L248" s="751">
        <v>115364</v>
      </c>
      <c r="M248" s="751"/>
      <c r="N248" s="748">
        <v>209401</v>
      </c>
      <c r="O248" s="748">
        <v>2185575</v>
      </c>
      <c r="P248" s="748">
        <v>0</v>
      </c>
      <c r="Q248" s="751">
        <v>1035</v>
      </c>
      <c r="R248" s="751"/>
      <c r="S248" s="748">
        <v>1724928</v>
      </c>
      <c r="T248" s="752">
        <v>111972</v>
      </c>
      <c r="U248" s="752">
        <v>1836900</v>
      </c>
    </row>
    <row r="249" spans="1:21" x14ac:dyDescent="0.25">
      <c r="A249" s="749">
        <v>37800</v>
      </c>
      <c r="B249" s="747" t="s">
        <v>1027</v>
      </c>
      <c r="C249" s="750">
        <v>8.3280000000000003E-3</v>
      </c>
      <c r="D249" s="750">
        <v>8.3046000000000005E-3</v>
      </c>
      <c r="E249" s="748">
        <v>76327853</v>
      </c>
      <c r="F249" s="751">
        <v>66078025</v>
      </c>
      <c r="G249" s="748">
        <f>VLOOKUP(A249,'[3]TSERS Contributions FY 2017'!$A$2:$C$290,3,FALSE)</f>
        <v>11790389</v>
      </c>
      <c r="H249" s="751"/>
      <c r="I249" s="748">
        <v>1432449</v>
      </c>
      <c r="J249" s="748">
        <v>31505465</v>
      </c>
      <c r="K249" s="748">
        <v>10439331</v>
      </c>
      <c r="L249" s="751">
        <v>102692</v>
      </c>
      <c r="M249" s="751"/>
      <c r="N249" s="748">
        <v>2161757</v>
      </c>
      <c r="O249" s="748">
        <v>22562867</v>
      </c>
      <c r="P249" s="748">
        <v>0</v>
      </c>
      <c r="Q249" s="751">
        <v>244809</v>
      </c>
      <c r="R249" s="751"/>
      <c r="S249" s="748">
        <v>17807363</v>
      </c>
      <c r="T249" s="752">
        <v>22825</v>
      </c>
      <c r="U249" s="752">
        <v>17830188</v>
      </c>
    </row>
    <row r="250" spans="1:21" x14ac:dyDescent="0.25">
      <c r="A250" s="749">
        <v>37801</v>
      </c>
      <c r="B250" s="747" t="s">
        <v>1028</v>
      </c>
      <c r="C250" s="750">
        <v>6.2799999999999995E-5</v>
      </c>
      <c r="D250" s="750">
        <v>5.3900000000000002E-5</v>
      </c>
      <c r="E250" s="748">
        <v>495397</v>
      </c>
      <c r="F250" s="751">
        <v>498283</v>
      </c>
      <c r="G250" s="748">
        <f>VLOOKUP(A250,'[3]TSERS Contributions FY 2017'!$A$2:$C$290,3,FALSE)</f>
        <v>71720</v>
      </c>
      <c r="H250" s="751"/>
      <c r="I250" s="748">
        <v>10802</v>
      </c>
      <c r="J250" s="748">
        <v>237577</v>
      </c>
      <c r="K250" s="748">
        <v>78721</v>
      </c>
      <c r="L250" s="751">
        <v>93850</v>
      </c>
      <c r="M250" s="751"/>
      <c r="N250" s="748">
        <v>16301</v>
      </c>
      <c r="O250" s="748">
        <v>170143</v>
      </c>
      <c r="P250" s="748">
        <v>0</v>
      </c>
      <c r="Q250" s="751">
        <v>9396</v>
      </c>
      <c r="R250" s="751"/>
      <c r="S250" s="748">
        <v>134282</v>
      </c>
      <c r="T250" s="752">
        <v>69393</v>
      </c>
      <c r="U250" s="752">
        <v>203676</v>
      </c>
    </row>
    <row r="251" spans="1:21" x14ac:dyDescent="0.25">
      <c r="A251" s="749">
        <v>37805</v>
      </c>
      <c r="B251" s="747" t="s">
        <v>1029</v>
      </c>
      <c r="C251" s="750">
        <v>6.332E-4</v>
      </c>
      <c r="D251" s="750">
        <v>6.6949999999999996E-4</v>
      </c>
      <c r="E251" s="748">
        <v>6153397</v>
      </c>
      <c r="F251" s="751">
        <v>5024088</v>
      </c>
      <c r="G251" s="748">
        <f>VLOOKUP(A251,'[3]TSERS Contributions FY 2017'!$A$2:$C$290,3,FALSE)</f>
        <v>964458</v>
      </c>
      <c r="H251" s="751"/>
      <c r="I251" s="748">
        <v>108913</v>
      </c>
      <c r="J251" s="748">
        <v>2395444</v>
      </c>
      <c r="K251" s="748">
        <v>793730</v>
      </c>
      <c r="L251" s="751">
        <v>34986</v>
      </c>
      <c r="M251" s="751"/>
      <c r="N251" s="748">
        <v>164364</v>
      </c>
      <c r="O251" s="748">
        <v>1715515</v>
      </c>
      <c r="P251" s="748">
        <v>0</v>
      </c>
      <c r="Q251" s="751">
        <v>394788</v>
      </c>
      <c r="R251" s="751"/>
      <c r="S251" s="748">
        <v>1353941</v>
      </c>
      <c r="T251" s="752">
        <v>-135447</v>
      </c>
      <c r="U251" s="752">
        <v>1218494</v>
      </c>
    </row>
    <row r="252" spans="1:21" x14ac:dyDescent="0.25">
      <c r="A252" s="749">
        <v>37900</v>
      </c>
      <c r="B252" s="747" t="s">
        <v>1030</v>
      </c>
      <c r="C252" s="750">
        <v>4.3984999999999996E-3</v>
      </c>
      <c r="D252" s="750">
        <v>4.5617000000000001E-3</v>
      </c>
      <c r="E252" s="748">
        <v>41926735</v>
      </c>
      <c r="F252" s="751">
        <v>34899639</v>
      </c>
      <c r="G252" s="748">
        <f>VLOOKUP(A252,'[3]TSERS Contributions FY 2017'!$A$2:$C$290,3,FALSE)</f>
        <v>6268610</v>
      </c>
      <c r="H252" s="751"/>
      <c r="I252" s="748">
        <v>756560</v>
      </c>
      <c r="J252" s="748">
        <v>16639864</v>
      </c>
      <c r="K252" s="748">
        <v>5513617</v>
      </c>
      <c r="L252" s="751">
        <v>38935</v>
      </c>
      <c r="M252" s="751"/>
      <c r="N252" s="748">
        <v>1141749</v>
      </c>
      <c r="O252" s="748">
        <v>11916759</v>
      </c>
      <c r="P252" s="748">
        <v>0</v>
      </c>
      <c r="Q252" s="751">
        <v>1476181</v>
      </c>
      <c r="R252" s="751"/>
      <c r="S252" s="748">
        <v>9405101</v>
      </c>
      <c r="T252" s="752">
        <v>-572498</v>
      </c>
      <c r="U252" s="752">
        <v>8832603</v>
      </c>
    </row>
    <row r="253" spans="1:21" x14ac:dyDescent="0.25">
      <c r="A253" s="749">
        <v>37901</v>
      </c>
      <c r="B253" s="747" t="s">
        <v>1031</v>
      </c>
      <c r="C253" s="750">
        <v>5.91E-5</v>
      </c>
      <c r="D253" s="750">
        <v>6.1799999999999998E-5</v>
      </c>
      <c r="E253" s="748">
        <v>568006</v>
      </c>
      <c r="F253" s="751">
        <v>468925</v>
      </c>
      <c r="G253" s="748">
        <f>VLOOKUP(A253,'[3]TSERS Contributions FY 2017'!$A$2:$C$290,3,FALSE)</f>
        <v>86751</v>
      </c>
      <c r="H253" s="751"/>
      <c r="I253" s="748">
        <v>10165</v>
      </c>
      <c r="J253" s="748">
        <v>223580</v>
      </c>
      <c r="K253" s="748">
        <v>74083</v>
      </c>
      <c r="L253" s="751">
        <v>279</v>
      </c>
      <c r="M253" s="751"/>
      <c r="N253" s="748">
        <v>15341</v>
      </c>
      <c r="O253" s="748">
        <v>160118</v>
      </c>
      <c r="P253" s="748">
        <v>0</v>
      </c>
      <c r="Q253" s="751">
        <v>17741</v>
      </c>
      <c r="R253" s="751"/>
      <c r="S253" s="748">
        <v>126371</v>
      </c>
      <c r="T253" s="752">
        <v>-6240</v>
      </c>
      <c r="U253" s="752">
        <v>120131</v>
      </c>
    </row>
    <row r="254" spans="1:21" x14ac:dyDescent="0.25">
      <c r="A254" s="749">
        <v>37905</v>
      </c>
      <c r="B254" s="747" t="s">
        <v>1032</v>
      </c>
      <c r="C254" s="750">
        <v>5.3850000000000002E-4</v>
      </c>
      <c r="D254" s="750">
        <v>5.1179999999999997E-4</v>
      </c>
      <c r="E254" s="748">
        <v>4703971</v>
      </c>
      <c r="F254" s="751">
        <v>4272696</v>
      </c>
      <c r="G254" s="748">
        <f>VLOOKUP(A254,'[3]TSERS Contributions FY 2017'!$A$2:$C$290,3,FALSE)</f>
        <v>834158</v>
      </c>
      <c r="H254" s="751"/>
      <c r="I254" s="748">
        <v>92624</v>
      </c>
      <c r="J254" s="748">
        <v>2037187</v>
      </c>
      <c r="K254" s="748">
        <v>675022</v>
      </c>
      <c r="L254" s="751">
        <v>170212</v>
      </c>
      <c r="M254" s="751"/>
      <c r="N254" s="748">
        <v>139782</v>
      </c>
      <c r="O254" s="748">
        <v>1458946</v>
      </c>
      <c r="P254" s="748">
        <v>0</v>
      </c>
      <c r="Q254" s="751">
        <v>27443</v>
      </c>
      <c r="R254" s="751"/>
      <c r="S254" s="748">
        <v>1151449</v>
      </c>
      <c r="T254" s="752">
        <v>42198</v>
      </c>
      <c r="U254" s="752">
        <v>1193647</v>
      </c>
    </row>
    <row r="255" spans="1:21" x14ac:dyDescent="0.25">
      <c r="A255" s="749">
        <v>38000</v>
      </c>
      <c r="B255" s="747" t="s">
        <v>1033</v>
      </c>
      <c r="C255" s="750">
        <v>7.2432E-3</v>
      </c>
      <c r="D255" s="750">
        <v>7.1815000000000004E-3</v>
      </c>
      <c r="E255" s="748">
        <v>66005403</v>
      </c>
      <c r="F255" s="751">
        <v>57470743</v>
      </c>
      <c r="G255" s="748">
        <f>VLOOKUP(A255,'[3]TSERS Contributions FY 2017'!$A$2:$C$290,3,FALSE)</f>
        <v>10014489</v>
      </c>
      <c r="H255" s="751"/>
      <c r="I255" s="748">
        <v>1245859</v>
      </c>
      <c r="J255" s="748">
        <v>27401583</v>
      </c>
      <c r="K255" s="748">
        <v>9079511</v>
      </c>
      <c r="L255" s="751">
        <v>0</v>
      </c>
      <c r="M255" s="751"/>
      <c r="N255" s="748">
        <v>1880168</v>
      </c>
      <c r="O255" s="748">
        <v>19623842</v>
      </c>
      <c r="P255" s="748">
        <v>0</v>
      </c>
      <c r="Q255" s="751">
        <v>771275</v>
      </c>
      <c r="R255" s="751"/>
      <c r="S255" s="748">
        <v>15487787</v>
      </c>
      <c r="T255" s="752">
        <v>-749663</v>
      </c>
      <c r="U255" s="752">
        <v>14738124</v>
      </c>
    </row>
    <row r="256" spans="1:21" x14ac:dyDescent="0.25">
      <c r="A256" s="749">
        <v>38005</v>
      </c>
      <c r="B256" s="747" t="s">
        <v>1034</v>
      </c>
      <c r="C256" s="750">
        <v>1.3967000000000001E-3</v>
      </c>
      <c r="D256" s="750">
        <v>1.4989000000000001E-3</v>
      </c>
      <c r="E256" s="748">
        <v>13776439</v>
      </c>
      <c r="F256" s="751">
        <v>11082034</v>
      </c>
      <c r="G256" s="748">
        <f>VLOOKUP(A256,'[3]TSERS Contributions FY 2017'!$A$2:$C$290,3,FALSE)</f>
        <v>2009661</v>
      </c>
      <c r="H256" s="751"/>
      <c r="I256" s="748">
        <v>240238</v>
      </c>
      <c r="J256" s="748">
        <v>5283824</v>
      </c>
      <c r="K256" s="748">
        <v>1750794</v>
      </c>
      <c r="L256" s="751">
        <v>244725</v>
      </c>
      <c r="M256" s="751"/>
      <c r="N256" s="748">
        <v>362551</v>
      </c>
      <c r="O256" s="748">
        <v>3784049</v>
      </c>
      <c r="P256" s="748">
        <v>0</v>
      </c>
      <c r="Q256" s="751">
        <v>379336</v>
      </c>
      <c r="R256" s="751"/>
      <c r="S256" s="748">
        <v>2986497</v>
      </c>
      <c r="T256" s="752">
        <v>26466</v>
      </c>
      <c r="U256" s="752">
        <v>3012962</v>
      </c>
    </row>
    <row r="257" spans="1:21" x14ac:dyDescent="0.25">
      <c r="A257" s="749">
        <v>38100</v>
      </c>
      <c r="B257" s="747" t="s">
        <v>1035</v>
      </c>
      <c r="C257" s="750">
        <v>3.2550999999999999E-3</v>
      </c>
      <c r="D257" s="750">
        <v>3.3161000000000002E-3</v>
      </c>
      <c r="E257" s="748">
        <v>30478385</v>
      </c>
      <c r="F257" s="751">
        <v>25827399</v>
      </c>
      <c r="G257" s="748">
        <f>VLOOKUP(A257,'[3]TSERS Contributions FY 2017'!$A$2:$C$290,3,FALSE)</f>
        <v>4654331</v>
      </c>
      <c r="H257" s="751"/>
      <c r="I257" s="748">
        <v>559890</v>
      </c>
      <c r="J257" s="748">
        <v>12314294</v>
      </c>
      <c r="K257" s="748">
        <v>4080339</v>
      </c>
      <c r="L257" s="751">
        <v>0</v>
      </c>
      <c r="M257" s="751"/>
      <c r="N257" s="748">
        <v>844949</v>
      </c>
      <c r="O257" s="748">
        <v>8818971</v>
      </c>
      <c r="P257" s="748">
        <v>0</v>
      </c>
      <c r="Q257" s="751">
        <v>488667</v>
      </c>
      <c r="R257" s="751"/>
      <c r="S257" s="748">
        <v>6960224</v>
      </c>
      <c r="T257" s="752">
        <v>-339176</v>
      </c>
      <c r="U257" s="752">
        <v>6621048</v>
      </c>
    </row>
    <row r="258" spans="1:21" x14ac:dyDescent="0.25">
      <c r="A258" s="749">
        <v>38105</v>
      </c>
      <c r="B258" s="747" t="s">
        <v>1036</v>
      </c>
      <c r="C258" s="750">
        <v>6.6710000000000001E-4</v>
      </c>
      <c r="D258" s="750">
        <v>6.8400000000000004E-4</v>
      </c>
      <c r="E258" s="748">
        <v>6286667</v>
      </c>
      <c r="F258" s="751">
        <v>5293066</v>
      </c>
      <c r="G258" s="748">
        <f>VLOOKUP(A258,'[3]TSERS Contributions FY 2017'!$A$2:$C$290,3,FALSE)</f>
        <v>942930</v>
      </c>
      <c r="H258" s="751"/>
      <c r="I258" s="748">
        <v>114744</v>
      </c>
      <c r="J258" s="748">
        <v>2523691</v>
      </c>
      <c r="K258" s="748">
        <v>836225</v>
      </c>
      <c r="L258" s="751">
        <v>0</v>
      </c>
      <c r="M258" s="751"/>
      <c r="N258" s="748">
        <v>173164</v>
      </c>
      <c r="O258" s="748">
        <v>1807359</v>
      </c>
      <c r="P258" s="748">
        <v>0</v>
      </c>
      <c r="Q258" s="751">
        <v>124418</v>
      </c>
      <c r="R258" s="751"/>
      <c r="S258" s="748">
        <v>1426428</v>
      </c>
      <c r="T258" s="752">
        <v>-57635</v>
      </c>
      <c r="U258" s="752">
        <v>1368793</v>
      </c>
    </row>
    <row r="259" spans="1:21" x14ac:dyDescent="0.25">
      <c r="A259" s="749">
        <v>38200</v>
      </c>
      <c r="B259" s="747" t="s">
        <v>1037</v>
      </c>
      <c r="C259" s="750">
        <v>3.1018E-3</v>
      </c>
      <c r="D259" s="750">
        <v>3.2125000000000001E-3</v>
      </c>
      <c r="E259" s="748">
        <v>29526194</v>
      </c>
      <c r="F259" s="751">
        <v>24611049</v>
      </c>
      <c r="G259" s="748">
        <f>VLOOKUP(A259,'[3]TSERS Contributions FY 2017'!$A$2:$C$290,3,FALSE)</f>
        <v>4275624</v>
      </c>
      <c r="H259" s="751"/>
      <c r="I259" s="748">
        <v>533522</v>
      </c>
      <c r="J259" s="748">
        <v>11734348</v>
      </c>
      <c r="K259" s="748">
        <v>3888175</v>
      </c>
      <c r="L259" s="751">
        <v>22177</v>
      </c>
      <c r="M259" s="751"/>
      <c r="N259" s="748">
        <v>805156</v>
      </c>
      <c r="O259" s="748">
        <v>8403639</v>
      </c>
      <c r="P259" s="748">
        <v>0</v>
      </c>
      <c r="Q259" s="751">
        <v>877789</v>
      </c>
      <c r="R259" s="751"/>
      <c r="S259" s="748">
        <v>6632430</v>
      </c>
      <c r="T259" s="752">
        <v>-294438</v>
      </c>
      <c r="U259" s="752">
        <v>6337992</v>
      </c>
    </row>
    <row r="260" spans="1:21" x14ac:dyDescent="0.25">
      <c r="A260" s="749">
        <v>38205</v>
      </c>
      <c r="B260" s="747" t="s">
        <v>1038</v>
      </c>
      <c r="C260" s="750">
        <v>4.6220000000000001E-4</v>
      </c>
      <c r="D260" s="750">
        <v>4.5439999999999999E-4</v>
      </c>
      <c r="E260" s="748">
        <v>4176405</v>
      </c>
      <c r="F260" s="751">
        <v>3667299</v>
      </c>
      <c r="G260" s="748">
        <f>VLOOKUP(A260,'[3]TSERS Contributions FY 2017'!$A$2:$C$290,3,FALSE)</f>
        <v>709041</v>
      </c>
      <c r="H260" s="751"/>
      <c r="I260" s="748">
        <v>79500</v>
      </c>
      <c r="J260" s="748">
        <v>1748538</v>
      </c>
      <c r="K260" s="748">
        <v>579378</v>
      </c>
      <c r="L260" s="751">
        <v>84715</v>
      </c>
      <c r="M260" s="751"/>
      <c r="N260" s="748">
        <v>119976</v>
      </c>
      <c r="O260" s="748">
        <v>1252228</v>
      </c>
      <c r="P260" s="748">
        <v>0</v>
      </c>
      <c r="Q260" s="751">
        <v>50075</v>
      </c>
      <c r="R260" s="751"/>
      <c r="S260" s="748">
        <v>988300</v>
      </c>
      <c r="T260" s="752">
        <v>-5093</v>
      </c>
      <c r="U260" s="752">
        <v>983207</v>
      </c>
    </row>
    <row r="261" spans="1:21" x14ac:dyDescent="0.25">
      <c r="A261" s="749">
        <v>38210</v>
      </c>
      <c r="B261" s="747" t="s">
        <v>1039</v>
      </c>
      <c r="C261" s="750">
        <v>1.1766000000000001E-3</v>
      </c>
      <c r="D261" s="750">
        <v>1.1793000000000001E-3</v>
      </c>
      <c r="E261" s="748">
        <v>10838985</v>
      </c>
      <c r="F261" s="751">
        <v>9335663</v>
      </c>
      <c r="G261" s="748">
        <f>VLOOKUP(A261,'[3]TSERS Contributions FY 2017'!$A$2:$C$290,3,FALSE)</f>
        <v>1608572</v>
      </c>
      <c r="H261" s="751"/>
      <c r="I261" s="748">
        <v>202380</v>
      </c>
      <c r="J261" s="748">
        <v>4451168</v>
      </c>
      <c r="K261" s="748">
        <v>1474894</v>
      </c>
      <c r="L261" s="751">
        <v>50509</v>
      </c>
      <c r="M261" s="751"/>
      <c r="N261" s="748">
        <v>305418</v>
      </c>
      <c r="O261" s="748">
        <v>3187736</v>
      </c>
      <c r="P261" s="748">
        <v>0</v>
      </c>
      <c r="Q261" s="751">
        <v>109353</v>
      </c>
      <c r="R261" s="751"/>
      <c r="S261" s="748">
        <v>2515867</v>
      </c>
      <c r="T261" s="752">
        <v>-10436</v>
      </c>
      <c r="U261" s="752">
        <v>2505432</v>
      </c>
    </row>
    <row r="262" spans="1:21" x14ac:dyDescent="0.25">
      <c r="A262" s="749">
        <v>38300</v>
      </c>
      <c r="B262" s="747" t="s">
        <v>1040</v>
      </c>
      <c r="C262" s="750">
        <v>2.4562E-3</v>
      </c>
      <c r="D262" s="750">
        <v>2.5320999999999998E-3</v>
      </c>
      <c r="E262" s="748">
        <v>23272615</v>
      </c>
      <c r="F262" s="751">
        <v>19488574</v>
      </c>
      <c r="G262" s="748">
        <f>VLOOKUP(A262,'[3]TSERS Contributions FY 2017'!$A$2:$C$290,3,FALSE)</f>
        <v>3424378</v>
      </c>
      <c r="H262" s="751"/>
      <c r="I262" s="748">
        <v>422476</v>
      </c>
      <c r="J262" s="748">
        <v>9291994</v>
      </c>
      <c r="K262" s="748">
        <v>3078901</v>
      </c>
      <c r="L262" s="751">
        <v>0</v>
      </c>
      <c r="M262" s="751"/>
      <c r="N262" s="748">
        <v>637573</v>
      </c>
      <c r="O262" s="748">
        <v>6654529</v>
      </c>
      <c r="P262" s="748">
        <v>0</v>
      </c>
      <c r="Q262" s="751">
        <v>602847</v>
      </c>
      <c r="R262" s="751"/>
      <c r="S262" s="748">
        <v>5251975</v>
      </c>
      <c r="T262" s="752">
        <v>-380451</v>
      </c>
      <c r="U262" s="752">
        <v>4871524</v>
      </c>
    </row>
    <row r="263" spans="1:21" x14ac:dyDescent="0.25">
      <c r="A263" s="749">
        <v>38400</v>
      </c>
      <c r="B263" s="747" t="s">
        <v>1041</v>
      </c>
      <c r="C263" s="750">
        <v>3.0192000000000001E-3</v>
      </c>
      <c r="D263" s="750">
        <v>3.1153999999999999E-3</v>
      </c>
      <c r="E263" s="748">
        <v>28633744</v>
      </c>
      <c r="F263" s="751">
        <v>23955664</v>
      </c>
      <c r="G263" s="748">
        <f>VLOOKUP(A263,'[3]TSERS Contributions FY 2017'!$A$2:$C$290,3,FALSE)</f>
        <v>4261269</v>
      </c>
      <c r="H263" s="751"/>
      <c r="I263" s="748">
        <v>519314</v>
      </c>
      <c r="J263" s="748">
        <v>11421866</v>
      </c>
      <c r="K263" s="748">
        <v>3784634</v>
      </c>
      <c r="L263" s="751">
        <v>5204</v>
      </c>
      <c r="M263" s="751"/>
      <c r="N263" s="748">
        <v>783715</v>
      </c>
      <c r="O263" s="748">
        <v>8179852</v>
      </c>
      <c r="P263" s="748">
        <v>0</v>
      </c>
      <c r="Q263" s="751">
        <v>902456</v>
      </c>
      <c r="R263" s="751"/>
      <c r="S263" s="748">
        <v>6455810</v>
      </c>
      <c r="T263" s="752">
        <v>-488226</v>
      </c>
      <c r="U263" s="752">
        <v>5967585</v>
      </c>
    </row>
    <row r="264" spans="1:21" x14ac:dyDescent="0.25">
      <c r="A264" s="749">
        <v>38402</v>
      </c>
      <c r="B264" s="747" t="s">
        <v>1042</v>
      </c>
      <c r="C264" s="750">
        <v>1.2290000000000001E-4</v>
      </c>
      <c r="D264" s="750">
        <v>1.052E-4</v>
      </c>
      <c r="E264" s="748">
        <v>966897</v>
      </c>
      <c r="F264" s="751">
        <v>975143</v>
      </c>
      <c r="G264" s="748">
        <f>VLOOKUP(A264,'[3]TSERS Contributions FY 2017'!$A$2:$C$290,3,FALSE)</f>
        <v>155241</v>
      </c>
      <c r="H264" s="751"/>
      <c r="I264" s="748">
        <v>21139</v>
      </c>
      <c r="J264" s="748">
        <v>464940</v>
      </c>
      <c r="K264" s="748">
        <v>154058</v>
      </c>
      <c r="L264" s="751">
        <v>59383</v>
      </c>
      <c r="M264" s="751"/>
      <c r="N264" s="748">
        <v>31902</v>
      </c>
      <c r="O264" s="748">
        <v>332970</v>
      </c>
      <c r="P264" s="748">
        <v>0</v>
      </c>
      <c r="Q264" s="751">
        <v>19264</v>
      </c>
      <c r="R264" s="751"/>
      <c r="S264" s="748">
        <v>262791</v>
      </c>
      <c r="T264" s="752">
        <v>18980</v>
      </c>
      <c r="U264" s="752">
        <v>281771</v>
      </c>
    </row>
    <row r="265" spans="1:21" x14ac:dyDescent="0.25">
      <c r="A265" s="749">
        <v>38405</v>
      </c>
      <c r="B265" s="747" t="s">
        <v>1043</v>
      </c>
      <c r="C265" s="750">
        <v>7.9290000000000003E-4</v>
      </c>
      <c r="D265" s="750">
        <v>7.6369999999999997E-4</v>
      </c>
      <c r="E265" s="748">
        <v>7019192</v>
      </c>
      <c r="F265" s="751">
        <v>6291218</v>
      </c>
      <c r="G265" s="748">
        <f>VLOOKUP(A265,'[3]TSERS Contributions FY 2017'!$A$2:$C$290,3,FALSE)</f>
        <v>1073554</v>
      </c>
      <c r="H265" s="751"/>
      <c r="I265" s="748">
        <v>136382</v>
      </c>
      <c r="J265" s="748">
        <v>2999602</v>
      </c>
      <c r="K265" s="748">
        <v>993918</v>
      </c>
      <c r="L265" s="751">
        <v>60718</v>
      </c>
      <c r="M265" s="751"/>
      <c r="N265" s="748">
        <v>205819</v>
      </c>
      <c r="O265" s="748">
        <v>2148187</v>
      </c>
      <c r="P265" s="748">
        <v>0</v>
      </c>
      <c r="Q265" s="751">
        <v>77577</v>
      </c>
      <c r="R265" s="751"/>
      <c r="S265" s="748">
        <v>1695420</v>
      </c>
      <c r="T265" s="752">
        <v>-38230</v>
      </c>
      <c r="U265" s="752">
        <v>1657190</v>
      </c>
    </row>
    <row r="266" spans="1:21" x14ac:dyDescent="0.25">
      <c r="A266" s="749">
        <v>38500</v>
      </c>
      <c r="B266" s="747" t="s">
        <v>1044</v>
      </c>
      <c r="C266" s="750">
        <v>2.3335999999999999E-3</v>
      </c>
      <c r="D266" s="750">
        <v>2.4922999999999998E-3</v>
      </c>
      <c r="E266" s="748">
        <v>22906812</v>
      </c>
      <c r="F266" s="751">
        <v>18515812</v>
      </c>
      <c r="G266" s="748">
        <f>VLOOKUP(A266,'[3]TSERS Contributions FY 2017'!$A$2:$C$290,3,FALSE)</f>
        <v>3336402</v>
      </c>
      <c r="H266" s="751"/>
      <c r="I266" s="748">
        <v>401389</v>
      </c>
      <c r="J266" s="748">
        <v>8828188</v>
      </c>
      <c r="K266" s="748">
        <v>2925219</v>
      </c>
      <c r="L266" s="751">
        <v>0</v>
      </c>
      <c r="M266" s="751"/>
      <c r="N266" s="748">
        <v>605749</v>
      </c>
      <c r="O266" s="748">
        <v>6322371</v>
      </c>
      <c r="P266" s="748">
        <v>0</v>
      </c>
      <c r="Q266" s="751">
        <v>1041228</v>
      </c>
      <c r="R266" s="751"/>
      <c r="S266" s="748">
        <v>4989825</v>
      </c>
      <c r="T266" s="752">
        <v>-448058</v>
      </c>
      <c r="U266" s="752">
        <v>4541767</v>
      </c>
    </row>
    <row r="267" spans="1:21" x14ac:dyDescent="0.25">
      <c r="A267" s="749">
        <v>38600</v>
      </c>
      <c r="B267" s="747" t="s">
        <v>1045</v>
      </c>
      <c r="C267" s="750">
        <v>3.0501E-3</v>
      </c>
      <c r="D267" s="750">
        <v>3.0961000000000001E-3</v>
      </c>
      <c r="E267" s="748">
        <v>28456357</v>
      </c>
      <c r="F267" s="751">
        <v>24200838</v>
      </c>
      <c r="G267" s="748">
        <f>VLOOKUP(A267,'[3]TSERS Contributions FY 2017'!$A$2:$C$290,3,FALSE)</f>
        <v>4235056</v>
      </c>
      <c r="H267" s="751"/>
      <c r="I267" s="748">
        <v>524629</v>
      </c>
      <c r="J267" s="748">
        <v>11538763</v>
      </c>
      <c r="K267" s="748">
        <v>3823367</v>
      </c>
      <c r="L267" s="751">
        <v>2557</v>
      </c>
      <c r="M267" s="751"/>
      <c r="N267" s="748">
        <v>791736</v>
      </c>
      <c r="O267" s="748">
        <v>8263569</v>
      </c>
      <c r="P267" s="748">
        <v>0</v>
      </c>
      <c r="Q267" s="751">
        <v>628553</v>
      </c>
      <c r="R267" s="751"/>
      <c r="S267" s="748">
        <v>6521882</v>
      </c>
      <c r="T267" s="752">
        <v>-377928</v>
      </c>
      <c r="U267" s="752">
        <v>6143955</v>
      </c>
    </row>
    <row r="268" spans="1:21" x14ac:dyDescent="0.25">
      <c r="A268" s="749">
        <v>38601</v>
      </c>
      <c r="B268" s="747" t="s">
        <v>1046</v>
      </c>
      <c r="C268" s="750">
        <v>3.4900000000000001E-5</v>
      </c>
      <c r="D268" s="750">
        <v>4.1300000000000001E-5</v>
      </c>
      <c r="E268" s="748">
        <v>379590</v>
      </c>
      <c r="F268" s="751">
        <v>276912</v>
      </c>
      <c r="G268" s="748">
        <f>VLOOKUP(A268,'[3]TSERS Contributions FY 2017'!$A$2:$C$290,3,FALSE)</f>
        <v>46120</v>
      </c>
      <c r="H268" s="751"/>
      <c r="I268" s="748">
        <v>6003</v>
      </c>
      <c r="J268" s="748">
        <v>132029</v>
      </c>
      <c r="K268" s="748">
        <v>43748</v>
      </c>
      <c r="L268" s="751">
        <v>12967</v>
      </c>
      <c r="M268" s="751"/>
      <c r="N268" s="748">
        <v>9059</v>
      </c>
      <c r="O268" s="748">
        <v>94554</v>
      </c>
      <c r="P268" s="748">
        <v>0</v>
      </c>
      <c r="Q268" s="751">
        <v>28596</v>
      </c>
      <c r="R268" s="751"/>
      <c r="S268" s="748">
        <v>74625</v>
      </c>
      <c r="T268" s="752">
        <v>1008</v>
      </c>
      <c r="U268" s="752">
        <v>75633</v>
      </c>
    </row>
    <row r="269" spans="1:21" x14ac:dyDescent="0.25">
      <c r="A269" s="749">
        <v>38602</v>
      </c>
      <c r="B269" s="747" t="s">
        <v>1047</v>
      </c>
      <c r="C269" s="750">
        <v>2.2479999999999999E-4</v>
      </c>
      <c r="D269" s="750">
        <v>1.83E-4</v>
      </c>
      <c r="E269" s="748">
        <v>1681959</v>
      </c>
      <c r="F269" s="751">
        <v>1783662</v>
      </c>
      <c r="G269" s="748">
        <f>VLOOKUP(A269,'[3]TSERS Contributions FY 2017'!$A$2:$C$290,3,FALSE)</f>
        <v>301498</v>
      </c>
      <c r="H269" s="751"/>
      <c r="I269" s="748">
        <v>38666</v>
      </c>
      <c r="J269" s="748">
        <v>850436</v>
      </c>
      <c r="K269" s="748">
        <v>281792</v>
      </c>
      <c r="L269" s="751">
        <v>204230</v>
      </c>
      <c r="M269" s="751"/>
      <c r="N269" s="748">
        <v>58353</v>
      </c>
      <c r="O269" s="748">
        <v>609046</v>
      </c>
      <c r="P269" s="748">
        <v>0</v>
      </c>
      <c r="Q269" s="751">
        <v>0</v>
      </c>
      <c r="R269" s="751"/>
      <c r="S269" s="748">
        <v>480679</v>
      </c>
      <c r="T269" s="752">
        <v>81319</v>
      </c>
      <c r="U269" s="752">
        <v>561998</v>
      </c>
    </row>
    <row r="270" spans="1:21" x14ac:dyDescent="0.25">
      <c r="A270" s="749">
        <v>38605</v>
      </c>
      <c r="B270" s="747" t="s">
        <v>1048</v>
      </c>
      <c r="C270" s="750">
        <v>8.4170000000000002E-4</v>
      </c>
      <c r="D270" s="750">
        <v>8.5070000000000002E-4</v>
      </c>
      <c r="E270" s="748">
        <v>7818812</v>
      </c>
      <c r="F270" s="751">
        <v>6678419</v>
      </c>
      <c r="G270" s="748">
        <f>VLOOKUP(A270,'[3]TSERS Contributions FY 2017'!$A$2:$C$290,3,FALSE)</f>
        <v>1192365</v>
      </c>
      <c r="H270" s="751"/>
      <c r="I270" s="748">
        <v>144776</v>
      </c>
      <c r="J270" s="748">
        <v>3184216</v>
      </c>
      <c r="K270" s="748">
        <v>1055089</v>
      </c>
      <c r="L270" s="751">
        <v>30278</v>
      </c>
      <c r="M270" s="751"/>
      <c r="N270" s="748">
        <v>218486</v>
      </c>
      <c r="O270" s="748">
        <v>2280399</v>
      </c>
      <c r="P270" s="748">
        <v>0</v>
      </c>
      <c r="Q270" s="751">
        <v>71938</v>
      </c>
      <c r="R270" s="751"/>
      <c r="S270" s="748">
        <v>1799767</v>
      </c>
      <c r="T270" s="752">
        <v>-5044</v>
      </c>
      <c r="U270" s="752">
        <v>1794722</v>
      </c>
    </row>
    <row r="271" spans="1:21" x14ac:dyDescent="0.25">
      <c r="A271" s="749">
        <v>38610</v>
      </c>
      <c r="B271" s="747" t="s">
        <v>1049</v>
      </c>
      <c r="C271" s="750">
        <v>5.9389999999999996E-4</v>
      </c>
      <c r="D271" s="750">
        <v>6.2620000000000004E-4</v>
      </c>
      <c r="E271" s="748">
        <v>5755425</v>
      </c>
      <c r="F271" s="751">
        <v>4712265</v>
      </c>
      <c r="G271" s="748">
        <f>VLOOKUP(A271,'[3]TSERS Contributions FY 2017'!$A$2:$C$290,3,FALSE)</f>
        <v>900463</v>
      </c>
      <c r="H271" s="751"/>
      <c r="I271" s="748">
        <v>102153</v>
      </c>
      <c r="J271" s="748">
        <v>2246769</v>
      </c>
      <c r="K271" s="748">
        <v>744467</v>
      </c>
      <c r="L271" s="751">
        <v>16155</v>
      </c>
      <c r="M271" s="751"/>
      <c r="N271" s="748">
        <v>154163</v>
      </c>
      <c r="O271" s="748">
        <v>1609040</v>
      </c>
      <c r="P271" s="748">
        <v>0</v>
      </c>
      <c r="Q271" s="751">
        <v>104003</v>
      </c>
      <c r="R271" s="751"/>
      <c r="S271" s="748">
        <v>1269908</v>
      </c>
      <c r="T271" s="752">
        <v>-15740</v>
      </c>
      <c r="U271" s="752">
        <v>1254168</v>
      </c>
    </row>
    <row r="272" spans="1:21" x14ac:dyDescent="0.25">
      <c r="A272" s="749">
        <v>38620</v>
      </c>
      <c r="B272" s="747" t="s">
        <v>1050</v>
      </c>
      <c r="C272" s="750">
        <v>4.9620000000000003E-4</v>
      </c>
      <c r="D272" s="750">
        <v>5.3479999999999999E-4</v>
      </c>
      <c r="E272" s="748">
        <v>4915364</v>
      </c>
      <c r="F272" s="751">
        <v>3937070</v>
      </c>
      <c r="G272" s="748">
        <f>VLOOKUP(A272,'[3]TSERS Contributions FY 2017'!$A$2:$C$290,3,FALSE)</f>
        <v>709716</v>
      </c>
      <c r="H272" s="751"/>
      <c r="I272" s="748">
        <v>85348</v>
      </c>
      <c r="J272" s="748">
        <v>1877163</v>
      </c>
      <c r="K272" s="748">
        <v>621998</v>
      </c>
      <c r="L272" s="751">
        <v>61666</v>
      </c>
      <c r="M272" s="751"/>
      <c r="N272" s="748">
        <v>128802</v>
      </c>
      <c r="O272" s="748">
        <v>1344344</v>
      </c>
      <c r="P272" s="748">
        <v>0</v>
      </c>
      <c r="Q272" s="751">
        <v>146532</v>
      </c>
      <c r="R272" s="751"/>
      <c r="S272" s="748">
        <v>1061001</v>
      </c>
      <c r="T272" s="752">
        <v>-9763</v>
      </c>
      <c r="U272" s="752">
        <v>1051237</v>
      </c>
    </row>
    <row r="273" spans="1:21" x14ac:dyDescent="0.25">
      <c r="A273" s="749">
        <v>38700</v>
      </c>
      <c r="B273" s="747" t="s">
        <v>1051</v>
      </c>
      <c r="C273" s="750">
        <v>9.0870000000000002E-4</v>
      </c>
      <c r="D273" s="750">
        <v>9.167E-4</v>
      </c>
      <c r="E273" s="748">
        <v>8425420</v>
      </c>
      <c r="F273" s="751">
        <v>7210027</v>
      </c>
      <c r="G273" s="748">
        <f>VLOOKUP(A273,'[3]TSERS Contributions FY 2017'!$A$2:$C$290,3,FALSE)</f>
        <v>1220318</v>
      </c>
      <c r="H273" s="751"/>
      <c r="I273" s="748">
        <v>156300</v>
      </c>
      <c r="J273" s="748">
        <v>3437682</v>
      </c>
      <c r="K273" s="748">
        <v>1139075</v>
      </c>
      <c r="L273" s="751">
        <v>133328</v>
      </c>
      <c r="M273" s="751"/>
      <c r="N273" s="748">
        <v>235878</v>
      </c>
      <c r="O273" s="748">
        <v>2461921</v>
      </c>
      <c r="P273" s="748">
        <v>0</v>
      </c>
      <c r="Q273" s="751">
        <v>93181</v>
      </c>
      <c r="R273" s="751"/>
      <c r="S273" s="748">
        <v>1943030</v>
      </c>
      <c r="T273" s="752">
        <v>56683</v>
      </c>
      <c r="U273" s="752">
        <v>1999713</v>
      </c>
    </row>
    <row r="274" spans="1:21" x14ac:dyDescent="0.25">
      <c r="A274" s="749">
        <v>38701</v>
      </c>
      <c r="B274" s="747" t="s">
        <v>1052</v>
      </c>
      <c r="C274" s="750">
        <v>5.2200000000000002E-5</v>
      </c>
      <c r="D274" s="750">
        <v>6.2899999999999997E-5</v>
      </c>
      <c r="E274" s="748">
        <v>578116</v>
      </c>
      <c r="F274" s="751">
        <v>414178</v>
      </c>
      <c r="G274" s="748">
        <f>VLOOKUP(A274,'[3]TSERS Contributions FY 2017'!$A$2:$C$290,3,FALSE)</f>
        <v>81826</v>
      </c>
      <c r="H274" s="751"/>
      <c r="I274" s="748">
        <v>8979</v>
      </c>
      <c r="J274" s="748">
        <v>197477</v>
      </c>
      <c r="K274" s="748">
        <v>65434</v>
      </c>
      <c r="L274" s="751">
        <v>4621</v>
      </c>
      <c r="M274" s="751"/>
      <c r="N274" s="748">
        <v>13550</v>
      </c>
      <c r="O274" s="748">
        <v>141424</v>
      </c>
      <c r="P274" s="748">
        <v>0</v>
      </c>
      <c r="Q274" s="751">
        <v>52553</v>
      </c>
      <c r="R274" s="751"/>
      <c r="S274" s="748">
        <v>111617</v>
      </c>
      <c r="T274" s="752">
        <v>-26611</v>
      </c>
      <c r="U274" s="752">
        <v>85006</v>
      </c>
    </row>
    <row r="275" spans="1:21" x14ac:dyDescent="0.25">
      <c r="A275" s="749">
        <v>38800</v>
      </c>
      <c r="B275" s="747" t="s">
        <v>1053</v>
      </c>
      <c r="C275" s="750">
        <v>1.5397E-3</v>
      </c>
      <c r="D275" s="750">
        <v>1.5732999999999999E-3</v>
      </c>
      <c r="E275" s="748">
        <v>14460252</v>
      </c>
      <c r="F275" s="751">
        <v>12216659</v>
      </c>
      <c r="G275" s="748">
        <f>VLOOKUP(A275,'[3]TSERS Contributions FY 2017'!$A$2:$C$290,3,FALSE)</f>
        <v>2128019</v>
      </c>
      <c r="H275" s="751"/>
      <c r="I275" s="748">
        <v>264835</v>
      </c>
      <c r="J275" s="748">
        <v>5824804</v>
      </c>
      <c r="K275" s="748">
        <v>1930048</v>
      </c>
      <c r="L275" s="751">
        <v>81485</v>
      </c>
      <c r="M275" s="751"/>
      <c r="N275" s="748">
        <v>399671</v>
      </c>
      <c r="O275" s="748">
        <v>4171475</v>
      </c>
      <c r="P275" s="748">
        <v>0</v>
      </c>
      <c r="Q275" s="751">
        <v>197723</v>
      </c>
      <c r="R275" s="751"/>
      <c r="S275" s="748">
        <v>3292267</v>
      </c>
      <c r="T275" s="752">
        <v>-27601</v>
      </c>
      <c r="U275" s="752">
        <v>3264665</v>
      </c>
    </row>
    <row r="276" spans="1:21" x14ac:dyDescent="0.25">
      <c r="A276" s="749">
        <v>38801</v>
      </c>
      <c r="B276" s="747" t="s">
        <v>1054</v>
      </c>
      <c r="C276" s="750">
        <v>1.261E-4</v>
      </c>
      <c r="D276" s="750">
        <v>1.1069999999999999E-4</v>
      </c>
      <c r="E276" s="748">
        <v>1017447</v>
      </c>
      <c r="F276" s="751">
        <v>1000533</v>
      </c>
      <c r="G276" s="748">
        <f>VLOOKUP(A276,'[3]TSERS Contributions FY 2017'!$A$2:$C$290,3,FALSE)</f>
        <v>150779</v>
      </c>
      <c r="H276" s="751"/>
      <c r="I276" s="748">
        <v>21690</v>
      </c>
      <c r="J276" s="748">
        <v>477046</v>
      </c>
      <c r="K276" s="748">
        <v>158069</v>
      </c>
      <c r="L276" s="751">
        <v>98190</v>
      </c>
      <c r="M276" s="751"/>
      <c r="N276" s="748">
        <v>32733</v>
      </c>
      <c r="O276" s="748">
        <v>341640</v>
      </c>
      <c r="P276" s="748">
        <v>0</v>
      </c>
      <c r="Q276" s="751">
        <v>20168</v>
      </c>
      <c r="R276" s="751"/>
      <c r="S276" s="748">
        <v>269634</v>
      </c>
      <c r="T276" s="752">
        <v>45290</v>
      </c>
      <c r="U276" s="752">
        <v>314923</v>
      </c>
    </row>
    <row r="277" spans="1:21" x14ac:dyDescent="0.25">
      <c r="A277" s="749">
        <v>38900</v>
      </c>
      <c r="B277" s="747" t="s">
        <v>1055</v>
      </c>
      <c r="C277" s="750">
        <v>3.3700000000000001E-4</v>
      </c>
      <c r="D277" s="750">
        <v>3.5940000000000001E-4</v>
      </c>
      <c r="E277" s="748">
        <v>3303257</v>
      </c>
      <c r="F277" s="751">
        <v>2673907</v>
      </c>
      <c r="G277" s="748">
        <f>VLOOKUP(A277,'[3]TSERS Contributions FY 2017'!$A$2:$C$290,3,FALSE)</f>
        <v>476883</v>
      </c>
      <c r="H277" s="751"/>
      <c r="I277" s="748">
        <v>57965</v>
      </c>
      <c r="J277" s="748">
        <v>1274897</v>
      </c>
      <c r="K277" s="748">
        <v>422437</v>
      </c>
      <c r="L277" s="751">
        <v>48935</v>
      </c>
      <c r="M277" s="751"/>
      <c r="N277" s="748">
        <v>87477</v>
      </c>
      <c r="O277" s="748">
        <v>913027</v>
      </c>
      <c r="P277" s="748">
        <v>0</v>
      </c>
      <c r="Q277" s="751">
        <v>110590</v>
      </c>
      <c r="R277" s="751"/>
      <c r="S277" s="748">
        <v>720591</v>
      </c>
      <c r="T277" s="752">
        <v>-34893</v>
      </c>
      <c r="U277" s="752">
        <v>685698</v>
      </c>
    </row>
    <row r="278" spans="1:21" x14ac:dyDescent="0.25">
      <c r="A278" s="749">
        <v>39000</v>
      </c>
      <c r="B278" s="747" t="s">
        <v>1056</v>
      </c>
      <c r="C278" s="750">
        <v>1.5960100000000001E-2</v>
      </c>
      <c r="D278" s="750">
        <v>1.5830199999999999E-2</v>
      </c>
      <c r="E278" s="748">
        <v>145495891</v>
      </c>
      <c r="F278" s="751">
        <v>126634472</v>
      </c>
      <c r="G278" s="748">
        <f>VLOOKUP(A278,'[3]TSERS Contributions FY 2017'!$A$2:$C$290,3,FALSE)</f>
        <v>20871983</v>
      </c>
      <c r="H278" s="751"/>
      <c r="I278" s="748">
        <v>2745201</v>
      </c>
      <c r="J278" s="748">
        <v>60378287</v>
      </c>
      <c r="K278" s="748">
        <v>20006336</v>
      </c>
      <c r="L278" s="751">
        <v>397060</v>
      </c>
      <c r="M278" s="751"/>
      <c r="N278" s="748">
        <v>4142875</v>
      </c>
      <c r="O278" s="748">
        <v>43240348</v>
      </c>
      <c r="P278" s="748">
        <v>0</v>
      </c>
      <c r="Q278" s="751">
        <v>2008728</v>
      </c>
      <c r="R278" s="751"/>
      <c r="S278" s="748">
        <v>34126716</v>
      </c>
      <c r="T278" s="752">
        <v>-845475</v>
      </c>
      <c r="U278" s="752">
        <v>33281241</v>
      </c>
    </row>
    <row r="279" spans="1:21" x14ac:dyDescent="0.25">
      <c r="A279" s="749">
        <v>39100</v>
      </c>
      <c r="B279" s="747" t="s">
        <v>1057</v>
      </c>
      <c r="C279" s="750">
        <v>2.3486000000000002E-3</v>
      </c>
      <c r="D279" s="750">
        <v>2.4624E-3</v>
      </c>
      <c r="E279" s="748">
        <v>22632000</v>
      </c>
      <c r="F279" s="751">
        <v>18634828</v>
      </c>
      <c r="G279" s="748">
        <f>VLOOKUP(A279,'[3]TSERS Contributions FY 2017'!$A$2:$C$290,3,FALSE)</f>
        <v>3530602</v>
      </c>
      <c r="H279" s="751"/>
      <c r="I279" s="748">
        <v>403969</v>
      </c>
      <c r="J279" s="748">
        <v>8884935</v>
      </c>
      <c r="K279" s="748">
        <v>2944022</v>
      </c>
      <c r="L279" s="751">
        <v>0</v>
      </c>
      <c r="M279" s="751"/>
      <c r="N279" s="748">
        <v>609643</v>
      </c>
      <c r="O279" s="748">
        <v>6363010</v>
      </c>
      <c r="P279" s="748">
        <v>0</v>
      </c>
      <c r="Q279" s="751">
        <v>369824</v>
      </c>
      <c r="R279" s="751"/>
      <c r="S279" s="748">
        <v>5021899</v>
      </c>
      <c r="T279" s="752">
        <v>-175449</v>
      </c>
      <c r="U279" s="752">
        <v>4846449</v>
      </c>
    </row>
    <row r="280" spans="1:21" x14ac:dyDescent="0.25">
      <c r="A280" s="749">
        <v>39101</v>
      </c>
      <c r="B280" s="747" t="s">
        <v>1058</v>
      </c>
      <c r="C280" s="750">
        <v>1.9579999999999999E-4</v>
      </c>
      <c r="D280" s="750">
        <v>1.7560000000000001E-4</v>
      </c>
      <c r="E280" s="748">
        <v>1613945</v>
      </c>
      <c r="F280" s="751">
        <v>1553564</v>
      </c>
      <c r="G280" s="748">
        <f>VLOOKUP(A280,'[3]TSERS Contributions FY 2017'!$A$2:$C$290,3,FALSE)</f>
        <v>282346</v>
      </c>
      <c r="H280" s="751"/>
      <c r="I280" s="748">
        <v>33678</v>
      </c>
      <c r="J280" s="748">
        <v>740726</v>
      </c>
      <c r="K280" s="748">
        <v>245440</v>
      </c>
      <c r="L280" s="751">
        <v>76558</v>
      </c>
      <c r="M280" s="751"/>
      <c r="N280" s="748">
        <v>50825</v>
      </c>
      <c r="O280" s="748">
        <v>530477</v>
      </c>
      <c r="P280" s="748">
        <v>0</v>
      </c>
      <c r="Q280" s="751">
        <v>15840</v>
      </c>
      <c r="R280" s="751"/>
      <c r="S280" s="748">
        <v>418670</v>
      </c>
      <c r="T280" s="752">
        <v>14667</v>
      </c>
      <c r="U280" s="752">
        <v>433337</v>
      </c>
    </row>
    <row r="281" spans="1:21" x14ac:dyDescent="0.25">
      <c r="A281" s="749">
        <v>39105</v>
      </c>
      <c r="B281" s="747" t="s">
        <v>1059</v>
      </c>
      <c r="C281" s="750">
        <v>9.7019999999999995E-4</v>
      </c>
      <c r="D281" s="750">
        <v>1.0095E-3</v>
      </c>
      <c r="E281" s="748">
        <v>9278348</v>
      </c>
      <c r="F281" s="751">
        <v>7697995</v>
      </c>
      <c r="G281" s="748">
        <f>VLOOKUP(A281,'[3]TSERS Contributions FY 2017'!$A$2:$C$290,3,FALSE)</f>
        <v>1406215</v>
      </c>
      <c r="H281" s="751"/>
      <c r="I281" s="748">
        <v>166878</v>
      </c>
      <c r="J281" s="748">
        <v>3670341</v>
      </c>
      <c r="K281" s="748">
        <v>1216167</v>
      </c>
      <c r="L281" s="751">
        <v>47077</v>
      </c>
      <c r="M281" s="751"/>
      <c r="N281" s="748">
        <v>251842</v>
      </c>
      <c r="O281" s="748">
        <v>2628542</v>
      </c>
      <c r="P281" s="748">
        <v>0</v>
      </c>
      <c r="Q281" s="751">
        <v>190492</v>
      </c>
      <c r="R281" s="751"/>
      <c r="S281" s="748">
        <v>2074532</v>
      </c>
      <c r="T281" s="752">
        <v>-24204</v>
      </c>
      <c r="U281" s="752">
        <v>2050328</v>
      </c>
    </row>
    <row r="282" spans="1:21" x14ac:dyDescent="0.25">
      <c r="A282" s="749">
        <v>39200</v>
      </c>
      <c r="B282" s="747" t="s">
        <v>1060</v>
      </c>
      <c r="C282" s="750">
        <v>6.5650399999999998E-2</v>
      </c>
      <c r="D282" s="750">
        <v>6.4350400000000002E-2</v>
      </c>
      <c r="E282" s="748">
        <v>591446650</v>
      </c>
      <c r="F282" s="751">
        <v>520899225</v>
      </c>
      <c r="G282" s="748">
        <f>VLOOKUP(A282,'[3]TSERS Contributions FY 2017'!$A$2:$C$290,3,FALSE)</f>
        <v>87215438</v>
      </c>
      <c r="H282" s="751"/>
      <c r="I282" s="748">
        <v>11292131</v>
      </c>
      <c r="J282" s="748">
        <v>248360518</v>
      </c>
      <c r="K282" s="748">
        <v>82294221</v>
      </c>
      <c r="L282" s="751">
        <v>6065557</v>
      </c>
      <c r="M282" s="751"/>
      <c r="N282" s="748">
        <v>17041334</v>
      </c>
      <c r="O282" s="748">
        <v>177865184</v>
      </c>
      <c r="P282" s="748">
        <v>0</v>
      </c>
      <c r="Q282" s="751">
        <v>411890</v>
      </c>
      <c r="R282" s="751"/>
      <c r="S282" s="748">
        <v>140377099</v>
      </c>
      <c r="T282" s="752">
        <v>2848192</v>
      </c>
      <c r="U282" s="752">
        <v>143225291</v>
      </c>
    </row>
    <row r="283" spans="1:21" x14ac:dyDescent="0.25">
      <c r="A283" s="749">
        <v>39201</v>
      </c>
      <c r="B283" s="747" t="s">
        <v>1061</v>
      </c>
      <c r="C283" s="750">
        <v>1.94E-4</v>
      </c>
      <c r="D283" s="750">
        <v>1.94E-4</v>
      </c>
      <c r="E283" s="748">
        <v>1783060</v>
      </c>
      <c r="F283" s="751">
        <v>1539282</v>
      </c>
      <c r="G283" s="748">
        <f>VLOOKUP(A283,'[3]TSERS Contributions FY 2017'!$A$2:$C$290,3,FALSE)</f>
        <v>214022</v>
      </c>
      <c r="H283" s="751"/>
      <c r="I283" s="748">
        <v>33369</v>
      </c>
      <c r="J283" s="748">
        <v>733917</v>
      </c>
      <c r="K283" s="748">
        <v>243183</v>
      </c>
      <c r="L283" s="751">
        <v>28511</v>
      </c>
      <c r="M283" s="751"/>
      <c r="N283" s="748">
        <v>50358</v>
      </c>
      <c r="O283" s="748">
        <v>525600</v>
      </c>
      <c r="P283" s="748">
        <v>0</v>
      </c>
      <c r="Q283" s="751">
        <v>71543</v>
      </c>
      <c r="R283" s="751"/>
      <c r="S283" s="748">
        <v>414821</v>
      </c>
      <c r="T283" s="752">
        <v>-11463</v>
      </c>
      <c r="U283" s="752">
        <v>403358</v>
      </c>
    </row>
    <row r="284" spans="1:21" x14ac:dyDescent="0.25">
      <c r="A284" s="749">
        <v>39204</v>
      </c>
      <c r="B284" s="747" t="s">
        <v>1062</v>
      </c>
      <c r="C284" s="750">
        <v>1.8000000000000001E-4</v>
      </c>
      <c r="D284" s="750">
        <v>1.3359999999999999E-4</v>
      </c>
      <c r="E284" s="748">
        <v>1227922</v>
      </c>
      <c r="F284" s="751">
        <v>1428199</v>
      </c>
      <c r="G284" s="748">
        <f>VLOOKUP(A284,'[3]TSERS Contributions FY 2017'!$A$2:$C$290,3,FALSE)</f>
        <v>216940</v>
      </c>
      <c r="H284" s="751"/>
      <c r="I284" s="748">
        <v>30960.720000000001</v>
      </c>
      <c r="J284" s="748">
        <v>680953.86</v>
      </c>
      <c r="K284" s="748">
        <v>225634</v>
      </c>
      <c r="L284" s="751">
        <v>264275</v>
      </c>
      <c r="M284" s="751"/>
      <c r="N284" s="748">
        <v>46723.86</v>
      </c>
      <c r="O284" s="748">
        <v>487670</v>
      </c>
      <c r="P284" s="748">
        <v>0</v>
      </c>
      <c r="Q284" s="751">
        <v>0</v>
      </c>
      <c r="R284" s="751"/>
      <c r="S284" s="748">
        <v>384885</v>
      </c>
      <c r="T284" s="752">
        <v>128505</v>
      </c>
      <c r="U284" s="752">
        <v>513390</v>
      </c>
    </row>
    <row r="285" spans="1:21" x14ac:dyDescent="0.25">
      <c r="A285" s="749">
        <v>39205</v>
      </c>
      <c r="B285" s="747" t="s">
        <v>1063</v>
      </c>
      <c r="C285" s="750">
        <v>5.4140000000000004E-3</v>
      </c>
      <c r="D285" s="750">
        <v>5.0689000000000003E-3</v>
      </c>
      <c r="E285" s="748">
        <v>46588427</v>
      </c>
      <c r="F285" s="751">
        <v>42957064</v>
      </c>
      <c r="G285" s="748">
        <f>VLOOKUP(A285,'[3]TSERS Contributions FY 2017'!$A$2:$C$290,3,FALSE)</f>
        <v>7736895</v>
      </c>
      <c r="H285" s="751"/>
      <c r="I285" s="748">
        <v>931230</v>
      </c>
      <c r="J285" s="748">
        <v>20481579</v>
      </c>
      <c r="K285" s="748">
        <v>6786568</v>
      </c>
      <c r="L285" s="751">
        <v>3014951</v>
      </c>
      <c r="M285" s="751"/>
      <c r="N285" s="748">
        <v>1405350</v>
      </c>
      <c r="O285" s="748">
        <v>14668031</v>
      </c>
      <c r="P285" s="748">
        <v>0</v>
      </c>
      <c r="Q285" s="751">
        <v>0</v>
      </c>
      <c r="R285" s="751"/>
      <c r="S285" s="748">
        <v>11576496</v>
      </c>
      <c r="T285" s="752">
        <v>1600573</v>
      </c>
      <c r="U285" s="752">
        <v>13177070</v>
      </c>
    </row>
    <row r="286" spans="1:21" x14ac:dyDescent="0.25">
      <c r="A286" s="749">
        <v>39208</v>
      </c>
      <c r="B286" s="747" t="s">
        <v>1064</v>
      </c>
      <c r="C286" s="750">
        <v>3.835E-4</v>
      </c>
      <c r="D286" s="750">
        <v>4.0460000000000002E-4</v>
      </c>
      <c r="E286" s="748">
        <v>3718692</v>
      </c>
      <c r="F286" s="751">
        <v>3042858</v>
      </c>
      <c r="G286" s="748">
        <f>VLOOKUP(A286,'[3]TSERS Contributions FY 2017'!$A$2:$C$290,3,FALSE)</f>
        <v>462825</v>
      </c>
      <c r="H286" s="751"/>
      <c r="I286" s="748">
        <v>65964</v>
      </c>
      <c r="J286" s="748">
        <v>1450810</v>
      </c>
      <c r="K286" s="748">
        <v>480726</v>
      </c>
      <c r="L286" s="751">
        <v>0</v>
      </c>
      <c r="M286" s="751"/>
      <c r="N286" s="748">
        <v>99548</v>
      </c>
      <c r="O286" s="748">
        <v>1039008</v>
      </c>
      <c r="P286" s="748">
        <v>0</v>
      </c>
      <c r="Q286" s="751">
        <v>225042</v>
      </c>
      <c r="R286" s="751"/>
      <c r="S286" s="748">
        <v>820020</v>
      </c>
      <c r="T286" s="752">
        <v>-115122</v>
      </c>
      <c r="U286" s="752">
        <v>704897</v>
      </c>
    </row>
    <row r="287" spans="1:21" x14ac:dyDescent="0.25">
      <c r="A287" s="749">
        <v>39209</v>
      </c>
      <c r="B287" s="747" t="s">
        <v>1065</v>
      </c>
      <c r="C287" s="750">
        <v>2.1379999999999999E-4</v>
      </c>
      <c r="D287" s="750">
        <v>2.0369999999999999E-4</v>
      </c>
      <c r="E287" s="748">
        <v>1872213</v>
      </c>
      <c r="F287" s="751">
        <v>1696383</v>
      </c>
      <c r="G287" s="748">
        <f>VLOOKUP(A287,'[3]TSERS Contributions FY 2017'!$A$2:$C$290,3,FALSE)</f>
        <v>241365</v>
      </c>
      <c r="H287" s="751"/>
      <c r="I287" s="748">
        <v>36774</v>
      </c>
      <c r="J287" s="748">
        <v>808822</v>
      </c>
      <c r="K287" s="748">
        <v>268003</v>
      </c>
      <c r="L287" s="751">
        <v>54013</v>
      </c>
      <c r="M287" s="751"/>
      <c r="N287" s="748">
        <v>55498</v>
      </c>
      <c r="O287" s="748">
        <v>579244</v>
      </c>
      <c r="P287" s="748">
        <v>0</v>
      </c>
      <c r="Q287" s="751">
        <v>25607</v>
      </c>
      <c r="R287" s="751"/>
      <c r="S287" s="748">
        <v>457158</v>
      </c>
      <c r="T287" s="752">
        <v>4272</v>
      </c>
      <c r="U287" s="752">
        <v>461430</v>
      </c>
    </row>
    <row r="288" spans="1:21" x14ac:dyDescent="0.25">
      <c r="A288" s="749">
        <v>39300</v>
      </c>
      <c r="B288" s="747" t="s">
        <v>1066</v>
      </c>
      <c r="C288" s="750">
        <v>8.6319999999999995E-4</v>
      </c>
      <c r="D288" s="750">
        <v>9.5830000000000004E-4</v>
      </c>
      <c r="E288" s="748">
        <v>8807767</v>
      </c>
      <c r="F288" s="751">
        <v>6849009</v>
      </c>
      <c r="G288" s="748">
        <f>VLOOKUP(A288,'[3]TSERS Contributions FY 2017'!$A$2:$C$290,3,FALSE)</f>
        <v>1288531</v>
      </c>
      <c r="H288" s="751"/>
      <c r="I288" s="748">
        <v>148474</v>
      </c>
      <c r="J288" s="748">
        <v>3265552</v>
      </c>
      <c r="K288" s="748">
        <v>1082040</v>
      </c>
      <c r="L288" s="751">
        <v>56440</v>
      </c>
      <c r="M288" s="751"/>
      <c r="N288" s="748">
        <v>224067</v>
      </c>
      <c r="O288" s="748">
        <v>2338649</v>
      </c>
      <c r="P288" s="748">
        <v>0</v>
      </c>
      <c r="Q288" s="751">
        <v>332866</v>
      </c>
      <c r="R288" s="751"/>
      <c r="S288" s="748">
        <v>1845739</v>
      </c>
      <c r="T288" s="752">
        <v>-93448</v>
      </c>
      <c r="U288" s="752">
        <v>1752292</v>
      </c>
    </row>
    <row r="289" spans="1:21" x14ac:dyDescent="0.25">
      <c r="A289" s="749">
        <v>39301</v>
      </c>
      <c r="B289" s="747" t="s">
        <v>1067</v>
      </c>
      <c r="C289" s="750">
        <v>6.0099999999999997E-5</v>
      </c>
      <c r="D289" s="750">
        <v>5.2299999999999997E-5</v>
      </c>
      <c r="E289" s="748">
        <v>480691</v>
      </c>
      <c r="F289" s="751">
        <v>476860</v>
      </c>
      <c r="G289" s="748">
        <f>VLOOKUP(A289,'[3]TSERS Contributions FY 2017'!$A$2:$C$290,3,FALSE)</f>
        <v>80537</v>
      </c>
      <c r="H289" s="751"/>
      <c r="I289" s="748">
        <v>10337</v>
      </c>
      <c r="J289" s="748">
        <v>227363</v>
      </c>
      <c r="K289" s="748">
        <v>75337</v>
      </c>
      <c r="L289" s="751">
        <v>39536</v>
      </c>
      <c r="M289" s="751"/>
      <c r="N289" s="748">
        <v>15601</v>
      </c>
      <c r="O289" s="748">
        <v>162828</v>
      </c>
      <c r="P289" s="748">
        <v>0</v>
      </c>
      <c r="Q289" s="751">
        <v>43991</v>
      </c>
      <c r="R289" s="751"/>
      <c r="S289" s="748">
        <v>128509</v>
      </c>
      <c r="T289" s="752">
        <v>5647</v>
      </c>
      <c r="U289" s="752">
        <v>134156</v>
      </c>
    </row>
    <row r="290" spans="1:21" x14ac:dyDescent="0.25">
      <c r="A290" s="749">
        <v>39400</v>
      </c>
      <c r="B290" s="747" t="s">
        <v>1068</v>
      </c>
      <c r="C290" s="750">
        <v>6.1859999999999997E-4</v>
      </c>
      <c r="D290" s="750">
        <v>6.5919999999999998E-4</v>
      </c>
      <c r="E290" s="748">
        <v>6058729</v>
      </c>
      <c r="F290" s="751">
        <v>4908245</v>
      </c>
      <c r="G290" s="748">
        <f>VLOOKUP(A290,'[3]TSERS Contributions FY 2017'!$A$2:$C$290,3,FALSE)</f>
        <v>980162</v>
      </c>
      <c r="H290" s="751"/>
      <c r="I290" s="748">
        <v>106402</v>
      </c>
      <c r="J290" s="748">
        <v>2340211</v>
      </c>
      <c r="K290" s="748">
        <v>775429</v>
      </c>
      <c r="L290" s="751">
        <v>67163</v>
      </c>
      <c r="M290" s="751"/>
      <c r="N290" s="748">
        <v>160574</v>
      </c>
      <c r="O290" s="748">
        <v>1675959</v>
      </c>
      <c r="P290" s="748">
        <v>0</v>
      </c>
      <c r="Q290" s="751">
        <v>148112</v>
      </c>
      <c r="R290" s="751"/>
      <c r="S290" s="748">
        <v>1322723</v>
      </c>
      <c r="T290" s="752">
        <v>23786</v>
      </c>
      <c r="U290" s="752">
        <v>1346508</v>
      </c>
    </row>
    <row r="291" spans="1:21" x14ac:dyDescent="0.25">
      <c r="A291" s="749">
        <v>39401</v>
      </c>
      <c r="B291" s="747" t="s">
        <v>1069</v>
      </c>
      <c r="C291" s="750">
        <v>3.213E-4</v>
      </c>
      <c r="D291" s="750">
        <v>2.22E-4</v>
      </c>
      <c r="E291" s="748">
        <v>2040409</v>
      </c>
      <c r="F291" s="751">
        <v>2549336</v>
      </c>
      <c r="G291" s="748">
        <f>VLOOKUP(A291,'[3]TSERS Contributions FY 2017'!$A$2:$C$290,3,FALSE)</f>
        <v>350218</v>
      </c>
      <c r="H291" s="751"/>
      <c r="I291" s="748">
        <v>55265</v>
      </c>
      <c r="J291" s="748">
        <v>1215503</v>
      </c>
      <c r="K291" s="748">
        <v>402757</v>
      </c>
      <c r="L291" s="751">
        <v>510098</v>
      </c>
      <c r="M291" s="751"/>
      <c r="N291" s="748">
        <v>83402</v>
      </c>
      <c r="O291" s="748">
        <v>870491</v>
      </c>
      <c r="P291" s="748">
        <v>0</v>
      </c>
      <c r="Q291" s="751">
        <v>0</v>
      </c>
      <c r="R291" s="751"/>
      <c r="S291" s="748">
        <v>687020</v>
      </c>
      <c r="T291" s="752">
        <v>227395</v>
      </c>
      <c r="U291" s="752">
        <v>914415</v>
      </c>
    </row>
    <row r="292" spans="1:21" x14ac:dyDescent="0.25">
      <c r="A292" s="749">
        <v>39500</v>
      </c>
      <c r="B292" s="747" t="s">
        <v>1070</v>
      </c>
      <c r="C292" s="750">
        <v>1.9737000000000001E-3</v>
      </c>
      <c r="D292" s="750">
        <v>1.9851000000000001E-3</v>
      </c>
      <c r="E292" s="748">
        <v>18245120</v>
      </c>
      <c r="F292" s="751">
        <v>15660206</v>
      </c>
      <c r="G292" s="748">
        <f>VLOOKUP(A292,'[3]TSERS Contributions FY 2017'!$A$2:$C$290,3,FALSE)</f>
        <v>2743386</v>
      </c>
      <c r="H292" s="751"/>
      <c r="I292" s="748">
        <v>339484</v>
      </c>
      <c r="J292" s="748">
        <v>7466659</v>
      </c>
      <c r="K292" s="748">
        <v>2474076</v>
      </c>
      <c r="L292" s="751">
        <v>37702</v>
      </c>
      <c r="M292" s="751"/>
      <c r="N292" s="748">
        <v>512327</v>
      </c>
      <c r="O292" s="748">
        <v>5347302</v>
      </c>
      <c r="P292" s="748">
        <v>0</v>
      </c>
      <c r="Q292" s="751">
        <v>141935</v>
      </c>
      <c r="R292" s="751"/>
      <c r="S292" s="748">
        <v>4220268</v>
      </c>
      <c r="T292" s="752">
        <v>-26315</v>
      </c>
      <c r="U292" s="752">
        <v>4193953</v>
      </c>
    </row>
    <row r="293" spans="1:21" x14ac:dyDescent="0.25">
      <c r="A293" s="749">
        <v>39501</v>
      </c>
      <c r="B293" s="747" t="s">
        <v>1071</v>
      </c>
      <c r="C293" s="750">
        <v>6.7600000000000003E-5</v>
      </c>
      <c r="D293" s="750">
        <v>6.41E-5</v>
      </c>
      <c r="E293" s="748">
        <v>589145</v>
      </c>
      <c r="F293" s="751">
        <v>536368</v>
      </c>
      <c r="G293" s="748">
        <f>VLOOKUP(A293,'[3]TSERS Contributions FY 2017'!$A$2:$C$290,3,FALSE)</f>
        <v>86173</v>
      </c>
      <c r="H293" s="751"/>
      <c r="I293" s="748">
        <v>11627</v>
      </c>
      <c r="J293" s="748">
        <v>255736</v>
      </c>
      <c r="K293" s="748">
        <v>84738</v>
      </c>
      <c r="L293" s="751">
        <v>7622</v>
      </c>
      <c r="M293" s="751"/>
      <c r="N293" s="748">
        <v>17547</v>
      </c>
      <c r="O293" s="748">
        <v>183147</v>
      </c>
      <c r="P293" s="748">
        <v>0</v>
      </c>
      <c r="Q293" s="751">
        <v>20117</v>
      </c>
      <c r="R293" s="751"/>
      <c r="S293" s="748">
        <v>144546</v>
      </c>
      <c r="T293" s="752">
        <v>-5225</v>
      </c>
      <c r="U293" s="752">
        <v>139321</v>
      </c>
    </row>
    <row r="294" spans="1:21" x14ac:dyDescent="0.25">
      <c r="A294" s="749">
        <v>39600</v>
      </c>
      <c r="B294" s="747" t="s">
        <v>1072</v>
      </c>
      <c r="C294" s="750">
        <v>6.5113000000000002E-3</v>
      </c>
      <c r="D294" s="750">
        <v>6.5063999999999999E-3</v>
      </c>
      <c r="E294" s="748">
        <v>59800537</v>
      </c>
      <c r="F294" s="751">
        <v>51663526</v>
      </c>
      <c r="G294" s="748">
        <f>VLOOKUP(A294,'[3]TSERS Contributions FY 2017'!$A$2:$C$290,3,FALSE)</f>
        <v>9361508</v>
      </c>
      <c r="H294" s="751"/>
      <c r="I294" s="748">
        <v>1119970</v>
      </c>
      <c r="J294" s="748">
        <v>24632749</v>
      </c>
      <c r="K294" s="748">
        <v>8162058</v>
      </c>
      <c r="L294" s="751">
        <v>104260</v>
      </c>
      <c r="M294" s="751"/>
      <c r="N294" s="748">
        <v>1690184</v>
      </c>
      <c r="O294" s="748">
        <v>17640922</v>
      </c>
      <c r="P294" s="748">
        <v>0</v>
      </c>
      <c r="Q294" s="751">
        <v>275141</v>
      </c>
      <c r="R294" s="751"/>
      <c r="S294" s="748">
        <v>13922800</v>
      </c>
      <c r="T294" s="752">
        <v>-296819</v>
      </c>
      <c r="U294" s="752">
        <v>13625981</v>
      </c>
    </row>
    <row r="295" spans="1:21" x14ac:dyDescent="0.25">
      <c r="A295" s="749">
        <v>39605</v>
      </c>
      <c r="B295" s="747" t="s">
        <v>1073</v>
      </c>
      <c r="C295" s="750">
        <v>9.6020000000000003E-4</v>
      </c>
      <c r="D295" s="750">
        <v>9.4019999999999998E-4</v>
      </c>
      <c r="E295" s="748">
        <v>8641409</v>
      </c>
      <c r="F295" s="751">
        <v>7618650</v>
      </c>
      <c r="G295" s="748">
        <f>VLOOKUP(A295,'[3]TSERS Contributions FY 2017'!$A$2:$C$290,3,FALSE)</f>
        <v>1388420</v>
      </c>
      <c r="H295" s="751"/>
      <c r="I295" s="748">
        <v>165158</v>
      </c>
      <c r="J295" s="748">
        <v>3632511</v>
      </c>
      <c r="K295" s="748">
        <v>1203632</v>
      </c>
      <c r="L295" s="751">
        <v>173425</v>
      </c>
      <c r="M295" s="751"/>
      <c r="N295" s="748">
        <v>249246</v>
      </c>
      <c r="O295" s="748">
        <v>2601449</v>
      </c>
      <c r="P295" s="748">
        <v>0</v>
      </c>
      <c r="Q295" s="751">
        <v>8892</v>
      </c>
      <c r="R295" s="751"/>
      <c r="S295" s="748">
        <v>2053150</v>
      </c>
      <c r="T295" s="752">
        <v>101530</v>
      </c>
      <c r="U295" s="752">
        <v>2154680</v>
      </c>
    </row>
    <row r="296" spans="1:21" x14ac:dyDescent="0.25">
      <c r="A296" s="749">
        <v>39700</v>
      </c>
      <c r="B296" s="747" t="s">
        <v>1074</v>
      </c>
      <c r="C296" s="750">
        <v>3.7607000000000001E-3</v>
      </c>
      <c r="D296" s="750">
        <v>3.8947000000000001E-3</v>
      </c>
      <c r="E296" s="748">
        <v>35796316</v>
      </c>
      <c r="F296" s="751">
        <v>29839052</v>
      </c>
      <c r="G296" s="748">
        <f>VLOOKUP(A296,'[3]TSERS Contributions FY 2017'!$A$2:$C$290,3,FALSE)</f>
        <v>5174963</v>
      </c>
      <c r="H296" s="751"/>
      <c r="I296" s="748">
        <v>646855</v>
      </c>
      <c r="J296" s="748">
        <v>14227018</v>
      </c>
      <c r="K296" s="748">
        <v>4714120</v>
      </c>
      <c r="L296" s="751">
        <v>165659</v>
      </c>
      <c r="M296" s="751"/>
      <c r="N296" s="748">
        <v>976191</v>
      </c>
      <c r="O296" s="748">
        <v>10188782</v>
      </c>
      <c r="P296" s="748">
        <v>0</v>
      </c>
      <c r="Q296" s="751">
        <v>1026492</v>
      </c>
      <c r="R296" s="751"/>
      <c r="S296" s="748">
        <v>8041324</v>
      </c>
      <c r="T296" s="752">
        <v>-329498</v>
      </c>
      <c r="U296" s="752">
        <v>7711826</v>
      </c>
    </row>
    <row r="297" spans="1:21" x14ac:dyDescent="0.25">
      <c r="A297" s="749">
        <v>39703</v>
      </c>
      <c r="B297" s="747" t="s">
        <v>1075</v>
      </c>
      <c r="C297" s="750">
        <v>1.5559999999999999E-4</v>
      </c>
      <c r="D297" s="750">
        <v>1.199E-4</v>
      </c>
      <c r="E297" s="748">
        <v>1102005</v>
      </c>
      <c r="F297" s="751">
        <v>1234599</v>
      </c>
      <c r="G297" s="748">
        <f>VLOOKUP(A297,'[3]TSERS Contributions FY 2017'!$A$2:$C$290,3,FALSE)</f>
        <v>176927</v>
      </c>
      <c r="H297" s="751"/>
      <c r="I297" s="748">
        <v>26764</v>
      </c>
      <c r="J297" s="748">
        <v>588647</v>
      </c>
      <c r="K297" s="748">
        <v>195048</v>
      </c>
      <c r="L297" s="751">
        <v>262738</v>
      </c>
      <c r="M297" s="751"/>
      <c r="N297" s="748">
        <v>40390</v>
      </c>
      <c r="O297" s="748">
        <v>421564</v>
      </c>
      <c r="P297" s="748">
        <v>0</v>
      </c>
      <c r="Q297" s="751">
        <v>0</v>
      </c>
      <c r="R297" s="751"/>
      <c r="S297" s="748">
        <v>332712</v>
      </c>
      <c r="T297" s="752">
        <v>161253</v>
      </c>
      <c r="U297" s="752">
        <v>493965</v>
      </c>
    </row>
    <row r="298" spans="1:21" x14ac:dyDescent="0.25">
      <c r="A298" s="749">
        <v>39705</v>
      </c>
      <c r="B298" s="747" t="s">
        <v>1076</v>
      </c>
      <c r="C298" s="750">
        <v>9.0359999999999995E-4</v>
      </c>
      <c r="D298" s="750">
        <v>9.0930000000000004E-4</v>
      </c>
      <c r="E298" s="748">
        <v>8357406</v>
      </c>
      <c r="F298" s="751">
        <v>7169561</v>
      </c>
      <c r="G298" s="748">
        <f>VLOOKUP(A298,'[3]TSERS Contributions FY 2017'!$A$2:$C$290,3,FALSE)</f>
        <v>1363369</v>
      </c>
      <c r="H298" s="751"/>
      <c r="I298" s="748">
        <v>155423</v>
      </c>
      <c r="J298" s="748">
        <v>3418388</v>
      </c>
      <c r="K298" s="748">
        <v>1132682</v>
      </c>
      <c r="L298" s="751">
        <v>148579</v>
      </c>
      <c r="M298" s="751"/>
      <c r="N298" s="748">
        <v>234554</v>
      </c>
      <c r="O298" s="748">
        <v>2448104</v>
      </c>
      <c r="P298" s="748">
        <v>0</v>
      </c>
      <c r="Q298" s="751">
        <v>0</v>
      </c>
      <c r="R298" s="751"/>
      <c r="S298" s="748">
        <v>1932125</v>
      </c>
      <c r="T298" s="752">
        <v>111073</v>
      </c>
      <c r="U298" s="752">
        <v>2043197</v>
      </c>
    </row>
    <row r="299" spans="1:21" x14ac:dyDescent="0.25">
      <c r="A299" s="749">
        <v>39800</v>
      </c>
      <c r="B299" s="747" t="s">
        <v>1077</v>
      </c>
      <c r="C299" s="750">
        <v>4.2407E-3</v>
      </c>
      <c r="D299" s="750">
        <v>4.3068999999999998E-3</v>
      </c>
      <c r="E299" s="748">
        <v>39584860</v>
      </c>
      <c r="F299" s="751">
        <v>33647584</v>
      </c>
      <c r="G299" s="748">
        <f>VLOOKUP(A299,'[3]TSERS Contributions FY 2017'!$A$2:$C$290,3,FALSE)</f>
        <v>6020873</v>
      </c>
      <c r="H299" s="751"/>
      <c r="I299" s="748">
        <v>729417</v>
      </c>
      <c r="J299" s="748">
        <v>16042895</v>
      </c>
      <c r="K299" s="748">
        <v>5315811</v>
      </c>
      <c r="L299" s="751">
        <v>0</v>
      </c>
      <c r="M299" s="751"/>
      <c r="N299" s="748">
        <v>1100788</v>
      </c>
      <c r="O299" s="748">
        <v>11489235</v>
      </c>
      <c r="P299" s="748">
        <v>0</v>
      </c>
      <c r="Q299" s="751">
        <v>753192</v>
      </c>
      <c r="R299" s="751"/>
      <c r="S299" s="748">
        <v>9067685</v>
      </c>
      <c r="T299" s="752">
        <v>-464619</v>
      </c>
      <c r="U299" s="752">
        <v>8603066</v>
      </c>
    </row>
    <row r="300" spans="1:21" x14ac:dyDescent="0.25">
      <c r="A300" s="749">
        <v>39805</v>
      </c>
      <c r="B300" s="747" t="s">
        <v>1078</v>
      </c>
      <c r="C300" s="750">
        <v>5.0589999999999999E-4</v>
      </c>
      <c r="D300" s="750">
        <v>4.8710000000000002E-4</v>
      </c>
      <c r="E300" s="748">
        <v>4476952</v>
      </c>
      <c r="F300" s="751">
        <v>4014034</v>
      </c>
      <c r="G300" s="748">
        <f>VLOOKUP(A300,'[3]TSERS Contributions FY 2017'!$A$2:$C$290,3,FALSE)</f>
        <v>763058</v>
      </c>
      <c r="H300" s="751"/>
      <c r="I300" s="748">
        <v>87017</v>
      </c>
      <c r="J300" s="748">
        <v>1913859</v>
      </c>
      <c r="K300" s="748">
        <v>634157</v>
      </c>
      <c r="L300" s="751">
        <v>138940</v>
      </c>
      <c r="M300" s="751"/>
      <c r="N300" s="748">
        <v>131320</v>
      </c>
      <c r="O300" s="748">
        <v>1370624</v>
      </c>
      <c r="P300" s="748">
        <v>0</v>
      </c>
      <c r="Q300" s="751">
        <v>15722</v>
      </c>
      <c r="R300" s="751"/>
      <c r="S300" s="748">
        <v>1081742</v>
      </c>
      <c r="T300" s="752">
        <v>32304</v>
      </c>
      <c r="U300" s="752">
        <v>1114045</v>
      </c>
    </row>
    <row r="301" spans="1:21" x14ac:dyDescent="0.25">
      <c r="A301" s="749">
        <v>39900</v>
      </c>
      <c r="B301" s="747" t="s">
        <v>1079</v>
      </c>
      <c r="C301" s="750">
        <v>2.1381E-3</v>
      </c>
      <c r="D301" s="750">
        <v>2.1467000000000001E-3</v>
      </c>
      <c r="E301" s="748">
        <v>19730391</v>
      </c>
      <c r="F301" s="751">
        <v>16964628</v>
      </c>
      <c r="G301" s="748">
        <f>VLOOKUP(A301,'[3]TSERS Contributions FY 2017'!$A$2:$C$290,3,FALSE)</f>
        <v>3062723</v>
      </c>
      <c r="H301" s="751"/>
      <c r="I301" s="748">
        <v>367762</v>
      </c>
      <c r="J301" s="748">
        <v>8088597</v>
      </c>
      <c r="K301" s="748">
        <v>2680155</v>
      </c>
      <c r="L301" s="751">
        <v>62913</v>
      </c>
      <c r="M301" s="751"/>
      <c r="N301" s="748">
        <v>555002</v>
      </c>
      <c r="O301" s="748">
        <v>5792707</v>
      </c>
      <c r="P301" s="748">
        <v>0</v>
      </c>
      <c r="Q301" s="751">
        <v>167207</v>
      </c>
      <c r="R301" s="751"/>
      <c r="S301" s="748">
        <v>4571797</v>
      </c>
      <c r="T301" s="752">
        <v>-110419</v>
      </c>
      <c r="U301" s="752">
        <v>4461378</v>
      </c>
    </row>
    <row r="302" spans="1:21" x14ac:dyDescent="0.25">
      <c r="A302" s="749">
        <v>51000</v>
      </c>
      <c r="B302" s="747" t="s">
        <v>1169</v>
      </c>
      <c r="C302" s="750">
        <v>3.04433E-2</v>
      </c>
      <c r="D302" s="750">
        <v>3.3725400000000003E-2</v>
      </c>
      <c r="E302" s="748">
        <v>309971264</v>
      </c>
      <c r="F302" s="751">
        <v>241550568</v>
      </c>
      <c r="G302" s="748">
        <f>VLOOKUP(A302,'[3]TSERS Contributions FY 2017'!$A$2:$C$290,3,FALSE)</f>
        <v>52824372</v>
      </c>
      <c r="H302" s="751"/>
      <c r="I302" s="748">
        <v>5236369</v>
      </c>
      <c r="J302" s="748">
        <v>115169348</v>
      </c>
      <c r="K302" s="748">
        <v>38161346</v>
      </c>
      <c r="L302" s="751">
        <v>1019124</v>
      </c>
      <c r="M302" s="751"/>
      <c r="N302" s="748">
        <v>7902380</v>
      </c>
      <c r="O302" s="748">
        <v>82479363</v>
      </c>
      <c r="P302" s="748">
        <v>0</v>
      </c>
      <c r="Q302" s="751">
        <v>8708097</v>
      </c>
      <c r="R302" s="751"/>
      <c r="S302" s="748">
        <v>65095447</v>
      </c>
      <c r="T302" s="752">
        <v>-1903221</v>
      </c>
      <c r="U302" s="752">
        <v>63192226</v>
      </c>
    </row>
    <row r="303" spans="1:21" x14ac:dyDescent="0.25">
      <c r="A303" s="749">
        <v>51000.2</v>
      </c>
      <c r="B303" s="747" t="s">
        <v>1170</v>
      </c>
      <c r="C303" s="750">
        <v>1.95E-5</v>
      </c>
      <c r="D303" s="750">
        <v>2.34E-5</v>
      </c>
      <c r="E303" s="748">
        <v>215070</v>
      </c>
      <c r="F303" s="751">
        <v>154722</v>
      </c>
      <c r="G303" s="748">
        <v>0</v>
      </c>
      <c r="H303" s="751"/>
      <c r="I303" s="748">
        <v>3354</v>
      </c>
      <c r="J303" s="748">
        <v>73770</v>
      </c>
      <c r="K303" s="748">
        <v>24444</v>
      </c>
      <c r="L303" s="751">
        <v>1148</v>
      </c>
      <c r="M303" s="751"/>
      <c r="N303" s="748">
        <v>5062</v>
      </c>
      <c r="O303" s="748">
        <v>52831</v>
      </c>
      <c r="P303" s="748">
        <v>0</v>
      </c>
      <c r="Q303" s="751">
        <v>36236</v>
      </c>
      <c r="R303" s="751"/>
      <c r="S303" s="748">
        <v>41696</v>
      </c>
      <c r="T303" s="752">
        <v>-13152</v>
      </c>
      <c r="U303" s="752">
        <v>28543</v>
      </c>
    </row>
    <row r="304" spans="1:21" x14ac:dyDescent="0.25">
      <c r="A304" s="749">
        <v>51000.3</v>
      </c>
      <c r="B304" s="747" t="s">
        <v>1171</v>
      </c>
      <c r="C304" s="750">
        <v>7.3510000000000003E-4</v>
      </c>
      <c r="D304" s="750">
        <v>7.8580000000000002E-4</v>
      </c>
      <c r="E304" s="748">
        <v>7222314</v>
      </c>
      <c r="F304" s="751">
        <v>5832608</v>
      </c>
      <c r="G304" s="748">
        <v>0</v>
      </c>
      <c r="H304" s="751"/>
      <c r="I304" s="748">
        <v>126440</v>
      </c>
      <c r="J304" s="748">
        <v>2780940</v>
      </c>
      <c r="K304" s="748">
        <v>921464</v>
      </c>
      <c r="L304" s="751">
        <v>23698</v>
      </c>
      <c r="M304" s="751"/>
      <c r="N304" s="748">
        <v>190815</v>
      </c>
      <c r="O304" s="748">
        <v>1991590</v>
      </c>
      <c r="P304" s="748">
        <v>0</v>
      </c>
      <c r="Q304" s="751">
        <v>64487</v>
      </c>
      <c r="R304" s="751"/>
      <c r="S304" s="748">
        <v>1571829</v>
      </c>
      <c r="T304" s="752">
        <v>4125</v>
      </c>
      <c r="U304" s="752">
        <v>1575954</v>
      </c>
    </row>
    <row r="305" spans="1:21" x14ac:dyDescent="0.25">
      <c r="A305" s="749" t="s">
        <v>1157</v>
      </c>
      <c r="B305" s="747" t="s">
        <v>1163</v>
      </c>
      <c r="C305" s="750">
        <v>3.4900000000000001E-5</v>
      </c>
      <c r="D305" s="750">
        <v>4.1300000000000001E-5</v>
      </c>
      <c r="E305" s="748">
        <v>379590</v>
      </c>
      <c r="F305" s="751">
        <v>276912</v>
      </c>
      <c r="G305" s="748">
        <v>46120</v>
      </c>
      <c r="H305" s="751"/>
      <c r="I305" s="748">
        <v>6003</v>
      </c>
      <c r="J305" s="748">
        <v>132029</v>
      </c>
      <c r="K305" s="748">
        <v>43748</v>
      </c>
      <c r="L305" s="751">
        <v>12967</v>
      </c>
      <c r="M305" s="751"/>
      <c r="N305" s="748">
        <v>9059</v>
      </c>
      <c r="O305" s="748">
        <v>94554</v>
      </c>
      <c r="P305" s="748">
        <v>0</v>
      </c>
      <c r="Q305" s="751">
        <v>28596</v>
      </c>
      <c r="R305" s="751"/>
      <c r="S305" s="748">
        <v>74625</v>
      </c>
      <c r="T305" s="752">
        <v>1008</v>
      </c>
      <c r="U305" s="752">
        <v>75633</v>
      </c>
    </row>
    <row r="307" spans="1:21" s="755" customFormat="1" x14ac:dyDescent="0.25">
      <c r="C307" s="756">
        <v>1</v>
      </c>
      <c r="D307" s="756">
        <v>1</v>
      </c>
      <c r="E307" s="757">
        <v>9191032996</v>
      </c>
      <c r="F307" s="757">
        <v>7934441000</v>
      </c>
      <c r="G307" s="757">
        <f>SUM(G4:G304)</f>
        <v>1435701943</v>
      </c>
      <c r="H307" s="758"/>
      <c r="I307" s="757">
        <v>172004000</v>
      </c>
      <c r="J307" s="757">
        <v>3783077000</v>
      </c>
      <c r="K307" s="757">
        <v>1253522000</v>
      </c>
      <c r="L307" s="757">
        <v>115997289</v>
      </c>
      <c r="M307" s="758"/>
      <c r="N307" s="757">
        <v>259577000</v>
      </c>
      <c r="O307" s="757">
        <v>2709278000</v>
      </c>
      <c r="P307" s="757">
        <v>0</v>
      </c>
      <c r="Q307" s="757">
        <v>115997085</v>
      </c>
      <c r="R307" s="758"/>
      <c r="S307" s="757">
        <v>2138252000</v>
      </c>
      <c r="T307" s="757">
        <v>143</v>
      </c>
      <c r="U307" s="757">
        <v>2138252143</v>
      </c>
    </row>
    <row r="310" spans="1:21" x14ac:dyDescent="0.25">
      <c r="B310" s="743" t="s">
        <v>1543</v>
      </c>
      <c r="C310" s="743" t="s">
        <v>533</v>
      </c>
    </row>
    <row r="311" spans="1:21" x14ac:dyDescent="0.25">
      <c r="B311" s="747" t="s">
        <v>927</v>
      </c>
      <c r="C311" s="754">
        <v>33501</v>
      </c>
      <c r="L311" s="752"/>
    </row>
    <row r="312" spans="1:21" x14ac:dyDescent="0.25">
      <c r="B312" s="747" t="s">
        <v>990</v>
      </c>
      <c r="C312" s="749">
        <v>36301</v>
      </c>
    </row>
    <row r="313" spans="1:21" x14ac:dyDescent="0.25">
      <c r="B313" s="747" t="s">
        <v>795</v>
      </c>
      <c r="C313" s="749">
        <v>10800</v>
      </c>
    </row>
    <row r="314" spans="1:21" x14ac:dyDescent="0.25">
      <c r="B314" s="747" t="s">
        <v>851</v>
      </c>
      <c r="C314" s="749">
        <v>30105</v>
      </c>
    </row>
    <row r="315" spans="1:21" x14ac:dyDescent="0.25">
      <c r="B315" s="747" t="s">
        <v>847</v>
      </c>
      <c r="C315" s="749">
        <v>30100</v>
      </c>
    </row>
    <row r="316" spans="1:21" x14ac:dyDescent="0.25">
      <c r="B316" s="747" t="s">
        <v>852</v>
      </c>
      <c r="C316" s="749">
        <v>30200</v>
      </c>
    </row>
    <row r="317" spans="1:21" x14ac:dyDescent="0.25">
      <c r="B317" s="747" t="s">
        <v>853</v>
      </c>
      <c r="C317" s="749">
        <v>30300</v>
      </c>
    </row>
    <row r="318" spans="1:21" x14ac:dyDescent="0.25">
      <c r="B318" s="747" t="s">
        <v>951</v>
      </c>
      <c r="C318" s="749">
        <v>34901</v>
      </c>
    </row>
    <row r="319" spans="1:21" x14ac:dyDescent="0.25">
      <c r="B319" s="747" t="s">
        <v>854</v>
      </c>
      <c r="C319" s="749">
        <v>30400</v>
      </c>
    </row>
    <row r="320" spans="1:21" x14ac:dyDescent="0.25">
      <c r="B320" s="747" t="s">
        <v>826</v>
      </c>
      <c r="C320" s="749">
        <v>20100</v>
      </c>
    </row>
    <row r="321" spans="2:3" x14ac:dyDescent="0.25">
      <c r="B321" s="747" t="s">
        <v>1009</v>
      </c>
      <c r="C321" s="749">
        <v>36901</v>
      </c>
    </row>
    <row r="322" spans="2:3" x14ac:dyDescent="0.25">
      <c r="B322" s="747" t="s">
        <v>923</v>
      </c>
      <c r="C322" s="749">
        <v>33402</v>
      </c>
    </row>
    <row r="323" spans="2:3" x14ac:dyDescent="0.25">
      <c r="B323" s="747" t="s">
        <v>856</v>
      </c>
      <c r="C323" s="749">
        <v>30500</v>
      </c>
    </row>
    <row r="324" spans="2:3" x14ac:dyDescent="0.25">
      <c r="B324" s="747" t="s">
        <v>1024</v>
      </c>
      <c r="C324" s="749">
        <v>37610</v>
      </c>
    </row>
    <row r="325" spans="2:3" x14ac:dyDescent="0.25">
      <c r="B325" s="747" t="s">
        <v>870</v>
      </c>
      <c r="C325" s="749">
        <v>31110</v>
      </c>
    </row>
    <row r="326" spans="2:3" x14ac:dyDescent="0.25">
      <c r="B326" s="747" t="s">
        <v>869</v>
      </c>
      <c r="C326" s="749">
        <v>31105</v>
      </c>
    </row>
    <row r="327" spans="2:3" x14ac:dyDescent="0.25">
      <c r="B327" s="747" t="s">
        <v>857</v>
      </c>
      <c r="C327" s="749">
        <v>30600</v>
      </c>
    </row>
    <row r="328" spans="2:3" x14ac:dyDescent="0.25">
      <c r="B328" s="747" t="s">
        <v>818</v>
      </c>
      <c r="C328" s="749">
        <v>18600</v>
      </c>
    </row>
    <row r="329" spans="2:3" x14ac:dyDescent="0.25">
      <c r="B329" s="747" t="s">
        <v>919</v>
      </c>
      <c r="C329" s="749">
        <v>33206</v>
      </c>
    </row>
    <row r="330" spans="2:3" x14ac:dyDescent="0.25">
      <c r="B330" s="747" t="s">
        <v>860</v>
      </c>
      <c r="C330" s="749">
        <v>30705</v>
      </c>
    </row>
    <row r="331" spans="2:3" x14ac:dyDescent="0.25">
      <c r="B331" s="747" t="s">
        <v>859</v>
      </c>
      <c r="C331" s="749">
        <v>30700</v>
      </c>
    </row>
    <row r="332" spans="2:3" x14ac:dyDescent="0.25">
      <c r="B332" s="747" t="s">
        <v>861</v>
      </c>
      <c r="C332" s="749">
        <v>30800</v>
      </c>
    </row>
    <row r="333" spans="2:3" x14ac:dyDescent="0.25">
      <c r="B333" s="747" t="s">
        <v>1031</v>
      </c>
      <c r="C333" s="749">
        <v>37901</v>
      </c>
    </row>
    <row r="334" spans="2:3" x14ac:dyDescent="0.25">
      <c r="B334" s="747" t="s">
        <v>863</v>
      </c>
      <c r="C334" s="749">
        <v>30905</v>
      </c>
    </row>
    <row r="335" spans="2:3" x14ac:dyDescent="0.25">
      <c r="B335" s="747" t="s">
        <v>862</v>
      </c>
      <c r="C335" s="749">
        <v>30900</v>
      </c>
    </row>
    <row r="336" spans="2:3" x14ac:dyDescent="0.25">
      <c r="B336" s="747" t="s">
        <v>945</v>
      </c>
      <c r="C336" s="749">
        <v>34505</v>
      </c>
    </row>
    <row r="337" spans="2:3" x14ac:dyDescent="0.25">
      <c r="B337" s="747" t="s">
        <v>1054</v>
      </c>
      <c r="C337" s="749">
        <v>38801</v>
      </c>
    </row>
    <row r="338" spans="2:3" x14ac:dyDescent="0.25">
      <c r="B338" s="747" t="s">
        <v>1046</v>
      </c>
      <c r="C338" s="749">
        <v>38601</v>
      </c>
    </row>
    <row r="339" spans="2:3" x14ac:dyDescent="0.25">
      <c r="B339" s="747" t="s">
        <v>865</v>
      </c>
      <c r="C339" s="749">
        <v>31005</v>
      </c>
    </row>
    <row r="340" spans="2:3" x14ac:dyDescent="0.25">
      <c r="B340" s="747" t="s">
        <v>864</v>
      </c>
      <c r="C340" s="749">
        <v>31000</v>
      </c>
    </row>
    <row r="341" spans="2:3" x14ac:dyDescent="0.25">
      <c r="B341" s="747" t="s">
        <v>866</v>
      </c>
      <c r="C341" s="749">
        <v>31100</v>
      </c>
    </row>
    <row r="342" spans="2:3" x14ac:dyDescent="0.25">
      <c r="B342" s="747" t="s">
        <v>871</v>
      </c>
      <c r="C342" s="749">
        <v>31200</v>
      </c>
    </row>
    <row r="343" spans="2:3" x14ac:dyDescent="0.25">
      <c r="B343" s="747" t="s">
        <v>873</v>
      </c>
      <c r="C343" s="749">
        <v>31300</v>
      </c>
    </row>
    <row r="344" spans="2:3" x14ac:dyDescent="0.25">
      <c r="B344" s="747" t="s">
        <v>877</v>
      </c>
      <c r="C344" s="749">
        <v>31405</v>
      </c>
    </row>
    <row r="345" spans="2:3" x14ac:dyDescent="0.25">
      <c r="B345" s="747" t="s">
        <v>876</v>
      </c>
      <c r="C345" s="749">
        <v>31400</v>
      </c>
    </row>
    <row r="346" spans="2:3" x14ac:dyDescent="0.25">
      <c r="B346" s="747" t="s">
        <v>878</v>
      </c>
      <c r="C346" s="749">
        <v>31500</v>
      </c>
    </row>
    <row r="347" spans="2:3" x14ac:dyDescent="0.25">
      <c r="B347" s="747" t="s">
        <v>998</v>
      </c>
      <c r="C347" s="749">
        <v>36505</v>
      </c>
    </row>
    <row r="348" spans="2:3" x14ac:dyDescent="0.25">
      <c r="B348" s="747" t="s">
        <v>996</v>
      </c>
      <c r="C348" s="749">
        <v>36501</v>
      </c>
    </row>
    <row r="349" spans="2:3" x14ac:dyDescent="0.25">
      <c r="B349" s="747" t="s">
        <v>880</v>
      </c>
      <c r="C349" s="749">
        <v>31601</v>
      </c>
    </row>
    <row r="350" spans="2:3" x14ac:dyDescent="0.25">
      <c r="B350" s="747" t="s">
        <v>874</v>
      </c>
      <c r="C350" s="749">
        <v>31301</v>
      </c>
    </row>
    <row r="351" spans="2:3" x14ac:dyDescent="0.25">
      <c r="B351" s="747" t="s">
        <v>881</v>
      </c>
      <c r="C351" s="749">
        <v>31605</v>
      </c>
    </row>
    <row r="352" spans="2:3" x14ac:dyDescent="0.25">
      <c r="B352" s="747" t="s">
        <v>879</v>
      </c>
      <c r="C352" s="749">
        <v>31600</v>
      </c>
    </row>
    <row r="353" spans="2:3" x14ac:dyDescent="0.25">
      <c r="B353" s="747" t="s">
        <v>1065</v>
      </c>
      <c r="C353" s="749">
        <v>39209</v>
      </c>
    </row>
    <row r="354" spans="2:3" x14ac:dyDescent="0.25">
      <c r="B354" s="747" t="s">
        <v>882</v>
      </c>
      <c r="C354" s="749">
        <v>31700</v>
      </c>
    </row>
    <row r="355" spans="2:3" x14ac:dyDescent="0.25">
      <c r="B355" s="747" t="s">
        <v>883</v>
      </c>
      <c r="C355" s="749">
        <v>31800</v>
      </c>
    </row>
    <row r="356" spans="2:3" x14ac:dyDescent="0.25">
      <c r="B356" s="747" t="s">
        <v>884</v>
      </c>
      <c r="C356" s="749">
        <v>31805</v>
      </c>
    </row>
    <row r="357" spans="2:3" x14ac:dyDescent="0.25">
      <c r="B357" s="747" t="s">
        <v>962</v>
      </c>
      <c r="C357" s="749">
        <v>35305</v>
      </c>
    </row>
    <row r="358" spans="2:3" x14ac:dyDescent="0.25">
      <c r="B358" s="747" t="s">
        <v>915</v>
      </c>
      <c r="C358" s="749">
        <v>33202</v>
      </c>
    </row>
    <row r="359" spans="2:3" x14ac:dyDescent="0.25">
      <c r="B359" s="747" t="s">
        <v>979</v>
      </c>
      <c r="C359" s="749">
        <v>36005</v>
      </c>
    </row>
    <row r="360" spans="2:3" x14ac:dyDescent="0.25">
      <c r="B360" s="747" t="s">
        <v>1007</v>
      </c>
      <c r="C360" s="749">
        <v>36810</v>
      </c>
    </row>
    <row r="361" spans="2:3" x14ac:dyDescent="0.25">
      <c r="B361" s="747" t="s">
        <v>983</v>
      </c>
      <c r="C361" s="749">
        <v>36009</v>
      </c>
    </row>
    <row r="362" spans="2:3" x14ac:dyDescent="0.25">
      <c r="B362" s="747" t="s">
        <v>974</v>
      </c>
      <c r="C362" s="749">
        <v>36000</v>
      </c>
    </row>
    <row r="363" spans="2:3" x14ac:dyDescent="0.25">
      <c r="B363" s="747" t="s">
        <v>887</v>
      </c>
      <c r="C363" s="749">
        <v>31900</v>
      </c>
    </row>
    <row r="364" spans="2:3" x14ac:dyDescent="0.25">
      <c r="B364" s="747" t="s">
        <v>888</v>
      </c>
      <c r="C364" s="749">
        <v>32000</v>
      </c>
    </row>
    <row r="365" spans="2:3" x14ac:dyDescent="0.25">
      <c r="B365" s="747" t="s">
        <v>964</v>
      </c>
      <c r="C365" s="749">
        <v>35401</v>
      </c>
    </row>
    <row r="366" spans="2:3" x14ac:dyDescent="0.25">
      <c r="B366" s="747" t="s">
        <v>891</v>
      </c>
      <c r="C366" s="749">
        <v>32200</v>
      </c>
    </row>
    <row r="367" spans="2:3" x14ac:dyDescent="0.25">
      <c r="B367" s="747" t="s">
        <v>892</v>
      </c>
      <c r="C367" s="749">
        <v>32300</v>
      </c>
    </row>
    <row r="368" spans="2:3" x14ac:dyDescent="0.25">
      <c r="B368" s="747" t="s">
        <v>893</v>
      </c>
      <c r="C368" s="749">
        <v>32305</v>
      </c>
    </row>
    <row r="369" spans="2:3" x14ac:dyDescent="0.25">
      <c r="B369" s="747" t="s">
        <v>1039</v>
      </c>
      <c r="C369" s="749">
        <v>38210</v>
      </c>
    </row>
    <row r="370" spans="2:3" x14ac:dyDescent="0.25">
      <c r="B370" s="747" t="s">
        <v>848</v>
      </c>
      <c r="C370" s="749">
        <v>30102</v>
      </c>
    </row>
    <row r="371" spans="2:3" x14ac:dyDescent="0.25">
      <c r="B371" s="747" t="s">
        <v>1003</v>
      </c>
      <c r="C371" s="749">
        <v>36705</v>
      </c>
    </row>
    <row r="372" spans="2:3" x14ac:dyDescent="0.25">
      <c r="B372" s="747" t="s">
        <v>1012</v>
      </c>
      <c r="C372" s="749">
        <v>37005</v>
      </c>
    </row>
    <row r="373" spans="2:3" x14ac:dyDescent="0.25">
      <c r="B373" s="747" t="s">
        <v>894</v>
      </c>
      <c r="C373" s="749">
        <v>32400</v>
      </c>
    </row>
    <row r="374" spans="2:3" x14ac:dyDescent="0.25">
      <c r="B374" s="747" t="s">
        <v>975</v>
      </c>
      <c r="C374" s="749">
        <v>36001</v>
      </c>
    </row>
    <row r="375" spans="2:3" x14ac:dyDescent="0.25">
      <c r="B375" s="747" t="s">
        <v>824</v>
      </c>
      <c r="C375" s="749">
        <v>19005</v>
      </c>
    </row>
    <row r="376" spans="2:3" x14ac:dyDescent="0.25">
      <c r="B376" s="747" t="s">
        <v>977</v>
      </c>
      <c r="C376" s="749">
        <v>36003</v>
      </c>
    </row>
    <row r="377" spans="2:3" x14ac:dyDescent="0.25">
      <c r="B377" s="747" t="s">
        <v>911</v>
      </c>
      <c r="C377" s="749">
        <v>33027</v>
      </c>
    </row>
    <row r="378" spans="2:3" x14ac:dyDescent="0.25">
      <c r="B378" s="747" t="s">
        <v>978</v>
      </c>
      <c r="C378" s="749">
        <v>36004</v>
      </c>
    </row>
    <row r="379" spans="2:3" x14ac:dyDescent="0.25">
      <c r="B379" s="747" t="s">
        <v>899</v>
      </c>
      <c r="C379" s="749">
        <v>32505</v>
      </c>
    </row>
    <row r="380" spans="2:3" x14ac:dyDescent="0.25">
      <c r="B380" s="747" t="s">
        <v>900</v>
      </c>
      <c r="C380" s="749">
        <v>32600</v>
      </c>
    </row>
    <row r="381" spans="2:3" x14ac:dyDescent="0.25">
      <c r="B381" s="747" t="s">
        <v>902</v>
      </c>
      <c r="C381" s="749">
        <v>32700</v>
      </c>
    </row>
    <row r="382" spans="2:3" x14ac:dyDescent="0.25">
      <c r="B382" s="747" t="s">
        <v>903</v>
      </c>
      <c r="C382" s="749">
        <v>32800</v>
      </c>
    </row>
    <row r="383" spans="2:3" x14ac:dyDescent="0.25">
      <c r="B383" s="747" t="s">
        <v>906</v>
      </c>
      <c r="C383" s="749">
        <v>32905</v>
      </c>
    </row>
    <row r="384" spans="2:3" x14ac:dyDescent="0.25">
      <c r="B384" s="747" t="s">
        <v>904</v>
      </c>
      <c r="C384" s="749">
        <v>32900</v>
      </c>
    </row>
    <row r="385" spans="2:3" x14ac:dyDescent="0.25">
      <c r="B385" s="747" t="s">
        <v>909</v>
      </c>
      <c r="C385" s="749">
        <v>33000</v>
      </c>
    </row>
    <row r="386" spans="2:3" x14ac:dyDescent="0.25">
      <c r="B386" s="747" t="s">
        <v>797</v>
      </c>
      <c r="C386" s="749">
        <v>10900</v>
      </c>
    </row>
    <row r="387" spans="2:3" x14ac:dyDescent="0.25">
      <c r="B387" s="747" t="s">
        <v>817</v>
      </c>
      <c r="C387" s="749">
        <v>18400</v>
      </c>
    </row>
    <row r="388" spans="2:3" x14ac:dyDescent="0.25">
      <c r="B388" s="747" t="s">
        <v>810</v>
      </c>
      <c r="C388" s="749">
        <v>12510</v>
      </c>
    </row>
    <row r="389" spans="2:3" x14ac:dyDescent="0.25">
      <c r="B389" s="747" t="s">
        <v>794</v>
      </c>
      <c r="C389" s="749">
        <v>10700</v>
      </c>
    </row>
    <row r="390" spans="2:3" x14ac:dyDescent="0.25">
      <c r="B390" s="747" t="s">
        <v>792</v>
      </c>
      <c r="C390" s="749">
        <v>10400</v>
      </c>
    </row>
    <row r="391" spans="2:3" x14ac:dyDescent="0.25">
      <c r="B391" s="747" t="s">
        <v>842</v>
      </c>
      <c r="C391" s="749">
        <v>22000</v>
      </c>
    </row>
    <row r="392" spans="2:3" x14ac:dyDescent="0.25">
      <c r="B392" s="747" t="s">
        <v>825</v>
      </c>
      <c r="C392" s="749">
        <v>19100</v>
      </c>
    </row>
    <row r="393" spans="2:3" x14ac:dyDescent="0.25">
      <c r="B393" s="747" t="s">
        <v>924</v>
      </c>
      <c r="C393" s="749">
        <v>33403</v>
      </c>
    </row>
    <row r="394" spans="2:3" x14ac:dyDescent="0.25">
      <c r="B394" s="747" t="s">
        <v>912</v>
      </c>
      <c r="C394" s="749">
        <v>33100</v>
      </c>
    </row>
    <row r="395" spans="2:3" x14ac:dyDescent="0.25">
      <c r="B395" s="747" t="s">
        <v>914</v>
      </c>
      <c r="C395" s="749">
        <v>33200</v>
      </c>
    </row>
    <row r="396" spans="2:3" x14ac:dyDescent="0.25">
      <c r="B396" s="747" t="s">
        <v>918</v>
      </c>
      <c r="C396" s="749">
        <v>33205</v>
      </c>
    </row>
    <row r="397" spans="2:3" x14ac:dyDescent="0.25">
      <c r="B397" s="747" t="s">
        <v>828</v>
      </c>
      <c r="C397" s="749">
        <v>20300</v>
      </c>
    </row>
    <row r="398" spans="2:3" x14ac:dyDescent="0.25">
      <c r="B398" s="747" t="s">
        <v>1064</v>
      </c>
      <c r="C398" s="749">
        <v>39208</v>
      </c>
    </row>
    <row r="399" spans="2:3" x14ac:dyDescent="0.25">
      <c r="B399" s="747" t="s">
        <v>890</v>
      </c>
      <c r="C399" s="749">
        <v>32100</v>
      </c>
    </row>
    <row r="400" spans="2:3" x14ac:dyDescent="0.25">
      <c r="B400" s="747" t="s">
        <v>920</v>
      </c>
      <c r="C400" s="749">
        <v>33300</v>
      </c>
    </row>
    <row r="401" spans="2:3" x14ac:dyDescent="0.25">
      <c r="B401" s="747" t="s">
        <v>921</v>
      </c>
      <c r="C401" s="749">
        <v>33305</v>
      </c>
    </row>
    <row r="402" spans="2:3" x14ac:dyDescent="0.25">
      <c r="B402" s="747" t="s">
        <v>1011</v>
      </c>
      <c r="C402" s="749">
        <v>37000</v>
      </c>
    </row>
    <row r="403" spans="2:3" x14ac:dyDescent="0.25">
      <c r="B403" s="747" t="s">
        <v>829</v>
      </c>
      <c r="C403" s="749">
        <v>20400</v>
      </c>
    </row>
    <row r="404" spans="2:3" x14ac:dyDescent="0.25">
      <c r="B404" s="747" t="s">
        <v>1050</v>
      </c>
      <c r="C404" s="749">
        <v>38620</v>
      </c>
    </row>
    <row r="405" spans="2:3" x14ac:dyDescent="0.25">
      <c r="B405" s="747" t="s">
        <v>1061</v>
      </c>
      <c r="C405" s="749">
        <v>39201</v>
      </c>
    </row>
    <row r="406" spans="2:3" x14ac:dyDescent="0.25">
      <c r="B406" s="747" t="s">
        <v>802</v>
      </c>
      <c r="C406" s="749">
        <v>11300</v>
      </c>
    </row>
    <row r="407" spans="2:3" x14ac:dyDescent="0.25">
      <c r="B407" s="747" t="s">
        <v>868</v>
      </c>
      <c r="C407" s="749">
        <v>31102</v>
      </c>
    </row>
    <row r="408" spans="2:3" x14ac:dyDescent="0.25">
      <c r="B408" s="747" t="s">
        <v>867</v>
      </c>
      <c r="C408" s="749">
        <v>31101</v>
      </c>
    </row>
    <row r="409" spans="2:3" x14ac:dyDescent="0.25">
      <c r="B409" s="747" t="s">
        <v>830</v>
      </c>
      <c r="C409" s="749">
        <v>20600</v>
      </c>
    </row>
    <row r="410" spans="2:3" x14ac:dyDescent="0.25">
      <c r="B410" s="747" t="s">
        <v>901</v>
      </c>
      <c r="C410" s="749">
        <v>32605</v>
      </c>
    </row>
    <row r="411" spans="2:3" x14ac:dyDescent="0.25">
      <c r="B411" s="747" t="s">
        <v>1555</v>
      </c>
      <c r="C411" s="753">
        <v>36310</v>
      </c>
    </row>
    <row r="412" spans="2:3" x14ac:dyDescent="0.25">
      <c r="B412" s="747" t="s">
        <v>925</v>
      </c>
      <c r="C412" s="749">
        <v>33405</v>
      </c>
    </row>
    <row r="413" spans="2:3" x14ac:dyDescent="0.25">
      <c r="B413" s="747" t="s">
        <v>926</v>
      </c>
      <c r="C413" s="754">
        <v>33500</v>
      </c>
    </row>
    <row r="414" spans="2:3" x14ac:dyDescent="0.25">
      <c r="B414" s="747" t="s">
        <v>929</v>
      </c>
      <c r="C414" s="749">
        <v>33605</v>
      </c>
    </row>
    <row r="415" spans="2:3" x14ac:dyDescent="0.25">
      <c r="B415" s="747" t="s">
        <v>1000</v>
      </c>
      <c r="C415" s="749">
        <v>36601</v>
      </c>
    </row>
    <row r="416" spans="2:3" x14ac:dyDescent="0.25">
      <c r="B416" s="747" t="s">
        <v>928</v>
      </c>
      <c r="C416" s="754">
        <v>33600</v>
      </c>
    </row>
    <row r="417" spans="2:3" x14ac:dyDescent="0.25">
      <c r="B417" s="747" t="s">
        <v>930</v>
      </c>
      <c r="C417" s="749">
        <v>33700</v>
      </c>
    </row>
    <row r="418" spans="2:3" x14ac:dyDescent="0.25">
      <c r="B418" s="747" t="s">
        <v>808</v>
      </c>
      <c r="C418" s="749">
        <v>12160</v>
      </c>
    </row>
    <row r="419" spans="2:3" x14ac:dyDescent="0.25">
      <c r="B419" s="747" t="s">
        <v>806</v>
      </c>
      <c r="C419" s="749">
        <v>12100</v>
      </c>
    </row>
    <row r="420" spans="2:3" x14ac:dyDescent="0.25">
      <c r="B420" s="747" t="s">
        <v>931</v>
      </c>
      <c r="C420" s="749">
        <v>33800</v>
      </c>
    </row>
    <row r="421" spans="2:3" x14ac:dyDescent="0.25">
      <c r="B421" s="747" t="s">
        <v>858</v>
      </c>
      <c r="C421" s="749">
        <v>30601</v>
      </c>
    </row>
    <row r="422" spans="2:3" x14ac:dyDescent="0.25">
      <c r="B422" s="747" t="s">
        <v>932</v>
      </c>
      <c r="C422" s="749">
        <v>33900</v>
      </c>
    </row>
    <row r="423" spans="2:3" x14ac:dyDescent="0.25">
      <c r="B423" s="747" t="s">
        <v>1042</v>
      </c>
      <c r="C423" s="749">
        <v>38402</v>
      </c>
    </row>
    <row r="424" spans="2:3" x14ac:dyDescent="0.25">
      <c r="B424" s="747" t="s">
        <v>933</v>
      </c>
      <c r="C424" s="749">
        <v>34000</v>
      </c>
    </row>
    <row r="425" spans="2:3" x14ac:dyDescent="0.25">
      <c r="B425" s="747" t="s">
        <v>934</v>
      </c>
      <c r="C425" s="749">
        <v>34100</v>
      </c>
    </row>
    <row r="426" spans="2:3" x14ac:dyDescent="0.25">
      <c r="B426" s="747" t="s">
        <v>935</v>
      </c>
      <c r="C426" s="749">
        <v>34105</v>
      </c>
    </row>
    <row r="427" spans="2:3" x14ac:dyDescent="0.25">
      <c r="B427" s="747" t="s">
        <v>937</v>
      </c>
      <c r="C427" s="749">
        <v>34205</v>
      </c>
    </row>
    <row r="428" spans="2:3" x14ac:dyDescent="0.25">
      <c r="B428" s="747" t="s">
        <v>936</v>
      </c>
      <c r="C428" s="749">
        <v>34200</v>
      </c>
    </row>
    <row r="429" spans="2:3" x14ac:dyDescent="0.25">
      <c r="B429" s="747" t="s">
        <v>1067</v>
      </c>
      <c r="C429" s="749">
        <v>39301</v>
      </c>
    </row>
    <row r="430" spans="2:3" x14ac:dyDescent="0.25">
      <c r="B430" s="747" t="s">
        <v>940</v>
      </c>
      <c r="C430" s="749">
        <v>34300</v>
      </c>
    </row>
    <row r="431" spans="2:3" x14ac:dyDescent="0.25">
      <c r="B431" s="747" t="s">
        <v>941</v>
      </c>
      <c r="C431" s="749">
        <v>34400</v>
      </c>
    </row>
    <row r="432" spans="2:3" x14ac:dyDescent="0.25">
      <c r="B432" s="747" t="s">
        <v>942</v>
      </c>
      <c r="C432" s="749">
        <v>34405</v>
      </c>
    </row>
    <row r="433" spans="2:3" x14ac:dyDescent="0.25">
      <c r="B433" s="747" t="s">
        <v>809</v>
      </c>
      <c r="C433" s="749">
        <v>12220</v>
      </c>
    </row>
    <row r="434" spans="2:3" x14ac:dyDescent="0.25">
      <c r="B434" s="747" t="s">
        <v>916</v>
      </c>
      <c r="C434" s="749">
        <v>33203</v>
      </c>
    </row>
    <row r="435" spans="2:3" x14ac:dyDescent="0.25">
      <c r="B435" s="747" t="s">
        <v>1069</v>
      </c>
      <c r="C435" s="749">
        <v>39401</v>
      </c>
    </row>
    <row r="436" spans="2:3" x14ac:dyDescent="0.25">
      <c r="B436" s="747" t="s">
        <v>943</v>
      </c>
      <c r="C436" s="749">
        <v>34500</v>
      </c>
    </row>
    <row r="437" spans="2:3" x14ac:dyDescent="0.25">
      <c r="B437" s="747" t="s">
        <v>946</v>
      </c>
      <c r="C437" s="749">
        <v>34600</v>
      </c>
    </row>
    <row r="438" spans="2:3" x14ac:dyDescent="0.25">
      <c r="B438" s="747" t="s">
        <v>885</v>
      </c>
      <c r="C438" s="749">
        <v>31810</v>
      </c>
    </row>
    <row r="439" spans="2:3" x14ac:dyDescent="0.25">
      <c r="B439" s="747" t="s">
        <v>1170</v>
      </c>
      <c r="C439" s="749">
        <v>51000.2</v>
      </c>
    </row>
    <row r="440" spans="2:3" x14ac:dyDescent="0.25">
      <c r="B440" s="747" t="s">
        <v>1171</v>
      </c>
      <c r="C440" s="749">
        <v>51000.3</v>
      </c>
    </row>
    <row r="441" spans="2:3" x14ac:dyDescent="0.25">
      <c r="B441" s="747" t="s">
        <v>1169</v>
      </c>
      <c r="C441" s="749">
        <v>51000</v>
      </c>
    </row>
    <row r="442" spans="2:3" x14ac:dyDescent="0.25">
      <c r="B442" s="747" t="s">
        <v>948</v>
      </c>
      <c r="C442" s="749">
        <v>34700</v>
      </c>
    </row>
    <row r="443" spans="2:3" x14ac:dyDescent="0.25">
      <c r="B443" s="747" t="s">
        <v>949</v>
      </c>
      <c r="C443" s="749">
        <v>34800</v>
      </c>
    </row>
    <row r="444" spans="2:3" x14ac:dyDescent="0.25">
      <c r="B444" s="747" t="s">
        <v>799</v>
      </c>
      <c r="C444" s="749">
        <v>10930</v>
      </c>
    </row>
    <row r="445" spans="2:3" x14ac:dyDescent="0.25">
      <c r="B445" s="747" t="s">
        <v>811</v>
      </c>
      <c r="C445" s="749">
        <v>12600</v>
      </c>
    </row>
    <row r="446" spans="2:3" x14ac:dyDescent="0.25">
      <c r="B446" s="747" t="s">
        <v>1134</v>
      </c>
      <c r="C446" s="749">
        <v>33207</v>
      </c>
    </row>
    <row r="447" spans="2:3" x14ac:dyDescent="0.25">
      <c r="B447" s="747" t="s">
        <v>905</v>
      </c>
      <c r="C447" s="749">
        <v>32901</v>
      </c>
    </row>
    <row r="448" spans="2:3" x14ac:dyDescent="0.25">
      <c r="B448" s="747" t="s">
        <v>950</v>
      </c>
      <c r="C448" s="749">
        <v>34900</v>
      </c>
    </row>
    <row r="449" spans="2:3" x14ac:dyDescent="0.25">
      <c r="B449" s="747" t="s">
        <v>1036</v>
      </c>
      <c r="C449" s="749">
        <v>38105</v>
      </c>
    </row>
    <row r="450" spans="2:3" x14ac:dyDescent="0.25">
      <c r="B450" s="747" t="s">
        <v>955</v>
      </c>
      <c r="C450" s="749">
        <v>35000</v>
      </c>
    </row>
    <row r="451" spans="2:3" x14ac:dyDescent="0.25">
      <c r="B451" s="747" t="s">
        <v>913</v>
      </c>
      <c r="C451" s="749">
        <v>33105</v>
      </c>
    </row>
    <row r="452" spans="2:3" x14ac:dyDescent="0.25">
      <c r="B452" s="747" t="s">
        <v>957</v>
      </c>
      <c r="C452" s="749">
        <v>35100</v>
      </c>
    </row>
    <row r="453" spans="2:3" x14ac:dyDescent="0.25">
      <c r="B453" s="747" t="s">
        <v>958</v>
      </c>
      <c r="C453" s="749">
        <v>35105</v>
      </c>
    </row>
    <row r="454" spans="2:3" x14ac:dyDescent="0.25">
      <c r="B454" s="747" t="s">
        <v>960</v>
      </c>
      <c r="C454" s="749">
        <v>35200</v>
      </c>
    </row>
    <row r="455" spans="2:3" x14ac:dyDescent="0.25">
      <c r="B455" s="747" t="s">
        <v>875</v>
      </c>
      <c r="C455" s="749">
        <v>31320</v>
      </c>
    </row>
    <row r="456" spans="2:3" x14ac:dyDescent="0.25">
      <c r="B456" s="747" t="s">
        <v>976</v>
      </c>
      <c r="C456" s="749">
        <v>36002</v>
      </c>
    </row>
    <row r="457" spans="2:3" x14ac:dyDescent="0.25">
      <c r="B457" s="747" t="s">
        <v>965</v>
      </c>
      <c r="C457" s="749">
        <v>35402</v>
      </c>
    </row>
    <row r="458" spans="2:3" x14ac:dyDescent="0.25">
      <c r="B458" s="747" t="s">
        <v>985</v>
      </c>
      <c r="C458" s="749">
        <v>36102</v>
      </c>
    </row>
    <row r="459" spans="2:3" x14ac:dyDescent="0.25">
      <c r="B459" s="747" t="s">
        <v>1135</v>
      </c>
      <c r="C459" s="749">
        <v>33208</v>
      </c>
    </row>
    <row r="460" spans="2:3" x14ac:dyDescent="0.25">
      <c r="B460" s="747" t="s">
        <v>812</v>
      </c>
      <c r="C460" s="749">
        <v>12700</v>
      </c>
    </row>
    <row r="461" spans="2:3" x14ac:dyDescent="0.25">
      <c r="B461" s="747" t="s">
        <v>980</v>
      </c>
      <c r="C461" s="749">
        <v>36006</v>
      </c>
    </row>
    <row r="462" spans="2:3" x14ac:dyDescent="0.25">
      <c r="B462" s="747" t="s">
        <v>966</v>
      </c>
      <c r="C462" s="749">
        <v>35405</v>
      </c>
    </row>
    <row r="463" spans="2:3" x14ac:dyDescent="0.25">
      <c r="B463" s="747" t="s">
        <v>963</v>
      </c>
      <c r="C463" s="749">
        <v>35400</v>
      </c>
    </row>
    <row r="464" spans="2:3" x14ac:dyDescent="0.25">
      <c r="B464" s="747" t="s">
        <v>907</v>
      </c>
      <c r="C464" s="749">
        <v>32910</v>
      </c>
    </row>
    <row r="465" spans="2:3" x14ac:dyDescent="0.25">
      <c r="B465" s="747" t="s">
        <v>967</v>
      </c>
      <c r="C465" s="749">
        <v>35500</v>
      </c>
    </row>
    <row r="466" spans="2:3" x14ac:dyDescent="0.25">
      <c r="B466" s="747" t="s">
        <v>807</v>
      </c>
      <c r="C466" s="749">
        <v>12150</v>
      </c>
    </row>
    <row r="467" spans="2:3" x14ac:dyDescent="0.25">
      <c r="B467" s="747" t="s">
        <v>968</v>
      </c>
      <c r="C467" s="749">
        <v>35600</v>
      </c>
    </row>
    <row r="468" spans="2:3" x14ac:dyDescent="0.25">
      <c r="B468" s="747" t="s">
        <v>969</v>
      </c>
      <c r="C468" s="749">
        <v>35700</v>
      </c>
    </row>
    <row r="469" spans="2:3" x14ac:dyDescent="0.25">
      <c r="B469" s="747" t="s">
        <v>971</v>
      </c>
      <c r="C469" s="749">
        <v>35805</v>
      </c>
    </row>
    <row r="470" spans="2:3" x14ac:dyDescent="0.25">
      <c r="B470" s="747" t="s">
        <v>970</v>
      </c>
      <c r="C470" s="749">
        <v>35800</v>
      </c>
    </row>
    <row r="471" spans="2:3" x14ac:dyDescent="0.25">
      <c r="B471" s="747" t="s">
        <v>986</v>
      </c>
      <c r="C471" s="749">
        <v>36105</v>
      </c>
    </row>
    <row r="472" spans="2:3" x14ac:dyDescent="0.25">
      <c r="B472" s="747" t="s">
        <v>972</v>
      </c>
      <c r="C472" s="749">
        <v>35900</v>
      </c>
    </row>
    <row r="473" spans="2:3" x14ac:dyDescent="0.25">
      <c r="B473" s="747" t="s">
        <v>973</v>
      </c>
      <c r="C473" s="749">
        <v>35905</v>
      </c>
    </row>
    <row r="474" spans="2:3" x14ac:dyDescent="0.25">
      <c r="B474" s="747" t="s">
        <v>1047</v>
      </c>
      <c r="C474" s="749">
        <v>38602</v>
      </c>
    </row>
    <row r="475" spans="2:3" x14ac:dyDescent="0.25">
      <c r="B475" s="747" t="s">
        <v>953</v>
      </c>
      <c r="C475" s="749">
        <v>34905</v>
      </c>
    </row>
    <row r="476" spans="2:3" x14ac:dyDescent="0.25">
      <c r="B476" s="747" t="s">
        <v>984</v>
      </c>
      <c r="C476" s="749">
        <v>36100</v>
      </c>
    </row>
    <row r="477" spans="2:3" x14ac:dyDescent="0.25">
      <c r="B477" s="747" t="s">
        <v>988</v>
      </c>
      <c r="C477" s="749">
        <v>36205</v>
      </c>
    </row>
    <row r="478" spans="2:3" x14ac:dyDescent="0.25">
      <c r="B478" s="747" t="s">
        <v>987</v>
      </c>
      <c r="C478" s="749">
        <v>36200</v>
      </c>
    </row>
    <row r="479" spans="2:3" x14ac:dyDescent="0.25">
      <c r="B479" s="747" t="s">
        <v>989</v>
      </c>
      <c r="C479" s="749">
        <v>36300</v>
      </c>
    </row>
    <row r="480" spans="2:3" x14ac:dyDescent="0.25">
      <c r="B480" s="747" t="s">
        <v>954</v>
      </c>
      <c r="C480" s="749">
        <v>34910</v>
      </c>
    </row>
    <row r="481" spans="2:3" x14ac:dyDescent="0.25">
      <c r="B481" s="747" t="s">
        <v>1049</v>
      </c>
      <c r="C481" s="749">
        <v>38610</v>
      </c>
    </row>
    <row r="482" spans="2:3" x14ac:dyDescent="0.25">
      <c r="B482" s="747" t="s">
        <v>944</v>
      </c>
      <c r="C482" s="749">
        <v>34501</v>
      </c>
    </row>
    <row r="483" spans="2:3" x14ac:dyDescent="0.25">
      <c r="B483" s="747" t="s">
        <v>1052</v>
      </c>
      <c r="C483" s="749">
        <v>38701</v>
      </c>
    </row>
    <row r="484" spans="2:3" x14ac:dyDescent="0.25">
      <c r="B484" s="747" t="s">
        <v>822</v>
      </c>
      <c r="C484" s="749">
        <v>18740</v>
      </c>
    </row>
    <row r="485" spans="2:3" x14ac:dyDescent="0.25">
      <c r="B485" s="747" t="s">
        <v>832</v>
      </c>
      <c r="C485" s="749">
        <v>20800</v>
      </c>
    </row>
    <row r="486" spans="2:3" x14ac:dyDescent="0.25">
      <c r="B486" s="747" t="s">
        <v>821</v>
      </c>
      <c r="C486" s="749">
        <v>18690</v>
      </c>
    </row>
    <row r="487" spans="2:3" x14ac:dyDescent="0.25">
      <c r="B487" s="747" t="s">
        <v>801</v>
      </c>
      <c r="C487" s="749">
        <v>10950</v>
      </c>
    </row>
    <row r="488" spans="2:3" x14ac:dyDescent="0.25">
      <c r="B488" s="747" t="s">
        <v>827</v>
      </c>
      <c r="C488" s="749">
        <v>20200</v>
      </c>
    </row>
    <row r="489" spans="2:3" x14ac:dyDescent="0.25">
      <c r="B489" s="747" t="s">
        <v>823</v>
      </c>
      <c r="C489" s="749">
        <v>18780</v>
      </c>
    </row>
    <row r="490" spans="2:3" x14ac:dyDescent="0.25">
      <c r="B490" s="747" t="s">
        <v>835</v>
      </c>
      <c r="C490" s="749">
        <v>21300</v>
      </c>
    </row>
    <row r="491" spans="2:3" x14ac:dyDescent="0.25">
      <c r="B491" s="747" t="s">
        <v>1168</v>
      </c>
      <c r="C491" s="749">
        <v>37001</v>
      </c>
    </row>
    <row r="492" spans="2:3" x14ac:dyDescent="0.25">
      <c r="B492" s="747" t="s">
        <v>910</v>
      </c>
      <c r="C492" s="749">
        <v>33001</v>
      </c>
    </row>
    <row r="493" spans="2:3" x14ac:dyDescent="0.25">
      <c r="B493" s="747" t="s">
        <v>994</v>
      </c>
      <c r="C493" s="749">
        <v>36405</v>
      </c>
    </row>
    <row r="494" spans="2:3" x14ac:dyDescent="0.25">
      <c r="B494" s="747" t="s">
        <v>993</v>
      </c>
      <c r="C494" s="749">
        <v>36400</v>
      </c>
    </row>
    <row r="495" spans="2:3" x14ac:dyDescent="0.25">
      <c r="B495" s="747" t="s">
        <v>831</v>
      </c>
      <c r="C495" s="749">
        <v>20700</v>
      </c>
    </row>
    <row r="496" spans="2:3" x14ac:dyDescent="0.25">
      <c r="B496" s="747" t="s">
        <v>815</v>
      </c>
      <c r="C496" s="749">
        <v>14200</v>
      </c>
    </row>
    <row r="497" spans="2:3" x14ac:dyDescent="0.25">
      <c r="B497" s="747" t="s">
        <v>803</v>
      </c>
      <c r="C497" s="749">
        <v>11310</v>
      </c>
    </row>
    <row r="498" spans="2:3" x14ac:dyDescent="0.25">
      <c r="B498" s="747" t="s">
        <v>959</v>
      </c>
      <c r="C498" s="749">
        <v>35106</v>
      </c>
    </row>
    <row r="499" spans="2:3" x14ac:dyDescent="0.25">
      <c r="B499" s="747" t="s">
        <v>898</v>
      </c>
      <c r="C499" s="749">
        <v>32500</v>
      </c>
    </row>
    <row r="500" spans="2:3" x14ac:dyDescent="0.25">
      <c r="B500" s="747" t="s">
        <v>995</v>
      </c>
      <c r="C500" s="749">
        <v>36500</v>
      </c>
    </row>
    <row r="501" spans="2:3" x14ac:dyDescent="0.25">
      <c r="B501" s="747" t="s">
        <v>886</v>
      </c>
      <c r="C501" s="749">
        <v>31820</v>
      </c>
    </row>
    <row r="502" spans="2:3" x14ac:dyDescent="0.25">
      <c r="B502" s="747" t="s">
        <v>819</v>
      </c>
      <c r="C502" s="749">
        <v>18640</v>
      </c>
    </row>
    <row r="503" spans="2:3" x14ac:dyDescent="0.25">
      <c r="B503" s="747" t="s">
        <v>791</v>
      </c>
      <c r="C503" s="749">
        <v>10200</v>
      </c>
    </row>
    <row r="504" spans="2:3" x14ac:dyDescent="0.25">
      <c r="B504" s="747" t="s">
        <v>999</v>
      </c>
      <c r="C504" s="749">
        <v>36600</v>
      </c>
    </row>
    <row r="505" spans="2:3" x14ac:dyDescent="0.25">
      <c r="B505" s="747" t="s">
        <v>796</v>
      </c>
      <c r="C505" s="749">
        <v>10850</v>
      </c>
    </row>
    <row r="506" spans="2:3" x14ac:dyDescent="0.25">
      <c r="B506" s="747" t="s">
        <v>798</v>
      </c>
      <c r="C506" s="749">
        <v>10910</v>
      </c>
    </row>
    <row r="507" spans="2:3" x14ac:dyDescent="0.25">
      <c r="B507" s="747" t="s">
        <v>800</v>
      </c>
      <c r="C507" s="749">
        <v>10940</v>
      </c>
    </row>
    <row r="508" spans="2:3" x14ac:dyDescent="0.25">
      <c r="B508" s="747" t="s">
        <v>1001</v>
      </c>
      <c r="C508" s="749">
        <v>36700</v>
      </c>
    </row>
    <row r="509" spans="2:3" x14ac:dyDescent="0.25">
      <c r="B509" s="747" t="s">
        <v>1006</v>
      </c>
      <c r="C509" s="749">
        <v>36802</v>
      </c>
    </row>
    <row r="510" spans="2:3" x14ac:dyDescent="0.25">
      <c r="B510" s="747" t="s">
        <v>1004</v>
      </c>
      <c r="C510" s="749">
        <v>36800</v>
      </c>
    </row>
    <row r="511" spans="2:3" x14ac:dyDescent="0.25">
      <c r="B511" s="747" t="s">
        <v>1005</v>
      </c>
      <c r="C511" s="749">
        <v>36801</v>
      </c>
    </row>
    <row r="512" spans="2:3" x14ac:dyDescent="0.25">
      <c r="B512" s="747" t="s">
        <v>1010</v>
      </c>
      <c r="C512" s="749">
        <v>36905</v>
      </c>
    </row>
    <row r="513" spans="2:3" x14ac:dyDescent="0.25">
      <c r="B513" s="747" t="s">
        <v>1008</v>
      </c>
      <c r="C513" s="749">
        <v>36900</v>
      </c>
    </row>
    <row r="514" spans="2:3" x14ac:dyDescent="0.25">
      <c r="B514" s="747" t="s">
        <v>1013</v>
      </c>
      <c r="C514" s="749">
        <v>37100</v>
      </c>
    </row>
    <row r="515" spans="2:3" x14ac:dyDescent="0.25">
      <c r="B515" s="747" t="s">
        <v>1014</v>
      </c>
      <c r="C515" s="749">
        <v>37200</v>
      </c>
    </row>
    <row r="516" spans="2:3" x14ac:dyDescent="0.25">
      <c r="B516" s="747" t="s">
        <v>1015</v>
      </c>
      <c r="C516" s="749">
        <v>37300</v>
      </c>
    </row>
    <row r="517" spans="2:3" x14ac:dyDescent="0.25">
      <c r="B517" s="747" t="s">
        <v>1017</v>
      </c>
      <c r="C517" s="749">
        <v>37305</v>
      </c>
    </row>
    <row r="518" spans="2:3" x14ac:dyDescent="0.25">
      <c r="B518" s="747" t="s">
        <v>982</v>
      </c>
      <c r="C518" s="749">
        <v>36008</v>
      </c>
    </row>
    <row r="519" spans="2:3" x14ac:dyDescent="0.25">
      <c r="B519" s="747" t="s">
        <v>1075</v>
      </c>
      <c r="C519" s="749">
        <v>39703</v>
      </c>
    </row>
    <row r="520" spans="2:3" x14ac:dyDescent="0.25">
      <c r="B520" s="747" t="s">
        <v>1136</v>
      </c>
      <c r="C520" s="749">
        <v>33209</v>
      </c>
    </row>
    <row r="521" spans="2:3" x14ac:dyDescent="0.25">
      <c r="B521" s="747" t="s">
        <v>1019</v>
      </c>
      <c r="C521" s="749">
        <v>37405</v>
      </c>
    </row>
    <row r="522" spans="2:3" x14ac:dyDescent="0.25">
      <c r="B522" s="747" t="s">
        <v>1018</v>
      </c>
      <c r="C522" s="749">
        <v>37400</v>
      </c>
    </row>
    <row r="523" spans="2:3" x14ac:dyDescent="0.25">
      <c r="B523" s="747" t="s">
        <v>1020</v>
      </c>
      <c r="C523" s="749">
        <v>37500</v>
      </c>
    </row>
    <row r="524" spans="2:3" x14ac:dyDescent="0.25">
      <c r="B524" s="747" t="s">
        <v>1023</v>
      </c>
      <c r="C524" s="749">
        <v>37605</v>
      </c>
    </row>
    <row r="525" spans="2:3" x14ac:dyDescent="0.25">
      <c r="B525" s="747" t="s">
        <v>1021</v>
      </c>
      <c r="C525" s="749">
        <v>37600</v>
      </c>
    </row>
    <row r="526" spans="2:3" x14ac:dyDescent="0.25">
      <c r="B526" s="747" t="s">
        <v>813</v>
      </c>
      <c r="C526" s="749">
        <v>13500</v>
      </c>
    </row>
    <row r="527" spans="2:3" x14ac:dyDescent="0.25">
      <c r="B527" s="747" t="s">
        <v>1025</v>
      </c>
      <c r="C527" s="749">
        <v>37700</v>
      </c>
    </row>
    <row r="528" spans="2:3" x14ac:dyDescent="0.25">
      <c r="B528" s="747" t="s">
        <v>1026</v>
      </c>
      <c r="C528" s="749">
        <v>37705</v>
      </c>
    </row>
    <row r="529" spans="2:3" x14ac:dyDescent="0.25">
      <c r="B529" s="747" t="s">
        <v>849</v>
      </c>
      <c r="C529" s="749">
        <v>30103</v>
      </c>
    </row>
    <row r="530" spans="2:3" x14ac:dyDescent="0.25">
      <c r="B530" s="747" t="s">
        <v>938</v>
      </c>
      <c r="C530" s="749">
        <v>34220</v>
      </c>
    </row>
    <row r="531" spans="2:3" x14ac:dyDescent="0.25">
      <c r="B531" s="747" t="s">
        <v>947</v>
      </c>
      <c r="C531" s="749">
        <v>34605</v>
      </c>
    </row>
    <row r="532" spans="2:3" x14ac:dyDescent="0.25">
      <c r="B532" s="747" t="s">
        <v>1029</v>
      </c>
      <c r="C532" s="749">
        <v>37805</v>
      </c>
    </row>
    <row r="533" spans="2:3" x14ac:dyDescent="0.25">
      <c r="B533" s="747" t="s">
        <v>1027</v>
      </c>
      <c r="C533" s="749">
        <v>37800</v>
      </c>
    </row>
    <row r="534" spans="2:3" x14ac:dyDescent="0.25">
      <c r="B534" s="747" t="s">
        <v>1032</v>
      </c>
      <c r="C534" s="749">
        <v>37905</v>
      </c>
    </row>
    <row r="535" spans="2:3" x14ac:dyDescent="0.25">
      <c r="B535" s="747" t="s">
        <v>1030</v>
      </c>
      <c r="C535" s="749">
        <v>37900</v>
      </c>
    </row>
    <row r="536" spans="2:3" x14ac:dyDescent="0.25">
      <c r="B536" s="747" t="s">
        <v>1034</v>
      </c>
      <c r="C536" s="749">
        <v>38005</v>
      </c>
    </row>
    <row r="537" spans="2:3" x14ac:dyDescent="0.25">
      <c r="B537" s="747" t="s">
        <v>1033</v>
      </c>
      <c r="C537" s="749">
        <v>38000</v>
      </c>
    </row>
    <row r="538" spans="2:3" x14ac:dyDescent="0.25">
      <c r="B538" s="747" t="s">
        <v>1016</v>
      </c>
      <c r="C538" s="749">
        <v>37301</v>
      </c>
    </row>
    <row r="539" spans="2:3" x14ac:dyDescent="0.25">
      <c r="B539" s="747" t="s">
        <v>1035</v>
      </c>
      <c r="C539" s="749">
        <v>38100</v>
      </c>
    </row>
    <row r="540" spans="2:3" x14ac:dyDescent="0.25">
      <c r="B540" s="747" t="s">
        <v>1038</v>
      </c>
      <c r="C540" s="749">
        <v>38205</v>
      </c>
    </row>
    <row r="541" spans="2:3" x14ac:dyDescent="0.25">
      <c r="B541" s="747" t="s">
        <v>1037</v>
      </c>
      <c r="C541" s="749">
        <v>38200</v>
      </c>
    </row>
    <row r="542" spans="2:3" x14ac:dyDescent="0.25">
      <c r="B542" s="747" t="s">
        <v>992</v>
      </c>
      <c r="C542" s="749">
        <v>36305</v>
      </c>
    </row>
    <row r="543" spans="2:3" x14ac:dyDescent="0.25">
      <c r="B543" s="747" t="s">
        <v>961</v>
      </c>
      <c r="C543" s="749">
        <v>35300</v>
      </c>
    </row>
    <row r="544" spans="2:3" x14ac:dyDescent="0.25">
      <c r="B544" s="747" t="s">
        <v>1040</v>
      </c>
      <c r="C544" s="749">
        <v>38300</v>
      </c>
    </row>
    <row r="545" spans="2:3" x14ac:dyDescent="0.25">
      <c r="B545" s="747" t="s">
        <v>814</v>
      </c>
      <c r="C545" s="749">
        <v>13700</v>
      </c>
    </row>
    <row r="546" spans="2:3" x14ac:dyDescent="0.25">
      <c r="B546" s="747" t="s">
        <v>897</v>
      </c>
      <c r="C546" s="749">
        <v>32420</v>
      </c>
    </row>
    <row r="547" spans="2:3" x14ac:dyDescent="0.25">
      <c r="B547" s="747" t="s">
        <v>981</v>
      </c>
      <c r="C547" s="749">
        <v>36007</v>
      </c>
    </row>
    <row r="548" spans="2:3" x14ac:dyDescent="0.25">
      <c r="B548" s="747" t="s">
        <v>855</v>
      </c>
      <c r="C548" s="749">
        <v>30405</v>
      </c>
    </row>
    <row r="549" spans="2:3" x14ac:dyDescent="0.25">
      <c r="B549" s="747" t="s">
        <v>1028</v>
      </c>
      <c r="C549" s="749">
        <v>37801</v>
      </c>
    </row>
    <row r="550" spans="2:3" x14ac:dyDescent="0.25">
      <c r="B550" s="747" t="s">
        <v>895</v>
      </c>
      <c r="C550" s="749">
        <v>32405</v>
      </c>
    </row>
    <row r="551" spans="2:3" x14ac:dyDescent="0.25">
      <c r="B551" s="747" t="s">
        <v>1062</v>
      </c>
      <c r="C551" s="749">
        <v>39204</v>
      </c>
    </row>
    <row r="552" spans="2:3" x14ac:dyDescent="0.25">
      <c r="B552" s="747" t="s">
        <v>956</v>
      </c>
      <c r="C552" s="749">
        <v>35005</v>
      </c>
    </row>
    <row r="553" spans="2:3" x14ac:dyDescent="0.25">
      <c r="B553" s="747" t="s">
        <v>1043</v>
      </c>
      <c r="C553" s="749">
        <v>38405</v>
      </c>
    </row>
    <row r="554" spans="2:3" x14ac:dyDescent="0.25">
      <c r="B554" s="747" t="s">
        <v>1041</v>
      </c>
      <c r="C554" s="749">
        <v>38400</v>
      </c>
    </row>
    <row r="555" spans="2:3" x14ac:dyDescent="0.25">
      <c r="B555" s="747" t="s">
        <v>991</v>
      </c>
      <c r="C555" s="749">
        <v>36302</v>
      </c>
    </row>
    <row r="556" spans="2:3" x14ac:dyDescent="0.25">
      <c r="B556" s="747" t="s">
        <v>793</v>
      </c>
      <c r="C556" s="749">
        <v>10500</v>
      </c>
    </row>
    <row r="557" spans="2:3" x14ac:dyDescent="0.25">
      <c r="B557" s="747" t="s">
        <v>805</v>
      </c>
      <c r="C557" s="749">
        <v>11900</v>
      </c>
    </row>
    <row r="558" spans="2:3" x14ac:dyDescent="0.25">
      <c r="B558" s="747" t="s">
        <v>820</v>
      </c>
      <c r="C558" s="749">
        <v>18670</v>
      </c>
    </row>
    <row r="559" spans="2:3" x14ac:dyDescent="0.25">
      <c r="B559" s="747" t="s">
        <v>1545</v>
      </c>
      <c r="C559" s="753">
        <v>12200</v>
      </c>
    </row>
    <row r="560" spans="2:3" x14ac:dyDescent="0.25">
      <c r="B560" s="747" t="s">
        <v>1165</v>
      </c>
      <c r="C560" s="749">
        <v>14300.2</v>
      </c>
    </row>
    <row r="561" spans="2:3" x14ac:dyDescent="0.25">
      <c r="B561" s="747" t="s">
        <v>1164</v>
      </c>
      <c r="C561" s="749">
        <v>14300</v>
      </c>
    </row>
    <row r="562" spans="2:3" x14ac:dyDescent="0.25">
      <c r="B562" s="747" t="s">
        <v>1044</v>
      </c>
      <c r="C562" s="749">
        <v>38500</v>
      </c>
    </row>
    <row r="563" spans="2:3" x14ac:dyDescent="0.25">
      <c r="B563" s="747" t="s">
        <v>952</v>
      </c>
      <c r="C563" s="749">
        <v>34903</v>
      </c>
    </row>
    <row r="564" spans="2:3" x14ac:dyDescent="0.25">
      <c r="B564" s="747" t="s">
        <v>1048</v>
      </c>
      <c r="C564" s="749">
        <v>38605</v>
      </c>
    </row>
    <row r="565" spans="2:3" x14ac:dyDescent="0.25">
      <c r="B565" s="747" t="s">
        <v>1045</v>
      </c>
      <c r="C565" s="749">
        <v>38600</v>
      </c>
    </row>
    <row r="566" spans="2:3" x14ac:dyDescent="0.25">
      <c r="B566" s="747" t="s">
        <v>1051</v>
      </c>
      <c r="C566" s="749">
        <v>38700</v>
      </c>
    </row>
    <row r="567" spans="2:3" x14ac:dyDescent="0.25">
      <c r="B567" s="747" t="s">
        <v>850</v>
      </c>
      <c r="C567" s="749">
        <v>30104</v>
      </c>
    </row>
    <row r="568" spans="2:3" x14ac:dyDescent="0.25">
      <c r="B568" s="747" t="s">
        <v>908</v>
      </c>
      <c r="C568" s="749">
        <v>32920</v>
      </c>
    </row>
    <row r="569" spans="2:3" x14ac:dyDescent="0.25">
      <c r="B569" s="747" t="s">
        <v>1053</v>
      </c>
      <c r="C569" s="749">
        <v>38800</v>
      </c>
    </row>
    <row r="570" spans="2:3" x14ac:dyDescent="0.25">
      <c r="B570" s="747" t="s">
        <v>889</v>
      </c>
      <c r="C570" s="749">
        <v>32005</v>
      </c>
    </row>
    <row r="571" spans="2:3" x14ac:dyDescent="0.25">
      <c r="B571" s="747" t="s">
        <v>1071</v>
      </c>
      <c r="C571" s="749">
        <v>39501</v>
      </c>
    </row>
    <row r="572" spans="2:3" x14ac:dyDescent="0.25">
      <c r="B572" s="747" t="s">
        <v>1055</v>
      </c>
      <c r="C572" s="749">
        <v>38900</v>
      </c>
    </row>
    <row r="573" spans="2:3" x14ac:dyDescent="0.25">
      <c r="B573" s="747" t="s">
        <v>834</v>
      </c>
      <c r="C573" s="749">
        <v>21200</v>
      </c>
    </row>
    <row r="574" spans="2:3" x14ac:dyDescent="0.25">
      <c r="B574" s="747" t="s">
        <v>838</v>
      </c>
      <c r="C574" s="749">
        <v>21550</v>
      </c>
    </row>
    <row r="575" spans="2:3" x14ac:dyDescent="0.25">
      <c r="B575" s="747" t="s">
        <v>836</v>
      </c>
      <c r="C575" s="749">
        <v>21520</v>
      </c>
    </row>
    <row r="576" spans="2:3" x14ac:dyDescent="0.25">
      <c r="B576" s="747" t="s">
        <v>1167</v>
      </c>
      <c r="C576" s="749">
        <v>21525.200000000001</v>
      </c>
    </row>
    <row r="577" spans="2:3" x14ac:dyDescent="0.25">
      <c r="B577" s="747" t="s">
        <v>1166</v>
      </c>
      <c r="C577" s="749">
        <v>21525</v>
      </c>
    </row>
    <row r="578" spans="2:3" x14ac:dyDescent="0.25">
      <c r="B578" s="747" t="s">
        <v>1056</v>
      </c>
      <c r="C578" s="749">
        <v>39000</v>
      </c>
    </row>
    <row r="579" spans="2:3" x14ac:dyDescent="0.25">
      <c r="B579" s="747" t="s">
        <v>843</v>
      </c>
      <c r="C579" s="749">
        <v>23000</v>
      </c>
    </row>
    <row r="580" spans="2:3" x14ac:dyDescent="0.25">
      <c r="B580" s="747" t="s">
        <v>844</v>
      </c>
      <c r="C580" s="749">
        <v>23100</v>
      </c>
    </row>
    <row r="581" spans="2:3" x14ac:dyDescent="0.25">
      <c r="B581" s="747" t="s">
        <v>833</v>
      </c>
      <c r="C581" s="749">
        <v>20900</v>
      </c>
    </row>
    <row r="582" spans="2:3" x14ac:dyDescent="0.25">
      <c r="B582" s="747" t="s">
        <v>845</v>
      </c>
      <c r="C582" s="749">
        <v>23200</v>
      </c>
    </row>
    <row r="583" spans="2:3" x14ac:dyDescent="0.25">
      <c r="B583" s="747" t="s">
        <v>839</v>
      </c>
      <c r="C583" s="749">
        <v>21570</v>
      </c>
    </row>
    <row r="584" spans="2:3" x14ac:dyDescent="0.25">
      <c r="B584" s="747" t="s">
        <v>1022</v>
      </c>
      <c r="C584" s="749">
        <v>37601</v>
      </c>
    </row>
    <row r="585" spans="2:3" x14ac:dyDescent="0.25">
      <c r="B585" s="747" t="s">
        <v>1058</v>
      </c>
      <c r="C585" s="749">
        <v>39101</v>
      </c>
    </row>
    <row r="586" spans="2:3" x14ac:dyDescent="0.25">
      <c r="B586" s="747" t="s">
        <v>1057</v>
      </c>
      <c r="C586" s="749">
        <v>39100</v>
      </c>
    </row>
    <row r="587" spans="2:3" x14ac:dyDescent="0.25">
      <c r="B587" s="747" t="s">
        <v>1059</v>
      </c>
      <c r="C587" s="749">
        <v>39105</v>
      </c>
    </row>
    <row r="588" spans="2:3" x14ac:dyDescent="0.25">
      <c r="B588" s="747" t="s">
        <v>917</v>
      </c>
      <c r="C588" s="749">
        <v>33204</v>
      </c>
    </row>
    <row r="589" spans="2:3" x14ac:dyDescent="0.25">
      <c r="B589" s="747" t="s">
        <v>1060</v>
      </c>
      <c r="C589" s="749">
        <v>39200</v>
      </c>
    </row>
    <row r="590" spans="2:3" x14ac:dyDescent="0.25">
      <c r="B590" s="747" t="s">
        <v>1063</v>
      </c>
      <c r="C590" s="749">
        <v>39205</v>
      </c>
    </row>
    <row r="591" spans="2:3" x14ac:dyDescent="0.25">
      <c r="B591" s="747" t="s">
        <v>1066</v>
      </c>
      <c r="C591" s="749">
        <v>39300</v>
      </c>
    </row>
    <row r="592" spans="2:3" x14ac:dyDescent="0.25">
      <c r="B592" s="747" t="s">
        <v>1068</v>
      </c>
      <c r="C592" s="749">
        <v>39400</v>
      </c>
    </row>
    <row r="593" spans="2:3" x14ac:dyDescent="0.25">
      <c r="B593" s="747" t="s">
        <v>1070</v>
      </c>
      <c r="C593" s="749">
        <v>39500</v>
      </c>
    </row>
    <row r="594" spans="2:3" x14ac:dyDescent="0.25">
      <c r="B594" s="747" t="s">
        <v>1073</v>
      </c>
      <c r="C594" s="749">
        <v>39605</v>
      </c>
    </row>
    <row r="595" spans="2:3" x14ac:dyDescent="0.25">
      <c r="B595" s="747" t="s">
        <v>1072</v>
      </c>
      <c r="C595" s="749">
        <v>39600</v>
      </c>
    </row>
    <row r="596" spans="2:3" x14ac:dyDescent="0.25">
      <c r="B596" s="747" t="s">
        <v>939</v>
      </c>
      <c r="C596" s="749">
        <v>34230</v>
      </c>
    </row>
    <row r="597" spans="2:3" x14ac:dyDescent="0.25">
      <c r="B597" s="747" t="s">
        <v>840</v>
      </c>
      <c r="C597" s="749">
        <v>21800</v>
      </c>
    </row>
    <row r="598" spans="2:3" x14ac:dyDescent="0.25">
      <c r="B598" s="747" t="s">
        <v>872</v>
      </c>
      <c r="C598" s="749">
        <v>31205</v>
      </c>
    </row>
    <row r="599" spans="2:3" x14ac:dyDescent="0.25">
      <c r="B599" s="747" t="s">
        <v>896</v>
      </c>
      <c r="C599" s="749">
        <v>32410</v>
      </c>
    </row>
    <row r="600" spans="2:3" x14ac:dyDescent="0.25">
      <c r="B600" s="747" t="s">
        <v>804</v>
      </c>
      <c r="C600" s="749">
        <v>11600</v>
      </c>
    </row>
    <row r="601" spans="2:3" x14ac:dyDescent="0.25">
      <c r="B601" s="747" t="s">
        <v>1076</v>
      </c>
      <c r="C601" s="749">
        <v>39705</v>
      </c>
    </row>
    <row r="602" spans="2:3" x14ac:dyDescent="0.25">
      <c r="B602" s="747" t="s">
        <v>1074</v>
      </c>
      <c r="C602" s="749">
        <v>39700</v>
      </c>
    </row>
    <row r="603" spans="2:3" x14ac:dyDescent="0.25">
      <c r="B603" s="747" t="s">
        <v>997</v>
      </c>
      <c r="C603" s="749">
        <v>36502</v>
      </c>
    </row>
    <row r="604" spans="2:3" x14ac:dyDescent="0.25">
      <c r="B604" s="747" t="s">
        <v>1078</v>
      </c>
      <c r="C604" s="749">
        <v>39805</v>
      </c>
    </row>
    <row r="605" spans="2:3" x14ac:dyDescent="0.25">
      <c r="B605" s="747" t="s">
        <v>1077</v>
      </c>
      <c r="C605" s="749">
        <v>39800</v>
      </c>
    </row>
    <row r="606" spans="2:3" x14ac:dyDescent="0.25">
      <c r="B606" s="747" t="s">
        <v>841</v>
      </c>
      <c r="C606" s="749">
        <v>21900</v>
      </c>
    </row>
    <row r="607" spans="2:3" x14ac:dyDescent="0.25">
      <c r="B607" s="747" t="s">
        <v>922</v>
      </c>
      <c r="C607" s="749">
        <v>33400</v>
      </c>
    </row>
    <row r="608" spans="2:3" x14ac:dyDescent="0.25">
      <c r="B608" s="747" t="s">
        <v>1079</v>
      </c>
      <c r="C608" s="749">
        <v>39900</v>
      </c>
    </row>
    <row r="609" spans="2:3" x14ac:dyDescent="0.25">
      <c r="B609" s="747" t="s">
        <v>846</v>
      </c>
      <c r="C609" s="749">
        <v>30000</v>
      </c>
    </row>
    <row r="610" spans="2:3" x14ac:dyDescent="0.25">
      <c r="B610" s="747" t="s">
        <v>1002</v>
      </c>
      <c r="C610" s="749">
        <v>36701</v>
      </c>
    </row>
    <row r="611" spans="2:3" x14ac:dyDescent="0.25">
      <c r="B611" s="743" t="s">
        <v>1163</v>
      </c>
      <c r="C611" s="743" t="s">
        <v>1157</v>
      </c>
    </row>
  </sheetData>
  <pageMargins left="0.25" right="0.25" top="0.75" bottom="0.75" header="0.3" footer="0.3"/>
  <pageSetup scale="39" fitToHeight="0" orientation="landscape" r:id="rId1"/>
  <headerFooter>
    <oddHeader>&amp;C&amp;"-,Bold"&amp;28Appendix B: Allocation of Pension Expense</oddHeader>
    <oddFooter>&amp;R&amp;G</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A209-14D5-4A91-93EB-22474901C8F7}">
  <sheetPr codeName="Sheet24"/>
  <dimension ref="A1:AC615"/>
  <sheetViews>
    <sheetView topLeftCell="A589" workbookViewId="0">
      <selection activeCell="C615" sqref="C615"/>
    </sheetView>
  </sheetViews>
  <sheetFormatPr defaultRowHeight="15" x14ac:dyDescent="0.25"/>
  <cols>
    <col min="1" max="1" width="15.28515625" style="810" customWidth="1"/>
    <col min="2" max="2" width="64.85546875" style="810" customWidth="1"/>
    <col min="3" max="3" width="12" style="810" customWidth="1"/>
    <col min="4" max="4" width="14.7109375" style="810" customWidth="1"/>
    <col min="5" max="6" width="18.42578125" style="810" customWidth="1"/>
    <col min="7" max="7" width="9.140625" style="810" customWidth="1"/>
    <col min="8" max="8" width="17.28515625" style="810" customWidth="1"/>
    <col min="9" max="9" width="16.5703125" style="810" customWidth="1"/>
    <col min="10" max="10" width="16.42578125" style="810" customWidth="1"/>
    <col min="11" max="11" width="14.7109375" style="810" bestFit="1" customWidth="1"/>
    <col min="12" max="12" width="9.140625" style="810"/>
    <col min="13" max="13" width="15.42578125" style="810" customWidth="1"/>
    <col min="14" max="14" width="20.85546875" style="811" customWidth="1"/>
    <col min="15" max="15" width="14.5703125" style="810" customWidth="1"/>
    <col min="16" max="16" width="14.7109375" style="810" bestFit="1" customWidth="1"/>
    <col min="17" max="17" width="9.140625" style="810"/>
    <col min="18" max="18" width="17.5703125" style="810" customWidth="1"/>
    <col min="19" max="19" width="18.140625" style="810" bestFit="1" customWidth="1"/>
    <col min="20" max="20" width="17" style="810" customWidth="1"/>
    <col min="21" max="21" width="16.85546875" style="810" bestFit="1" customWidth="1"/>
    <col min="22" max="22" width="15.28515625" style="810" bestFit="1" customWidth="1"/>
    <col min="23" max="16384" width="9.140625" style="810"/>
  </cols>
  <sheetData>
    <row r="1" spans="1:29" x14ac:dyDescent="0.25">
      <c r="A1" s="809" t="s">
        <v>1662</v>
      </c>
      <c r="B1" s="809"/>
      <c r="D1" s="809"/>
    </row>
    <row r="2" spans="1:29" x14ac:dyDescent="0.25">
      <c r="A2" s="809" t="s">
        <v>1641</v>
      </c>
      <c r="H2" s="812" t="s">
        <v>778</v>
      </c>
      <c r="I2" s="812"/>
      <c r="J2" s="812"/>
      <c r="K2" s="812"/>
      <c r="M2" s="812" t="s">
        <v>779</v>
      </c>
      <c r="N2" s="812"/>
      <c r="O2" s="812"/>
      <c r="P2" s="812"/>
      <c r="R2" s="812" t="s">
        <v>780</v>
      </c>
      <c r="S2" s="812"/>
      <c r="T2" s="812"/>
    </row>
    <row r="3" spans="1:29" ht="156.75" customHeight="1" x14ac:dyDescent="0.25">
      <c r="A3" s="813" t="s">
        <v>781</v>
      </c>
      <c r="B3" s="813" t="s">
        <v>782</v>
      </c>
      <c r="C3" s="813" t="s">
        <v>1129</v>
      </c>
      <c r="D3" s="813" t="s">
        <v>1130</v>
      </c>
      <c r="E3" s="813" t="s">
        <v>1672</v>
      </c>
      <c r="F3" s="813" t="s">
        <v>1560</v>
      </c>
      <c r="G3" s="813"/>
      <c r="H3" s="813" t="s">
        <v>784</v>
      </c>
      <c r="I3" s="813" t="s">
        <v>785</v>
      </c>
      <c r="J3" s="813" t="s">
        <v>786</v>
      </c>
      <c r="K3" s="813" t="s">
        <v>787</v>
      </c>
      <c r="L3" s="813"/>
      <c r="M3" s="813" t="s">
        <v>784</v>
      </c>
      <c r="N3" s="813" t="s">
        <v>1673</v>
      </c>
      <c r="O3" s="813" t="s">
        <v>786</v>
      </c>
      <c r="P3" s="813" t="s">
        <v>787</v>
      </c>
      <c r="Q3" s="813"/>
      <c r="R3" s="813" t="s">
        <v>788</v>
      </c>
      <c r="S3" s="813" t="s">
        <v>789</v>
      </c>
      <c r="T3" s="813" t="s">
        <v>790</v>
      </c>
      <c r="U3" s="813" t="s">
        <v>1674</v>
      </c>
      <c r="V3" s="813" t="s">
        <v>1675</v>
      </c>
    </row>
    <row r="4" spans="1:29" x14ac:dyDescent="0.25">
      <c r="A4" s="814" t="s">
        <v>533</v>
      </c>
      <c r="B4" s="815" t="s">
        <v>1543</v>
      </c>
      <c r="C4" s="816">
        <v>0</v>
      </c>
      <c r="D4" s="817">
        <v>0</v>
      </c>
      <c r="E4" s="817">
        <v>0</v>
      </c>
      <c r="F4" s="817">
        <v>0</v>
      </c>
      <c r="G4" s="817"/>
      <c r="H4" s="817">
        <v>0</v>
      </c>
      <c r="I4" s="817">
        <v>0</v>
      </c>
      <c r="J4" s="817">
        <v>0</v>
      </c>
      <c r="K4" s="817">
        <v>0</v>
      </c>
      <c r="L4" s="817"/>
      <c r="M4" s="817">
        <v>0</v>
      </c>
      <c r="N4" s="817"/>
      <c r="O4" s="817">
        <v>0</v>
      </c>
      <c r="P4" s="817">
        <v>0</v>
      </c>
      <c r="Q4" s="817"/>
      <c r="R4" s="817">
        <v>0</v>
      </c>
      <c r="S4" s="817">
        <v>0</v>
      </c>
      <c r="T4" s="817">
        <v>0</v>
      </c>
      <c r="U4" s="818"/>
      <c r="V4" s="813" t="s">
        <v>359</v>
      </c>
      <c r="W4" s="819"/>
      <c r="X4" s="819"/>
      <c r="Y4" s="819"/>
      <c r="Z4" s="819"/>
      <c r="AA4" s="819"/>
      <c r="AB4" s="819"/>
      <c r="AC4" s="819"/>
    </row>
    <row r="5" spans="1:29" x14ac:dyDescent="0.25">
      <c r="A5" s="820">
        <v>10200</v>
      </c>
      <c r="B5" s="810" t="s">
        <v>791</v>
      </c>
      <c r="C5" s="821">
        <v>1.0799E-3</v>
      </c>
      <c r="D5" s="821">
        <v>1.0897999999999999E-3</v>
      </c>
      <c r="E5" s="819">
        <v>10751581</v>
      </c>
      <c r="F5" s="819">
        <f>VLOOKUP(A5,'TSERS Contributions FY 2018'!A:C,3)</f>
        <v>1692673</v>
      </c>
      <c r="G5" s="822"/>
      <c r="H5" s="819">
        <v>784657</v>
      </c>
      <c r="I5" s="819">
        <v>1024627</v>
      </c>
      <c r="J5" s="819">
        <v>2157566</v>
      </c>
      <c r="K5" s="819">
        <v>0</v>
      </c>
      <c r="L5" s="822"/>
      <c r="M5" s="819">
        <v>107899</v>
      </c>
      <c r="N5" s="823"/>
      <c r="O5" s="819">
        <v>0</v>
      </c>
      <c r="P5" s="819">
        <v>208155</v>
      </c>
      <c r="Q5" s="822"/>
      <c r="R5" s="819">
        <v>2462552</v>
      </c>
      <c r="S5" s="819">
        <v>-72187</v>
      </c>
      <c r="T5" s="819">
        <v>2390365</v>
      </c>
      <c r="U5" s="824">
        <f>C5*18987949000</f>
        <v>20505086</v>
      </c>
      <c r="V5" s="825">
        <v>2567423</v>
      </c>
      <c r="W5" s="819"/>
      <c r="X5" s="819"/>
      <c r="Y5" s="819"/>
    </row>
    <row r="6" spans="1:29" x14ac:dyDescent="0.25">
      <c r="A6" s="820">
        <v>10400</v>
      </c>
      <c r="B6" s="810" t="s">
        <v>792</v>
      </c>
      <c r="C6" s="821">
        <v>3.0755000000000001E-3</v>
      </c>
      <c r="D6" s="821">
        <v>3.2104999999999998E-3</v>
      </c>
      <c r="E6" s="819">
        <v>30619952</v>
      </c>
      <c r="F6" s="819">
        <f>VLOOKUP(A6,'TSERS Contributions FY 2018'!A:C,3)</f>
        <v>5183662</v>
      </c>
      <c r="G6" s="822"/>
      <c r="H6" s="819">
        <v>2234664</v>
      </c>
      <c r="I6" s="819">
        <v>2918087</v>
      </c>
      <c r="J6" s="819">
        <v>6144637</v>
      </c>
      <c r="K6" s="819">
        <v>209276</v>
      </c>
      <c r="L6" s="822"/>
      <c r="M6" s="819">
        <v>307292</v>
      </c>
      <c r="N6" s="826"/>
      <c r="O6" s="819">
        <v>0</v>
      </c>
      <c r="P6" s="819">
        <v>1419808</v>
      </c>
      <c r="Q6" s="822"/>
      <c r="R6" s="819">
        <v>7013223</v>
      </c>
      <c r="S6" s="819">
        <v>-1727142</v>
      </c>
      <c r="T6" s="819">
        <v>5286081</v>
      </c>
      <c r="U6" s="819">
        <f t="shared" ref="U6:U69" si="0">C6*18987949000</f>
        <v>58397437</v>
      </c>
      <c r="V6" s="819">
        <v>7311891</v>
      </c>
    </row>
    <row r="7" spans="1:29" x14ac:dyDescent="0.25">
      <c r="A7" s="820">
        <v>10500</v>
      </c>
      <c r="B7" s="810" t="s">
        <v>793</v>
      </c>
      <c r="C7" s="821">
        <v>7.8109999999999996E-4</v>
      </c>
      <c r="D7" s="821">
        <v>7.7539999999999998E-4</v>
      </c>
      <c r="E7" s="819">
        <v>7776701</v>
      </c>
      <c r="F7" s="819">
        <f>VLOOKUP(A7,'TSERS Contributions FY 2018'!A:C,3)</f>
        <v>1202788</v>
      </c>
      <c r="G7" s="822"/>
      <c r="H7" s="819">
        <v>567549</v>
      </c>
      <c r="I7" s="819">
        <v>741121</v>
      </c>
      <c r="J7" s="819">
        <v>1560584</v>
      </c>
      <c r="K7" s="819">
        <v>106358</v>
      </c>
      <c r="L7" s="822"/>
      <c r="M7" s="819">
        <v>78044</v>
      </c>
      <c r="N7" s="826"/>
      <c r="O7" s="819">
        <v>0</v>
      </c>
      <c r="P7" s="819">
        <v>6426</v>
      </c>
      <c r="Q7" s="822"/>
      <c r="R7" s="819">
        <v>1781183</v>
      </c>
      <c r="S7" s="819">
        <v>30686</v>
      </c>
      <c r="T7" s="819">
        <v>1811869</v>
      </c>
      <c r="U7" s="819">
        <f t="shared" si="0"/>
        <v>14831487</v>
      </c>
      <c r="V7" s="819">
        <v>1857037</v>
      </c>
    </row>
    <row r="8" spans="1:29" x14ac:dyDescent="0.25">
      <c r="A8" s="820">
        <v>10700</v>
      </c>
      <c r="B8" s="810" t="s">
        <v>1544</v>
      </c>
      <c r="C8" s="821">
        <v>4.7955999999999997E-3</v>
      </c>
      <c r="D8" s="821">
        <v>4.6511E-3</v>
      </c>
      <c r="E8" s="819">
        <v>47745420</v>
      </c>
      <c r="F8" s="819">
        <f>VLOOKUP(A8,'TSERS Contributions FY 2018'!A:C,3)</f>
        <v>8416506</v>
      </c>
      <c r="G8" s="822"/>
      <c r="H8" s="819">
        <v>3484493</v>
      </c>
      <c r="I8" s="819">
        <v>4550147</v>
      </c>
      <c r="J8" s="819">
        <v>9581278</v>
      </c>
      <c r="K8" s="819">
        <v>5749418</v>
      </c>
      <c r="L8" s="822"/>
      <c r="M8" s="819">
        <v>479157</v>
      </c>
      <c r="N8" s="826"/>
      <c r="O8" s="819">
        <v>0</v>
      </c>
      <c r="P8" s="819">
        <v>0</v>
      </c>
      <c r="Q8" s="822"/>
      <c r="R8" s="819">
        <v>10935656</v>
      </c>
      <c r="S8" s="819">
        <v>3399600</v>
      </c>
      <c r="T8" s="819">
        <v>14335256</v>
      </c>
      <c r="U8" s="819">
        <f t="shared" si="0"/>
        <v>91058608</v>
      </c>
      <c r="V8" s="819">
        <v>11401366</v>
      </c>
    </row>
    <row r="9" spans="1:29" x14ac:dyDescent="0.25">
      <c r="A9" s="820">
        <v>10800</v>
      </c>
      <c r="B9" s="810" t="s">
        <v>795</v>
      </c>
      <c r="C9" s="821">
        <v>2.0419099999999999E-2</v>
      </c>
      <c r="D9" s="821">
        <v>1.98189E-2</v>
      </c>
      <c r="E9" s="819">
        <v>203294377</v>
      </c>
      <c r="F9" s="819">
        <f>VLOOKUP(A9,'TSERS Contributions FY 2018'!A:C,3)</f>
        <v>34867723</v>
      </c>
      <c r="G9" s="822"/>
      <c r="H9" s="819">
        <v>14836559</v>
      </c>
      <c r="I9" s="819">
        <v>19373989</v>
      </c>
      <c r="J9" s="819">
        <v>40795953</v>
      </c>
      <c r="K9" s="819">
        <v>7267749</v>
      </c>
      <c r="L9" s="822"/>
      <c r="M9" s="819">
        <v>2040195</v>
      </c>
      <c r="N9" s="826"/>
      <c r="O9" s="819">
        <v>0</v>
      </c>
      <c r="P9" s="819">
        <v>92816</v>
      </c>
      <c r="Q9" s="822"/>
      <c r="R9" s="819">
        <v>46562736</v>
      </c>
      <c r="S9" s="819">
        <v>2833949</v>
      </c>
      <c r="T9" s="819">
        <v>49396685</v>
      </c>
      <c r="U9" s="819">
        <f t="shared" si="0"/>
        <v>387716829</v>
      </c>
      <c r="V9" s="819">
        <v>48545675</v>
      </c>
    </row>
    <row r="10" spans="1:29" x14ac:dyDescent="0.25">
      <c r="A10" s="820">
        <v>10850</v>
      </c>
      <c r="B10" s="810" t="s">
        <v>796</v>
      </c>
      <c r="C10" s="821">
        <v>1.663E-4</v>
      </c>
      <c r="D10" s="821">
        <v>1.507E-4</v>
      </c>
      <c r="E10" s="819">
        <v>1655698</v>
      </c>
      <c r="F10" s="819">
        <f>VLOOKUP(A10,'TSERS Contributions FY 2018'!A:C,3)</f>
        <v>392121</v>
      </c>
      <c r="G10" s="822"/>
      <c r="H10" s="819">
        <v>120834</v>
      </c>
      <c r="I10" s="819">
        <v>157788</v>
      </c>
      <c r="J10" s="819">
        <v>332256</v>
      </c>
      <c r="K10" s="819">
        <v>307160</v>
      </c>
      <c r="L10" s="822"/>
      <c r="M10" s="819">
        <v>16616</v>
      </c>
      <c r="N10" s="826"/>
      <c r="O10" s="819">
        <v>0</v>
      </c>
      <c r="P10" s="819">
        <v>0</v>
      </c>
      <c r="Q10" s="822"/>
      <c r="R10" s="819">
        <v>379223</v>
      </c>
      <c r="S10" s="819">
        <v>187447</v>
      </c>
      <c r="T10" s="819">
        <v>566670</v>
      </c>
      <c r="U10" s="819">
        <f t="shared" si="0"/>
        <v>3157696</v>
      </c>
      <c r="V10" s="819">
        <v>395372</v>
      </c>
    </row>
    <row r="11" spans="1:29" x14ac:dyDescent="0.25">
      <c r="A11" s="820">
        <v>10900</v>
      </c>
      <c r="B11" s="810" t="s">
        <v>797</v>
      </c>
      <c r="C11" s="821">
        <v>1.5361000000000001E-3</v>
      </c>
      <c r="D11" s="821">
        <v>1.7773999999999999E-3</v>
      </c>
      <c r="E11" s="819">
        <v>15293548</v>
      </c>
      <c r="F11" s="819">
        <f>VLOOKUP(A11,'TSERS Contributions FY 2018'!A:C,3)</f>
        <v>3139550</v>
      </c>
      <c r="G11" s="822"/>
      <c r="H11" s="819">
        <v>1116133</v>
      </c>
      <c r="I11" s="819">
        <v>1457478</v>
      </c>
      <c r="J11" s="819">
        <v>3069022</v>
      </c>
      <c r="K11" s="819">
        <v>296056</v>
      </c>
      <c r="L11" s="822"/>
      <c r="M11" s="819">
        <v>153481</v>
      </c>
      <c r="N11" s="826"/>
      <c r="O11" s="819">
        <v>0</v>
      </c>
      <c r="P11" s="819">
        <v>510487</v>
      </c>
      <c r="Q11" s="822"/>
      <c r="R11" s="819">
        <v>3502849</v>
      </c>
      <c r="S11" s="819">
        <v>338514</v>
      </c>
      <c r="T11" s="819">
        <v>3841363</v>
      </c>
      <c r="U11" s="819">
        <f t="shared" si="0"/>
        <v>29167388</v>
      </c>
      <c r="V11" s="819">
        <v>3652022</v>
      </c>
    </row>
    <row r="12" spans="1:29" x14ac:dyDescent="0.25">
      <c r="A12" s="820">
        <v>10910</v>
      </c>
      <c r="B12" s="810" t="s">
        <v>798</v>
      </c>
      <c r="C12" s="821">
        <v>3.0410000000000002E-4</v>
      </c>
      <c r="D12" s="821">
        <v>2.9599999999999998E-4</v>
      </c>
      <c r="E12" s="819">
        <v>3027647</v>
      </c>
      <c r="F12" s="819">
        <f>VLOOKUP(A12,'TSERS Contributions FY 2018'!A:C,3)</f>
        <v>489718</v>
      </c>
      <c r="G12" s="822"/>
      <c r="H12" s="819">
        <v>220960</v>
      </c>
      <c r="I12" s="819">
        <v>288535</v>
      </c>
      <c r="J12" s="819">
        <v>607571</v>
      </c>
      <c r="K12" s="819">
        <v>132852</v>
      </c>
      <c r="L12" s="822"/>
      <c r="M12" s="819">
        <v>30384</v>
      </c>
      <c r="N12" s="826"/>
      <c r="O12" s="819">
        <v>0</v>
      </c>
      <c r="P12" s="819">
        <v>92751</v>
      </c>
      <c r="Q12" s="822"/>
      <c r="R12" s="819">
        <v>693455</v>
      </c>
      <c r="S12" s="819">
        <v>21919</v>
      </c>
      <c r="T12" s="819">
        <v>715374</v>
      </c>
      <c r="U12" s="819">
        <f t="shared" si="0"/>
        <v>5774235</v>
      </c>
      <c r="V12" s="819">
        <v>722987</v>
      </c>
    </row>
    <row r="13" spans="1:29" x14ac:dyDescent="0.25">
      <c r="A13" s="820">
        <v>10930</v>
      </c>
      <c r="B13" s="810" t="s">
        <v>799</v>
      </c>
      <c r="C13" s="821">
        <v>2.6938999999999999E-3</v>
      </c>
      <c r="D13" s="821">
        <v>2.7759999999999998E-3</v>
      </c>
      <c r="E13" s="819">
        <v>26820708</v>
      </c>
      <c r="F13" s="819">
        <f>VLOOKUP(A13,'TSERS Contributions FY 2018'!A:C,3)</f>
        <v>5225499</v>
      </c>
      <c r="G13" s="822"/>
      <c r="H13" s="819">
        <v>1957393</v>
      </c>
      <c r="I13" s="819">
        <v>2556018</v>
      </c>
      <c r="J13" s="819">
        <v>5382226</v>
      </c>
      <c r="K13" s="819">
        <v>1525787</v>
      </c>
      <c r="L13" s="822"/>
      <c r="M13" s="819">
        <v>269164</v>
      </c>
      <c r="N13" s="826"/>
      <c r="O13" s="819">
        <v>0</v>
      </c>
      <c r="P13" s="819">
        <v>0</v>
      </c>
      <c r="Q13" s="822"/>
      <c r="R13" s="819">
        <v>6143040</v>
      </c>
      <c r="S13" s="819">
        <v>899962</v>
      </c>
      <c r="T13" s="819">
        <v>7043002</v>
      </c>
      <c r="U13" s="819">
        <f t="shared" si="0"/>
        <v>51151636</v>
      </c>
      <c r="V13" s="819">
        <v>6404650</v>
      </c>
    </row>
    <row r="14" spans="1:29" x14ac:dyDescent="0.25">
      <c r="A14" s="820">
        <v>10940</v>
      </c>
      <c r="B14" s="810" t="s">
        <v>800</v>
      </c>
      <c r="C14" s="821">
        <v>6.9850000000000001E-4</v>
      </c>
      <c r="D14" s="821">
        <v>6.9059999999999998E-4</v>
      </c>
      <c r="E14" s="819">
        <v>6954328</v>
      </c>
      <c r="F14" s="819">
        <f>VLOOKUP(A14,'TSERS Contributions FY 2018'!A:C,3)</f>
        <v>1285928</v>
      </c>
      <c r="G14" s="822"/>
      <c r="H14" s="819">
        <v>507531</v>
      </c>
      <c r="I14" s="819">
        <v>662749</v>
      </c>
      <c r="J14" s="819">
        <v>1395555</v>
      </c>
      <c r="K14" s="819">
        <v>243853</v>
      </c>
      <c r="L14" s="822"/>
      <c r="M14" s="819">
        <v>69791</v>
      </c>
      <c r="N14" s="826"/>
      <c r="O14" s="819">
        <v>0</v>
      </c>
      <c r="P14" s="819">
        <v>77210</v>
      </c>
      <c r="Q14" s="822"/>
      <c r="R14" s="819">
        <v>1592826</v>
      </c>
      <c r="S14" s="819">
        <v>-41550</v>
      </c>
      <c r="T14" s="819">
        <v>1551276</v>
      </c>
      <c r="U14" s="819">
        <f t="shared" si="0"/>
        <v>13263082</v>
      </c>
      <c r="V14" s="819">
        <v>1660659</v>
      </c>
    </row>
    <row r="15" spans="1:29" x14ac:dyDescent="0.25">
      <c r="A15" s="820">
        <v>10950</v>
      </c>
      <c r="B15" s="810" t="s">
        <v>801</v>
      </c>
      <c r="C15" s="821">
        <v>6.7139999999999995E-4</v>
      </c>
      <c r="D15" s="821">
        <v>6.625E-4</v>
      </c>
      <c r="E15" s="819">
        <v>6684518</v>
      </c>
      <c r="F15" s="819">
        <f>VLOOKUP(A15,'TSERS Contributions FY 2018'!A:C,3)</f>
        <v>1129183</v>
      </c>
      <c r="G15" s="822"/>
      <c r="H15" s="819">
        <v>487841</v>
      </c>
      <c r="I15" s="819">
        <v>637036</v>
      </c>
      <c r="J15" s="819">
        <v>1341411</v>
      </c>
      <c r="K15" s="819">
        <v>133109</v>
      </c>
      <c r="L15" s="822"/>
      <c r="M15" s="819">
        <v>67084</v>
      </c>
      <c r="N15" s="826"/>
      <c r="O15" s="819">
        <v>0</v>
      </c>
      <c r="P15" s="819">
        <v>5144</v>
      </c>
      <c r="Q15" s="822"/>
      <c r="R15" s="819">
        <v>1531028</v>
      </c>
      <c r="S15" s="819">
        <v>122122</v>
      </c>
      <c r="T15" s="819">
        <v>1653150</v>
      </c>
      <c r="U15" s="819">
        <f t="shared" si="0"/>
        <v>12748509</v>
      </c>
      <c r="V15" s="819">
        <v>1596229</v>
      </c>
    </row>
    <row r="16" spans="1:29" x14ac:dyDescent="0.25">
      <c r="A16" s="820">
        <v>11050</v>
      </c>
      <c r="B16" s="810" t="s">
        <v>1666</v>
      </c>
      <c r="C16" s="821">
        <v>2.284E-4</v>
      </c>
      <c r="D16" s="821">
        <v>0</v>
      </c>
      <c r="E16" s="819">
        <v>2273971</v>
      </c>
      <c r="F16" s="819">
        <f>VLOOKUP(A16,'TSERS Contributions FY 2018'!A:C,3)</f>
        <v>458025</v>
      </c>
      <c r="G16" s="822"/>
      <c r="H16" s="819">
        <v>165956</v>
      </c>
      <c r="I16" s="819">
        <v>216710</v>
      </c>
      <c r="J16" s="819">
        <v>456327</v>
      </c>
      <c r="K16" s="819">
        <v>1046242</v>
      </c>
      <c r="L16" s="822"/>
      <c r="M16" s="819">
        <v>22821</v>
      </c>
      <c r="N16" s="826"/>
      <c r="O16" s="819">
        <v>0</v>
      </c>
      <c r="P16" s="819">
        <v>0</v>
      </c>
      <c r="Q16" s="822"/>
      <c r="R16" s="819">
        <v>520832</v>
      </c>
      <c r="S16" s="819">
        <v>348748</v>
      </c>
      <c r="T16" s="819">
        <v>869580</v>
      </c>
      <c r="U16" s="819">
        <f t="shared" si="0"/>
        <v>4336848</v>
      </c>
      <c r="V16" s="819">
        <v>543013</v>
      </c>
    </row>
    <row r="17" spans="1:22" x14ac:dyDescent="0.25">
      <c r="A17" s="820">
        <v>11300</v>
      </c>
      <c r="B17" s="810" t="s">
        <v>1676</v>
      </c>
      <c r="C17" s="821">
        <v>4.7381999999999997E-3</v>
      </c>
      <c r="D17" s="821">
        <v>4.8168999999999998E-3</v>
      </c>
      <c r="E17" s="819">
        <v>47173941</v>
      </c>
      <c r="F17" s="819">
        <f>VLOOKUP(A17,'TSERS Contributions FY 2018'!A:C,3)</f>
        <v>8790818</v>
      </c>
      <c r="G17" s="822"/>
      <c r="H17" s="819">
        <v>3442786</v>
      </c>
      <c r="I17" s="819">
        <v>4495685</v>
      </c>
      <c r="J17" s="819">
        <v>9466597</v>
      </c>
      <c r="K17" s="819">
        <v>598188</v>
      </c>
      <c r="L17" s="822"/>
      <c r="M17" s="819">
        <v>473422</v>
      </c>
      <c r="N17" s="826"/>
      <c r="O17" s="819">
        <v>0</v>
      </c>
      <c r="P17" s="819">
        <v>4355083</v>
      </c>
      <c r="Q17" s="822"/>
      <c r="R17" s="819">
        <v>10804764</v>
      </c>
      <c r="S17" s="819">
        <v>-2859568</v>
      </c>
      <c r="T17" s="819">
        <v>7945196</v>
      </c>
      <c r="U17" s="819">
        <f t="shared" si="0"/>
        <v>89968700</v>
      </c>
      <c r="V17" s="819">
        <v>11264900</v>
      </c>
    </row>
    <row r="18" spans="1:22" x14ac:dyDescent="0.25">
      <c r="A18" s="820">
        <v>11310</v>
      </c>
      <c r="B18" s="810" t="s">
        <v>803</v>
      </c>
      <c r="C18" s="821">
        <v>5.5769999999999995E-4</v>
      </c>
      <c r="D18" s="821">
        <v>5.2360000000000004E-4</v>
      </c>
      <c r="E18" s="819">
        <v>5552511</v>
      </c>
      <c r="F18" s="819">
        <f>VLOOKUP(A18,'TSERS Contributions FY 2018'!A:C,3)</f>
        <v>952807</v>
      </c>
      <c r="G18" s="822"/>
      <c r="H18" s="819">
        <v>405226</v>
      </c>
      <c r="I18" s="819">
        <v>529155</v>
      </c>
      <c r="J18" s="819">
        <v>1114246</v>
      </c>
      <c r="K18" s="819">
        <v>316794</v>
      </c>
      <c r="L18" s="822"/>
      <c r="M18" s="819">
        <v>55723</v>
      </c>
      <c r="N18" s="826"/>
      <c r="O18" s="819">
        <v>0</v>
      </c>
      <c r="P18" s="819">
        <v>0</v>
      </c>
      <c r="Q18" s="822"/>
      <c r="R18" s="819">
        <v>1271752</v>
      </c>
      <c r="S18" s="819">
        <v>141566</v>
      </c>
      <c r="T18" s="819">
        <v>1413318</v>
      </c>
      <c r="U18" s="819">
        <f t="shared" si="0"/>
        <v>10589579</v>
      </c>
      <c r="V18" s="819">
        <v>1325912</v>
      </c>
    </row>
    <row r="19" spans="1:22" x14ac:dyDescent="0.25">
      <c r="A19" s="820">
        <v>11600</v>
      </c>
      <c r="B19" s="810" t="s">
        <v>804</v>
      </c>
      <c r="C19" s="821">
        <v>2.1511999999999998E-3</v>
      </c>
      <c r="D19" s="821">
        <v>2.1459000000000001E-3</v>
      </c>
      <c r="E19" s="819">
        <v>21417539</v>
      </c>
      <c r="F19" s="819">
        <f>VLOOKUP(A19,'TSERS Contributions FY 2018'!A:C,3)</f>
        <v>3408232</v>
      </c>
      <c r="G19" s="822"/>
      <c r="H19" s="819">
        <v>1563066</v>
      </c>
      <c r="I19" s="819">
        <v>2041095</v>
      </c>
      <c r="J19" s="819">
        <v>4297949</v>
      </c>
      <c r="K19" s="819">
        <v>109555</v>
      </c>
      <c r="L19" s="822"/>
      <c r="M19" s="819">
        <v>214939</v>
      </c>
      <c r="N19" s="826"/>
      <c r="O19" s="819">
        <v>0</v>
      </c>
      <c r="P19" s="819">
        <v>134160</v>
      </c>
      <c r="Q19" s="822"/>
      <c r="R19" s="819">
        <v>4905493</v>
      </c>
      <c r="S19" s="819">
        <v>-40360</v>
      </c>
      <c r="T19" s="819">
        <v>4865133</v>
      </c>
      <c r="U19" s="819">
        <f t="shared" si="0"/>
        <v>40846876</v>
      </c>
      <c r="V19" s="819">
        <v>5114401</v>
      </c>
    </row>
    <row r="20" spans="1:22" x14ac:dyDescent="0.25">
      <c r="A20" s="820">
        <v>11900</v>
      </c>
      <c r="B20" s="810" t="s">
        <v>805</v>
      </c>
      <c r="C20" s="821">
        <v>2.2389999999999999E-4</v>
      </c>
      <c r="D20" s="821">
        <v>2.1550000000000001E-4</v>
      </c>
      <c r="E20" s="819">
        <v>2229168</v>
      </c>
      <c r="F20" s="819">
        <f>VLOOKUP(A20,'TSERS Contributions FY 2018'!A:C,3)</f>
        <v>361238</v>
      </c>
      <c r="G20" s="822"/>
      <c r="H20" s="819">
        <v>162686</v>
      </c>
      <c r="I20" s="819">
        <v>212440</v>
      </c>
      <c r="J20" s="819">
        <v>447337</v>
      </c>
      <c r="K20" s="819">
        <v>55769</v>
      </c>
      <c r="L20" s="822"/>
      <c r="M20" s="819">
        <v>22371</v>
      </c>
      <c r="N20" s="826"/>
      <c r="O20" s="819">
        <v>0</v>
      </c>
      <c r="P20" s="819">
        <v>84015</v>
      </c>
      <c r="Q20" s="822"/>
      <c r="R20" s="819">
        <v>510571</v>
      </c>
      <c r="S20" s="819">
        <v>-15551</v>
      </c>
      <c r="T20" s="819">
        <v>495020</v>
      </c>
      <c r="U20" s="819">
        <f t="shared" si="0"/>
        <v>4251402</v>
      </c>
      <c r="V20" s="819">
        <v>532314</v>
      </c>
    </row>
    <row r="21" spans="1:22" x14ac:dyDescent="0.25">
      <c r="A21" s="820">
        <v>12100</v>
      </c>
      <c r="B21" s="810" t="s">
        <v>806</v>
      </c>
      <c r="C21" s="821">
        <v>2.4689999999999998E-4</v>
      </c>
      <c r="D21" s="821">
        <v>2.677E-4</v>
      </c>
      <c r="E21" s="819">
        <v>2458158</v>
      </c>
      <c r="F21" s="819">
        <f>VLOOKUP(A21,'TSERS Contributions FY 2018'!A:C,3)</f>
        <v>422225</v>
      </c>
      <c r="G21" s="822"/>
      <c r="H21" s="819">
        <v>179398</v>
      </c>
      <c r="I21" s="819">
        <v>234263</v>
      </c>
      <c r="J21" s="819">
        <v>493289</v>
      </c>
      <c r="K21" s="819">
        <v>41560</v>
      </c>
      <c r="L21" s="822"/>
      <c r="M21" s="819">
        <v>24669</v>
      </c>
      <c r="N21" s="826"/>
      <c r="O21" s="819">
        <v>0</v>
      </c>
      <c r="P21" s="819">
        <v>67039</v>
      </c>
      <c r="Q21" s="822"/>
      <c r="R21" s="819">
        <v>563019</v>
      </c>
      <c r="S21" s="819">
        <v>72395</v>
      </c>
      <c r="T21" s="819">
        <v>635414</v>
      </c>
      <c r="U21" s="819">
        <f t="shared" si="0"/>
        <v>4688125</v>
      </c>
      <c r="V21" s="819">
        <v>586996</v>
      </c>
    </row>
    <row r="22" spans="1:22" x14ac:dyDescent="0.25">
      <c r="A22" s="820">
        <v>12150</v>
      </c>
      <c r="B22" s="810" t="s">
        <v>807</v>
      </c>
      <c r="C22" s="821">
        <v>4.5399999999999999E-5</v>
      </c>
      <c r="D22" s="821">
        <v>4.07E-5</v>
      </c>
      <c r="E22" s="819">
        <v>452006</v>
      </c>
      <c r="F22" s="819">
        <f>VLOOKUP(A22,'TSERS Contributions FY 2018'!A:C,3)</f>
        <v>63169</v>
      </c>
      <c r="G22" s="822"/>
      <c r="H22" s="819">
        <v>32988</v>
      </c>
      <c r="I22" s="819">
        <v>43076</v>
      </c>
      <c r="J22" s="819">
        <v>90706</v>
      </c>
      <c r="K22" s="819">
        <v>18518</v>
      </c>
      <c r="L22" s="822"/>
      <c r="M22" s="819">
        <v>4536</v>
      </c>
      <c r="N22" s="826"/>
      <c r="O22" s="819">
        <v>0</v>
      </c>
      <c r="P22" s="819">
        <v>10231</v>
      </c>
      <c r="Q22" s="822"/>
      <c r="R22" s="819">
        <v>103528</v>
      </c>
      <c r="S22" s="819">
        <v>9249</v>
      </c>
      <c r="T22" s="819">
        <v>112777</v>
      </c>
      <c r="U22" s="819">
        <f t="shared" si="0"/>
        <v>862053</v>
      </c>
      <c r="V22" s="819">
        <v>107937</v>
      </c>
    </row>
    <row r="23" spans="1:22" x14ac:dyDescent="0.25">
      <c r="A23" s="820">
        <v>12160</v>
      </c>
      <c r="B23" s="810" t="s">
        <v>808</v>
      </c>
      <c r="C23" s="821">
        <v>1.8783999999999999E-3</v>
      </c>
      <c r="D23" s="821">
        <v>1.8461E-3</v>
      </c>
      <c r="E23" s="819">
        <v>18701518</v>
      </c>
      <c r="F23" s="819">
        <f>VLOOKUP(A23,'TSERS Contributions FY 2018'!A:C,3)</f>
        <v>3391841</v>
      </c>
      <c r="G23" s="822"/>
      <c r="H23" s="819">
        <v>1364849</v>
      </c>
      <c r="I23" s="819">
        <v>1782258</v>
      </c>
      <c r="J23" s="819">
        <v>3752914</v>
      </c>
      <c r="K23" s="819">
        <v>764685</v>
      </c>
      <c r="L23" s="822"/>
      <c r="M23" s="819">
        <v>187682</v>
      </c>
      <c r="N23" s="826"/>
      <c r="O23" s="819">
        <v>0</v>
      </c>
      <c r="P23" s="819">
        <v>0</v>
      </c>
      <c r="Q23" s="822"/>
      <c r="R23" s="819">
        <v>4283413</v>
      </c>
      <c r="S23" s="819">
        <v>545671</v>
      </c>
      <c r="T23" s="819">
        <v>4829084</v>
      </c>
      <c r="U23" s="819">
        <f t="shared" si="0"/>
        <v>35666963</v>
      </c>
      <c r="V23" s="819">
        <v>4465828</v>
      </c>
    </row>
    <row r="24" spans="1:22" s="811" customFormat="1" x14ac:dyDescent="0.25">
      <c r="A24" s="827" t="s">
        <v>1677</v>
      </c>
      <c r="B24" s="811" t="s">
        <v>1678</v>
      </c>
      <c r="C24" s="828">
        <v>1.5E-6</v>
      </c>
      <c r="D24" s="828">
        <v>3.8E-6</v>
      </c>
      <c r="E24" s="826">
        <v>14934</v>
      </c>
      <c r="F24" s="819">
        <f>VLOOKUP(A24,'TSERS Contributions FY 2018'!A:C,3)</f>
        <v>0</v>
      </c>
      <c r="G24" s="822"/>
      <c r="H24" s="826">
        <v>1090</v>
      </c>
      <c r="I24" s="826">
        <v>1423</v>
      </c>
      <c r="J24" s="826">
        <v>2997</v>
      </c>
      <c r="K24" s="826">
        <v>6757</v>
      </c>
      <c r="L24" s="822"/>
      <c r="M24" s="826">
        <v>150</v>
      </c>
      <c r="N24" s="826"/>
      <c r="O24" s="826">
        <v>0</v>
      </c>
      <c r="P24" s="826">
        <v>11615</v>
      </c>
      <c r="Q24" s="822"/>
      <c r="R24" s="826">
        <v>3421</v>
      </c>
      <c r="S24" s="826">
        <v>-493</v>
      </c>
      <c r="T24" s="826">
        <v>2928</v>
      </c>
      <c r="U24" s="826">
        <f t="shared" si="0"/>
        <v>28482</v>
      </c>
      <c r="V24" s="826">
        <v>3566</v>
      </c>
    </row>
    <row r="25" spans="1:22" s="811" customFormat="1" x14ac:dyDescent="0.25">
      <c r="A25" s="827" t="s">
        <v>1679</v>
      </c>
      <c r="B25" s="811" t="s">
        <v>1680</v>
      </c>
      <c r="C25" s="828">
        <v>4.8564799999999998E-2</v>
      </c>
      <c r="D25" s="828">
        <v>4.7928199999999997E-2</v>
      </c>
      <c r="E25" s="826">
        <v>483515471</v>
      </c>
      <c r="F25" s="819">
        <f>VLOOKUP(A25,'TSERS Contributions FY 2018'!A:C,3)</f>
        <v>0</v>
      </c>
      <c r="G25" s="822"/>
      <c r="H25" s="826">
        <v>35287281</v>
      </c>
      <c r="I25" s="826">
        <v>46079108</v>
      </c>
      <c r="J25" s="826">
        <v>97029119</v>
      </c>
      <c r="K25" s="826">
        <v>14175297</v>
      </c>
      <c r="L25" s="822"/>
      <c r="M25" s="826">
        <v>4852401</v>
      </c>
      <c r="N25" s="826"/>
      <c r="O25" s="826">
        <v>0</v>
      </c>
      <c r="P25" s="826">
        <v>94009</v>
      </c>
      <c r="Q25" s="822"/>
      <c r="R25" s="826">
        <v>110744839</v>
      </c>
      <c r="S25" s="826">
        <v>6814051</v>
      </c>
      <c r="T25" s="826">
        <v>117558890</v>
      </c>
      <c r="U25" s="826">
        <f t="shared" si="0"/>
        <v>922145946</v>
      </c>
      <c r="V25" s="826">
        <v>115461064</v>
      </c>
    </row>
    <row r="26" spans="1:22" s="811" customFormat="1" x14ac:dyDescent="0.25">
      <c r="A26" s="827">
        <v>12220</v>
      </c>
      <c r="B26" s="811" t="s">
        <v>1681</v>
      </c>
      <c r="C26" s="828">
        <v>4.85663E-2</v>
      </c>
      <c r="D26" s="828">
        <v>4.7932000000000002E-2</v>
      </c>
      <c r="E26" s="826">
        <f>SUM(E24:E25)</f>
        <v>483530405</v>
      </c>
      <c r="F26" s="819">
        <f>VLOOKUP(A26,'TSERS Contributions FY 2018'!A:C,3)</f>
        <v>85724029</v>
      </c>
      <c r="G26" s="826">
        <f t="shared" ref="G26" si="1">SUM(G24:G25)</f>
        <v>0</v>
      </c>
      <c r="H26" s="826">
        <v>35288371</v>
      </c>
      <c r="I26" s="826">
        <v>46080531</v>
      </c>
      <c r="J26" s="826">
        <v>97032116</v>
      </c>
      <c r="K26" s="826">
        <v>14182054</v>
      </c>
      <c r="L26" s="826">
        <v>0</v>
      </c>
      <c r="M26" s="826">
        <v>4852551</v>
      </c>
      <c r="N26" s="826">
        <v>0</v>
      </c>
      <c r="O26" s="826">
        <v>0</v>
      </c>
      <c r="P26" s="826">
        <v>105624</v>
      </c>
      <c r="Q26" s="826"/>
      <c r="R26" s="826">
        <v>110748260</v>
      </c>
      <c r="S26" s="826">
        <v>6813558</v>
      </c>
      <c r="T26" s="826">
        <v>117561818</v>
      </c>
      <c r="U26" s="826">
        <f t="shared" si="0"/>
        <v>922174428</v>
      </c>
      <c r="V26" s="826">
        <v>115464630</v>
      </c>
    </row>
    <row r="27" spans="1:22" x14ac:dyDescent="0.25">
      <c r="A27" s="820">
        <v>12510</v>
      </c>
      <c r="B27" s="810" t="s">
        <v>810</v>
      </c>
      <c r="C27" s="821">
        <v>4.6589999999999999E-3</v>
      </c>
      <c r="D27" s="821">
        <v>5.3429000000000003E-3</v>
      </c>
      <c r="E27" s="819">
        <v>46385419</v>
      </c>
      <c r="F27" s="819">
        <f>VLOOKUP(A27,'TSERS Contributions FY 2018'!A:C,3)</f>
        <v>9368925</v>
      </c>
      <c r="G27" s="822"/>
      <c r="H27" s="819">
        <v>3385239</v>
      </c>
      <c r="I27" s="819">
        <v>4420538</v>
      </c>
      <c r="J27" s="819">
        <v>9308361</v>
      </c>
      <c r="K27" s="819">
        <v>617188</v>
      </c>
      <c r="L27" s="822"/>
      <c r="M27" s="819">
        <v>465509</v>
      </c>
      <c r="N27" s="826"/>
      <c r="O27" s="819">
        <v>0</v>
      </c>
      <c r="P27" s="819">
        <v>1699585</v>
      </c>
      <c r="Q27" s="822"/>
      <c r="R27" s="819">
        <v>10624160</v>
      </c>
      <c r="S27" s="819">
        <v>-493945</v>
      </c>
      <c r="T27" s="819">
        <v>10130215</v>
      </c>
      <c r="U27" s="819">
        <f t="shared" si="0"/>
        <v>88464854</v>
      </c>
      <c r="V27" s="819">
        <v>11076605</v>
      </c>
    </row>
    <row r="28" spans="1:22" x14ac:dyDescent="0.25">
      <c r="A28" s="820">
        <v>12600</v>
      </c>
      <c r="B28" s="810" t="s">
        <v>811</v>
      </c>
      <c r="C28" s="821">
        <v>2.0189000000000001E-3</v>
      </c>
      <c r="D28" s="821">
        <v>1.4484000000000001E-3</v>
      </c>
      <c r="E28" s="819">
        <v>20100348</v>
      </c>
      <c r="F28" s="819">
        <f>VLOOKUP(A28,'TSERS Contributions FY 2018'!A:C,3)</f>
        <v>3448104</v>
      </c>
      <c r="G28" s="822"/>
      <c r="H28" s="819">
        <v>1466937</v>
      </c>
      <c r="I28" s="819">
        <v>1915567</v>
      </c>
      <c r="J28" s="819">
        <v>4033623</v>
      </c>
      <c r="K28" s="819">
        <v>2795948</v>
      </c>
      <c r="L28" s="822"/>
      <c r="M28" s="819">
        <v>201720</v>
      </c>
      <c r="N28" s="826"/>
      <c r="O28" s="819">
        <v>0</v>
      </c>
      <c r="P28" s="819">
        <v>0</v>
      </c>
      <c r="Q28" s="822"/>
      <c r="R28" s="819">
        <v>4603803</v>
      </c>
      <c r="S28" s="819">
        <v>968455</v>
      </c>
      <c r="T28" s="819">
        <v>5572258</v>
      </c>
      <c r="U28" s="819">
        <f t="shared" si="0"/>
        <v>38334770</v>
      </c>
      <c r="V28" s="819">
        <v>4799862</v>
      </c>
    </row>
    <row r="29" spans="1:22" x14ac:dyDescent="0.25">
      <c r="A29" s="820">
        <v>12700</v>
      </c>
      <c r="B29" s="810" t="s">
        <v>812</v>
      </c>
      <c r="C29" s="821">
        <v>1.1559000000000001E-3</v>
      </c>
      <c r="D29" s="821">
        <v>1.1355E-3</v>
      </c>
      <c r="E29" s="819">
        <v>11508243</v>
      </c>
      <c r="F29" s="819">
        <f>VLOOKUP(A29,'TSERS Contributions FY 2018'!A:C,3)</f>
        <v>2179758</v>
      </c>
      <c r="G29" s="822"/>
      <c r="H29" s="819">
        <v>839879</v>
      </c>
      <c r="I29" s="819">
        <v>1096738</v>
      </c>
      <c r="J29" s="819">
        <v>2309408</v>
      </c>
      <c r="K29" s="819">
        <v>500519</v>
      </c>
      <c r="L29" s="822"/>
      <c r="M29" s="819">
        <v>115493</v>
      </c>
      <c r="N29" s="826"/>
      <c r="O29" s="819">
        <v>0</v>
      </c>
      <c r="P29" s="819">
        <v>9111</v>
      </c>
      <c r="Q29" s="822"/>
      <c r="R29" s="819">
        <v>2635859</v>
      </c>
      <c r="S29" s="819">
        <v>181036</v>
      </c>
      <c r="T29" s="819">
        <v>2816895</v>
      </c>
      <c r="U29" s="819">
        <f t="shared" si="0"/>
        <v>21948170</v>
      </c>
      <c r="V29" s="819">
        <v>2748111</v>
      </c>
    </row>
    <row r="30" spans="1:22" x14ac:dyDescent="0.25">
      <c r="A30" s="820">
        <v>13500</v>
      </c>
      <c r="B30" s="810" t="s">
        <v>813</v>
      </c>
      <c r="C30" s="821">
        <v>4.5323999999999998E-3</v>
      </c>
      <c r="D30" s="821">
        <v>4.4362000000000004E-3</v>
      </c>
      <c r="E30" s="819">
        <v>45124978</v>
      </c>
      <c r="F30" s="819">
        <f>VLOOKUP(A30,'TSERS Contributions FY 2018'!A:C,3)</f>
        <v>7772993</v>
      </c>
      <c r="G30" s="822"/>
      <c r="H30" s="819">
        <v>3293251</v>
      </c>
      <c r="I30" s="819">
        <v>4300418</v>
      </c>
      <c r="J30" s="819">
        <v>9055422</v>
      </c>
      <c r="K30" s="819">
        <v>1713545</v>
      </c>
      <c r="L30" s="822"/>
      <c r="M30" s="819">
        <v>452859</v>
      </c>
      <c r="N30" s="826"/>
      <c r="O30" s="819">
        <v>0</v>
      </c>
      <c r="P30" s="819">
        <v>0</v>
      </c>
      <c r="Q30" s="822"/>
      <c r="R30" s="819">
        <v>10335467</v>
      </c>
      <c r="S30" s="819">
        <v>870100</v>
      </c>
      <c r="T30" s="819">
        <v>11205567</v>
      </c>
      <c r="U30" s="819">
        <f t="shared" si="0"/>
        <v>86060980</v>
      </c>
      <c r="V30" s="819">
        <v>10775618</v>
      </c>
    </row>
    <row r="31" spans="1:22" x14ac:dyDescent="0.25">
      <c r="A31" s="820">
        <v>13700</v>
      </c>
      <c r="B31" s="810" t="s">
        <v>814</v>
      </c>
      <c r="C31" s="821">
        <v>4.8430000000000001E-4</v>
      </c>
      <c r="D31" s="821">
        <v>4.7780000000000001E-4</v>
      </c>
      <c r="E31" s="819">
        <v>4821734</v>
      </c>
      <c r="F31" s="819">
        <f>VLOOKUP(A31,'TSERS Contributions FY 2018'!A:C,3)</f>
        <v>920371</v>
      </c>
      <c r="G31" s="822"/>
      <c r="H31" s="819">
        <v>351893</v>
      </c>
      <c r="I31" s="819">
        <v>459512</v>
      </c>
      <c r="J31" s="819">
        <v>967598</v>
      </c>
      <c r="K31" s="819">
        <v>144568</v>
      </c>
      <c r="L31" s="822"/>
      <c r="M31" s="819">
        <v>48389</v>
      </c>
      <c r="N31" s="826"/>
      <c r="O31" s="819">
        <v>0</v>
      </c>
      <c r="P31" s="819">
        <v>46419</v>
      </c>
      <c r="Q31" s="822"/>
      <c r="R31" s="819">
        <v>1104374</v>
      </c>
      <c r="S31" s="819">
        <v>14891</v>
      </c>
      <c r="T31" s="819">
        <v>1119265</v>
      </c>
      <c r="U31" s="819">
        <f t="shared" si="0"/>
        <v>9195864</v>
      </c>
      <c r="V31" s="819">
        <v>1151406</v>
      </c>
    </row>
    <row r="32" spans="1:22" x14ac:dyDescent="0.25">
      <c r="A32" s="820">
        <v>14200</v>
      </c>
      <c r="B32" s="810" t="s">
        <v>815</v>
      </c>
      <c r="C32" s="821">
        <v>0</v>
      </c>
      <c r="D32" s="821">
        <v>0</v>
      </c>
      <c r="E32" s="819">
        <v>0</v>
      </c>
      <c r="F32" s="819">
        <f>VLOOKUP(A32,'TSERS Contributions FY 2018'!A:C,3)</f>
        <v>0</v>
      </c>
      <c r="G32" s="822"/>
      <c r="H32" s="819">
        <v>0</v>
      </c>
      <c r="I32" s="819">
        <v>0</v>
      </c>
      <c r="J32" s="819">
        <v>0</v>
      </c>
      <c r="K32" s="819">
        <v>0</v>
      </c>
      <c r="L32" s="822"/>
      <c r="M32" s="819">
        <v>0</v>
      </c>
      <c r="N32" s="826"/>
      <c r="O32" s="819">
        <v>0</v>
      </c>
      <c r="P32" s="819">
        <v>0</v>
      </c>
      <c r="Q32" s="822"/>
      <c r="R32" s="819">
        <v>0</v>
      </c>
      <c r="S32" s="819">
        <v>-2002</v>
      </c>
      <c r="T32" s="819">
        <v>-2002</v>
      </c>
      <c r="U32" s="819">
        <f t="shared" si="0"/>
        <v>0</v>
      </c>
      <c r="V32" s="819">
        <v>0</v>
      </c>
    </row>
    <row r="33" spans="1:22" x14ac:dyDescent="0.25">
      <c r="A33" s="820">
        <v>14300</v>
      </c>
      <c r="B33" s="810" t="s">
        <v>1164</v>
      </c>
      <c r="C33" s="821">
        <v>1.5508E-3</v>
      </c>
      <c r="D33" s="821">
        <v>1.6612E-3</v>
      </c>
      <c r="E33" s="819">
        <v>15439903</v>
      </c>
      <c r="F33" s="819">
        <f>VLOOKUP(A33,'TSERS Contributions FY 2018'!A:C,3)</f>
        <v>2539580</v>
      </c>
      <c r="G33" s="822"/>
      <c r="H33" s="819">
        <v>1126814</v>
      </c>
      <c r="I33" s="819">
        <v>1471425</v>
      </c>
      <c r="J33" s="819">
        <v>3098391</v>
      </c>
      <c r="K33" s="819">
        <v>647546</v>
      </c>
      <c r="L33" s="822"/>
      <c r="M33" s="819">
        <v>154950</v>
      </c>
      <c r="N33" s="826"/>
      <c r="O33" s="819">
        <v>0</v>
      </c>
      <c r="P33" s="819">
        <v>418943</v>
      </c>
      <c r="Q33" s="822"/>
      <c r="R33" s="819">
        <v>3536370</v>
      </c>
      <c r="S33" s="819">
        <v>223185</v>
      </c>
      <c r="T33" s="819">
        <v>3759555</v>
      </c>
      <c r="U33" s="819">
        <f t="shared" si="0"/>
        <v>29446511</v>
      </c>
      <c r="V33" s="819">
        <v>3686971</v>
      </c>
    </row>
    <row r="34" spans="1:22" x14ac:dyDescent="0.25">
      <c r="A34" s="820">
        <v>14300.2</v>
      </c>
      <c r="B34" s="810" t="s">
        <v>1165</v>
      </c>
      <c r="C34" s="821">
        <v>1.6190000000000001E-4</v>
      </c>
      <c r="D34" s="821">
        <v>1.9479999999999999E-4</v>
      </c>
      <c r="E34" s="819">
        <v>1611891</v>
      </c>
      <c r="F34" s="819">
        <f>VLOOKUP(A34,'TSERS Contributions FY 2018'!A:C,3)</f>
        <v>304879</v>
      </c>
      <c r="G34" s="822"/>
      <c r="H34" s="819">
        <v>117637</v>
      </c>
      <c r="I34" s="819">
        <v>153613</v>
      </c>
      <c r="J34" s="819">
        <v>323465</v>
      </c>
      <c r="K34" s="819">
        <v>88722</v>
      </c>
      <c r="L34" s="822"/>
      <c r="M34" s="819">
        <v>16176</v>
      </c>
      <c r="N34" s="826"/>
      <c r="O34" s="819">
        <v>0</v>
      </c>
      <c r="P34" s="819">
        <v>118145</v>
      </c>
      <c r="Q34" s="822"/>
      <c r="R34" s="819">
        <v>369189</v>
      </c>
      <c r="S34" s="819">
        <v>132</v>
      </c>
      <c r="T34" s="819">
        <v>369321</v>
      </c>
      <c r="U34" s="819">
        <f t="shared" si="0"/>
        <v>3074149</v>
      </c>
      <c r="V34" s="819">
        <v>384911</v>
      </c>
    </row>
    <row r="35" spans="1:22" x14ac:dyDescent="0.25">
      <c r="A35" s="820">
        <v>18400</v>
      </c>
      <c r="B35" s="810" t="s">
        <v>817</v>
      </c>
      <c r="C35" s="821">
        <v>5.5973000000000004E-3</v>
      </c>
      <c r="D35" s="821">
        <v>5.5510999999999998E-3</v>
      </c>
      <c r="E35" s="819">
        <v>55727217</v>
      </c>
      <c r="F35" s="819">
        <f>VLOOKUP(A35,'TSERS Contributions FY 2018'!A:C,3)</f>
        <v>9723142</v>
      </c>
      <c r="G35" s="822"/>
      <c r="H35" s="819">
        <v>4067009</v>
      </c>
      <c r="I35" s="819">
        <v>5310813</v>
      </c>
      <c r="J35" s="819">
        <v>11183019</v>
      </c>
      <c r="K35" s="819">
        <v>1343422</v>
      </c>
      <c r="L35" s="822"/>
      <c r="M35" s="819">
        <v>559260</v>
      </c>
      <c r="N35" s="826"/>
      <c r="O35" s="819">
        <v>0</v>
      </c>
      <c r="P35" s="819">
        <v>0</v>
      </c>
      <c r="Q35" s="822"/>
      <c r="R35" s="819">
        <v>12763814</v>
      </c>
      <c r="S35" s="819">
        <v>799777</v>
      </c>
      <c r="T35" s="819">
        <v>13563591</v>
      </c>
      <c r="U35" s="819">
        <f t="shared" si="0"/>
        <v>106281247</v>
      </c>
      <c r="V35" s="819">
        <v>13307379</v>
      </c>
    </row>
    <row r="36" spans="1:22" x14ac:dyDescent="0.25">
      <c r="A36" s="820">
        <v>18600</v>
      </c>
      <c r="B36" s="810" t="s">
        <v>818</v>
      </c>
      <c r="C36" s="821">
        <v>1.5999999999999999E-5</v>
      </c>
      <c r="D36" s="821">
        <v>1.56E-5</v>
      </c>
      <c r="E36" s="819">
        <v>159297</v>
      </c>
      <c r="F36" s="819">
        <f>VLOOKUP(A36,'TSERS Contributions FY 2018'!A:C,3)</f>
        <v>28051</v>
      </c>
      <c r="G36" s="822"/>
      <c r="H36" s="819">
        <v>11626</v>
      </c>
      <c r="I36" s="819">
        <v>15181</v>
      </c>
      <c r="J36" s="819">
        <v>31967</v>
      </c>
      <c r="K36" s="819">
        <v>9671</v>
      </c>
      <c r="L36" s="822"/>
      <c r="M36" s="819">
        <v>1599</v>
      </c>
      <c r="N36" s="826"/>
      <c r="O36" s="819">
        <v>0</v>
      </c>
      <c r="P36" s="819">
        <v>16834</v>
      </c>
      <c r="Q36" s="822"/>
      <c r="R36" s="819">
        <v>36486</v>
      </c>
      <c r="S36" s="819">
        <v>-4760</v>
      </c>
      <c r="T36" s="819">
        <v>31726</v>
      </c>
      <c r="U36" s="819">
        <f t="shared" si="0"/>
        <v>303807</v>
      </c>
      <c r="V36" s="819">
        <v>38039</v>
      </c>
    </row>
    <row r="37" spans="1:22" x14ac:dyDescent="0.25">
      <c r="A37" s="820">
        <v>18640</v>
      </c>
      <c r="B37" s="810" t="s">
        <v>819</v>
      </c>
      <c r="C37" s="821">
        <v>1.7E-6</v>
      </c>
      <c r="D37" s="821">
        <v>0</v>
      </c>
      <c r="E37" s="819">
        <v>16925</v>
      </c>
      <c r="F37" s="819">
        <f>VLOOKUP(A37,'TSERS Contributions FY 2018'!A:C,3)</f>
        <v>3340</v>
      </c>
      <c r="G37" s="822"/>
      <c r="H37" s="819">
        <v>1235</v>
      </c>
      <c r="I37" s="819">
        <v>1613</v>
      </c>
      <c r="J37" s="819">
        <v>3396</v>
      </c>
      <c r="K37" s="819">
        <v>7984</v>
      </c>
      <c r="L37" s="822"/>
      <c r="M37" s="819">
        <v>170</v>
      </c>
      <c r="N37" s="826"/>
      <c r="O37" s="819">
        <v>0</v>
      </c>
      <c r="P37" s="819">
        <v>1288</v>
      </c>
      <c r="Q37" s="822"/>
      <c r="R37" s="819">
        <v>3877</v>
      </c>
      <c r="S37" s="819">
        <v>-1499</v>
      </c>
      <c r="T37" s="819">
        <v>2378</v>
      </c>
      <c r="U37" s="819">
        <f t="shared" si="0"/>
        <v>32280</v>
      </c>
      <c r="V37" s="819">
        <v>4042</v>
      </c>
    </row>
    <row r="38" spans="1:22" x14ac:dyDescent="0.25">
      <c r="A38" s="820">
        <v>18670</v>
      </c>
      <c r="B38" s="810" t="s">
        <v>820</v>
      </c>
      <c r="C38" s="821">
        <v>0</v>
      </c>
      <c r="D38" s="821">
        <v>0</v>
      </c>
      <c r="E38" s="819">
        <v>0</v>
      </c>
      <c r="F38" s="819">
        <f>VLOOKUP(A38,'TSERS Contributions FY 2018'!A:C,3)</f>
        <v>0</v>
      </c>
      <c r="G38" s="822"/>
      <c r="H38" s="819">
        <v>0</v>
      </c>
      <c r="I38" s="819">
        <v>0</v>
      </c>
      <c r="J38" s="819">
        <v>0</v>
      </c>
      <c r="K38" s="819">
        <v>0</v>
      </c>
      <c r="L38" s="822"/>
      <c r="M38" s="819">
        <v>0</v>
      </c>
      <c r="N38" s="826"/>
      <c r="O38" s="819">
        <v>0</v>
      </c>
      <c r="P38" s="819">
        <v>2504</v>
      </c>
      <c r="Q38" s="822"/>
      <c r="R38" s="819">
        <v>0</v>
      </c>
      <c r="S38" s="819">
        <v>-5278</v>
      </c>
      <c r="T38" s="819">
        <v>-5278</v>
      </c>
      <c r="U38" s="819">
        <f t="shared" si="0"/>
        <v>0</v>
      </c>
      <c r="V38" s="819">
        <v>0</v>
      </c>
    </row>
    <row r="39" spans="1:22" x14ac:dyDescent="0.25">
      <c r="A39" s="820">
        <v>18690</v>
      </c>
      <c r="B39" s="810" t="s">
        <v>821</v>
      </c>
      <c r="C39" s="821">
        <v>0</v>
      </c>
      <c r="D39" s="821">
        <v>0</v>
      </c>
      <c r="E39" s="819">
        <v>0</v>
      </c>
      <c r="F39" s="819">
        <f>VLOOKUP(A39,'TSERS Contributions FY 2018'!A:C,3)</f>
        <v>0</v>
      </c>
      <c r="G39" s="822"/>
      <c r="H39" s="819">
        <v>0</v>
      </c>
      <c r="I39" s="819">
        <v>0</v>
      </c>
      <c r="J39" s="819">
        <v>0</v>
      </c>
      <c r="K39" s="819">
        <v>0</v>
      </c>
      <c r="L39" s="822"/>
      <c r="M39" s="819">
        <v>0</v>
      </c>
      <c r="N39" s="826"/>
      <c r="O39" s="819">
        <v>0</v>
      </c>
      <c r="P39" s="819">
        <v>11942</v>
      </c>
      <c r="Q39" s="822"/>
      <c r="R39" s="819">
        <v>0</v>
      </c>
      <c r="S39" s="819">
        <v>-1880</v>
      </c>
      <c r="T39" s="819">
        <v>-1880</v>
      </c>
      <c r="U39" s="819">
        <f t="shared" si="0"/>
        <v>0</v>
      </c>
      <c r="V39" s="819">
        <v>0</v>
      </c>
    </row>
    <row r="40" spans="1:22" x14ac:dyDescent="0.25">
      <c r="A40" s="820">
        <v>18740</v>
      </c>
      <c r="B40" s="810" t="s">
        <v>822</v>
      </c>
      <c r="C40" s="821">
        <v>8.3999999999999992E-6</v>
      </c>
      <c r="D40" s="821">
        <v>8.3000000000000002E-6</v>
      </c>
      <c r="E40" s="819">
        <v>83631</v>
      </c>
      <c r="F40" s="819">
        <f>VLOOKUP(A40,'TSERS Contributions FY 2018'!A:C,3)</f>
        <v>14353</v>
      </c>
      <c r="G40" s="822"/>
      <c r="H40" s="819">
        <v>6103</v>
      </c>
      <c r="I40" s="819">
        <v>7970</v>
      </c>
      <c r="J40" s="819">
        <v>16783</v>
      </c>
      <c r="K40" s="819">
        <v>5037</v>
      </c>
      <c r="L40" s="822"/>
      <c r="M40" s="819">
        <v>839</v>
      </c>
      <c r="N40" s="826"/>
      <c r="O40" s="819">
        <v>0</v>
      </c>
      <c r="P40" s="819">
        <v>219</v>
      </c>
      <c r="Q40" s="822"/>
      <c r="R40" s="819">
        <v>19155</v>
      </c>
      <c r="S40" s="819">
        <v>2450</v>
      </c>
      <c r="T40" s="819">
        <v>21605</v>
      </c>
      <c r="U40" s="819">
        <f t="shared" si="0"/>
        <v>159499</v>
      </c>
      <c r="V40" s="819">
        <v>19971</v>
      </c>
    </row>
    <row r="41" spans="1:22" x14ac:dyDescent="0.25">
      <c r="A41" s="820">
        <v>18780</v>
      </c>
      <c r="B41" s="810" t="s">
        <v>1682</v>
      </c>
      <c r="C41" s="821">
        <v>2.0100000000000001E-5</v>
      </c>
      <c r="D41" s="821">
        <v>1.3200000000000001E-5</v>
      </c>
      <c r="E41" s="819">
        <v>200117</v>
      </c>
      <c r="F41" s="819">
        <f>VLOOKUP(A41,'TSERS Contributions FY 2018'!A:C,3)</f>
        <v>30444</v>
      </c>
      <c r="G41" s="822"/>
      <c r="H41" s="819">
        <v>14605</v>
      </c>
      <c r="I41" s="819">
        <v>19071</v>
      </c>
      <c r="J41" s="819">
        <v>40158</v>
      </c>
      <c r="K41" s="819">
        <v>33649</v>
      </c>
      <c r="L41" s="822"/>
      <c r="M41" s="819">
        <v>2008</v>
      </c>
      <c r="N41" s="826"/>
      <c r="O41" s="819">
        <v>0</v>
      </c>
      <c r="P41" s="819">
        <v>2835</v>
      </c>
      <c r="Q41" s="822"/>
      <c r="R41" s="819">
        <v>45835</v>
      </c>
      <c r="S41" s="819">
        <v>15439</v>
      </c>
      <c r="T41" s="819">
        <v>61274</v>
      </c>
      <c r="U41" s="819">
        <f t="shared" si="0"/>
        <v>381658</v>
      </c>
      <c r="V41" s="819">
        <v>47787</v>
      </c>
    </row>
    <row r="42" spans="1:22" x14ac:dyDescent="0.25">
      <c r="A42" s="820">
        <v>19005</v>
      </c>
      <c r="B42" s="810" t="s">
        <v>824</v>
      </c>
      <c r="C42" s="821">
        <v>7.9659999999999996E-4</v>
      </c>
      <c r="D42" s="821">
        <v>7.7510000000000003E-4</v>
      </c>
      <c r="E42" s="819">
        <v>7931020</v>
      </c>
      <c r="F42" s="819">
        <f>VLOOKUP(A42,'TSERS Contributions FY 2018'!A:C,3)</f>
        <v>1560046</v>
      </c>
      <c r="G42" s="822"/>
      <c r="H42" s="819">
        <v>578811</v>
      </c>
      <c r="I42" s="819">
        <v>755828</v>
      </c>
      <c r="J42" s="819">
        <v>1591552</v>
      </c>
      <c r="K42" s="819">
        <v>483790</v>
      </c>
      <c r="L42" s="822"/>
      <c r="M42" s="819">
        <v>79593</v>
      </c>
      <c r="N42" s="826"/>
      <c r="O42" s="819">
        <v>0</v>
      </c>
      <c r="P42" s="819">
        <v>0</v>
      </c>
      <c r="Q42" s="822"/>
      <c r="R42" s="819">
        <v>1816528</v>
      </c>
      <c r="S42" s="819">
        <v>229947</v>
      </c>
      <c r="T42" s="819">
        <v>2046475</v>
      </c>
      <c r="U42" s="819">
        <f t="shared" si="0"/>
        <v>15125800</v>
      </c>
      <c r="V42" s="819">
        <v>1893888</v>
      </c>
    </row>
    <row r="43" spans="1:22" x14ac:dyDescent="0.25">
      <c r="A43" s="820">
        <v>19100</v>
      </c>
      <c r="B43" s="810" t="s">
        <v>825</v>
      </c>
      <c r="C43" s="821">
        <v>7.0080400000000001E-2</v>
      </c>
      <c r="D43" s="821">
        <v>6.9808099999999998E-2</v>
      </c>
      <c r="E43" s="819">
        <v>697726700</v>
      </c>
      <c r="F43" s="819">
        <f>VLOOKUP(A43,'TSERS Contributions FY 2018'!A:C,3)</f>
        <v>116171267</v>
      </c>
      <c r="G43" s="822"/>
      <c r="H43" s="819">
        <v>50920559</v>
      </c>
      <c r="I43" s="819">
        <v>66493475</v>
      </c>
      <c r="J43" s="819">
        <v>140015804</v>
      </c>
      <c r="K43" s="819">
        <v>8986197</v>
      </c>
      <c r="L43" s="822"/>
      <c r="M43" s="819">
        <v>7002153</v>
      </c>
      <c r="N43" s="826"/>
      <c r="O43" s="819">
        <v>0</v>
      </c>
      <c r="P43" s="819">
        <v>776295</v>
      </c>
      <c r="Q43" s="822"/>
      <c r="R43" s="819">
        <v>159807980</v>
      </c>
      <c r="S43" s="819">
        <v>2761851</v>
      </c>
      <c r="T43" s="819">
        <v>162569831</v>
      </c>
      <c r="U43" s="819">
        <f t="shared" si="0"/>
        <v>1330683061</v>
      </c>
      <c r="V43" s="819">
        <v>166613628</v>
      </c>
    </row>
    <row r="44" spans="1:22" x14ac:dyDescent="0.25">
      <c r="A44" s="820">
        <v>20100</v>
      </c>
      <c r="B44" s="810" t="s">
        <v>826</v>
      </c>
      <c r="C44" s="821">
        <v>6.2781E-3</v>
      </c>
      <c r="D44" s="821">
        <v>6.2049000000000002E-3</v>
      </c>
      <c r="E44" s="819">
        <v>62505322</v>
      </c>
      <c r="F44" s="819">
        <f>VLOOKUP(A44,'TSERS Contributions FY 2018'!A:C,3)</f>
        <v>10151638</v>
      </c>
      <c r="G44" s="822"/>
      <c r="H44" s="819">
        <v>4561680</v>
      </c>
      <c r="I44" s="819">
        <v>5956768</v>
      </c>
      <c r="J44" s="819">
        <v>12543211</v>
      </c>
      <c r="K44" s="819">
        <v>1469774</v>
      </c>
      <c r="L44" s="822"/>
      <c r="M44" s="819">
        <v>627283</v>
      </c>
      <c r="N44" s="826"/>
      <c r="O44" s="819">
        <v>0</v>
      </c>
      <c r="P44" s="819">
        <v>0</v>
      </c>
      <c r="Q44" s="822"/>
      <c r="R44" s="819">
        <v>14316278</v>
      </c>
      <c r="S44" s="819">
        <v>1018322</v>
      </c>
      <c r="T44" s="819">
        <v>15334600</v>
      </c>
      <c r="U44" s="819">
        <f t="shared" si="0"/>
        <v>119208243</v>
      </c>
      <c r="V44" s="819">
        <v>14925957</v>
      </c>
    </row>
    <row r="45" spans="1:22" x14ac:dyDescent="0.25">
      <c r="A45" s="820">
        <v>20200</v>
      </c>
      <c r="B45" s="810" t="s">
        <v>827</v>
      </c>
      <c r="C45" s="821">
        <v>8.6269999999999999E-4</v>
      </c>
      <c r="D45" s="821">
        <v>8.229E-4</v>
      </c>
      <c r="E45" s="819">
        <v>8589118</v>
      </c>
      <c r="F45" s="819">
        <f>VLOOKUP(A45,'TSERS Contributions FY 2018'!A:C,3)</f>
        <v>1519944</v>
      </c>
      <c r="G45" s="822"/>
      <c r="H45" s="819">
        <v>626840</v>
      </c>
      <c r="I45" s="819">
        <v>818544</v>
      </c>
      <c r="J45" s="819">
        <v>1723615</v>
      </c>
      <c r="K45" s="819">
        <v>455653</v>
      </c>
      <c r="L45" s="822"/>
      <c r="M45" s="819">
        <v>86198</v>
      </c>
      <c r="N45" s="826"/>
      <c r="O45" s="819">
        <v>0</v>
      </c>
      <c r="P45" s="819">
        <v>0</v>
      </c>
      <c r="Q45" s="822"/>
      <c r="R45" s="819">
        <v>1967260</v>
      </c>
      <c r="S45" s="819">
        <v>232981</v>
      </c>
      <c r="T45" s="819">
        <v>2200241</v>
      </c>
      <c r="U45" s="819">
        <f t="shared" si="0"/>
        <v>16380904</v>
      </c>
      <c r="V45" s="819">
        <v>2051038</v>
      </c>
    </row>
    <row r="46" spans="1:22" x14ac:dyDescent="0.25">
      <c r="A46" s="820">
        <v>20300</v>
      </c>
      <c r="B46" s="810" t="s">
        <v>828</v>
      </c>
      <c r="C46" s="821">
        <v>1.41399E-2</v>
      </c>
      <c r="D46" s="821">
        <v>1.38227E-2</v>
      </c>
      <c r="E46" s="819">
        <v>140778103</v>
      </c>
      <c r="F46" s="819">
        <f>VLOOKUP(A46,'TSERS Contributions FY 2018'!A:C,3)</f>
        <v>22341665</v>
      </c>
      <c r="G46" s="822"/>
      <c r="H46" s="819">
        <v>10274080</v>
      </c>
      <c r="I46" s="819">
        <v>13416177</v>
      </c>
      <c r="J46" s="819">
        <v>28250545</v>
      </c>
      <c r="K46" s="819">
        <v>2484853</v>
      </c>
      <c r="L46" s="822"/>
      <c r="M46" s="819">
        <v>1412802</v>
      </c>
      <c r="N46" s="826"/>
      <c r="O46" s="819">
        <v>0</v>
      </c>
      <c r="P46" s="819">
        <v>136147</v>
      </c>
      <c r="Q46" s="822"/>
      <c r="R46" s="819">
        <v>32243949</v>
      </c>
      <c r="S46" s="819">
        <v>1402998</v>
      </c>
      <c r="T46" s="819">
        <v>33646947</v>
      </c>
      <c r="U46" s="819">
        <f t="shared" si="0"/>
        <v>268487700</v>
      </c>
      <c r="V46" s="819">
        <v>33617103</v>
      </c>
    </row>
    <row r="47" spans="1:22" x14ac:dyDescent="0.25">
      <c r="A47" s="820">
        <v>20400</v>
      </c>
      <c r="B47" s="810" t="s">
        <v>829</v>
      </c>
      <c r="C47" s="821">
        <v>9.9989999999999996E-4</v>
      </c>
      <c r="D47" s="821">
        <v>9.9360000000000008E-4</v>
      </c>
      <c r="E47" s="819">
        <v>9955093</v>
      </c>
      <c r="F47" s="819">
        <f>VLOOKUP(A47,'TSERS Contributions FY 2018'!A:C,3)</f>
        <v>1790390</v>
      </c>
      <c r="G47" s="822"/>
      <c r="H47" s="819">
        <v>726529</v>
      </c>
      <c r="I47" s="819">
        <v>948722</v>
      </c>
      <c r="J47" s="819">
        <v>1997731</v>
      </c>
      <c r="K47" s="819">
        <v>175527</v>
      </c>
      <c r="L47" s="822"/>
      <c r="M47" s="819">
        <v>99906</v>
      </c>
      <c r="N47" s="826"/>
      <c r="O47" s="819">
        <v>0</v>
      </c>
      <c r="P47" s="819">
        <v>369354</v>
      </c>
      <c r="Q47" s="822"/>
      <c r="R47" s="819">
        <v>2280124</v>
      </c>
      <c r="S47" s="819">
        <v>-553479</v>
      </c>
      <c r="T47" s="819">
        <v>1726645</v>
      </c>
      <c r="U47" s="819">
        <f t="shared" si="0"/>
        <v>18986050</v>
      </c>
      <c r="V47" s="819">
        <v>2377226</v>
      </c>
    </row>
    <row r="48" spans="1:22" x14ac:dyDescent="0.25">
      <c r="A48" s="820">
        <v>20600</v>
      </c>
      <c r="B48" s="810" t="s">
        <v>830</v>
      </c>
      <c r="C48" s="821">
        <v>2.1589000000000001E-3</v>
      </c>
      <c r="D48" s="821">
        <v>2.0533000000000001E-3</v>
      </c>
      <c r="E48" s="819">
        <v>21494201</v>
      </c>
      <c r="F48" s="819">
        <f>VLOOKUP(A48,'TSERS Contributions FY 2018'!A:C,3)</f>
        <v>3620897</v>
      </c>
      <c r="G48" s="822"/>
      <c r="H48" s="819">
        <v>1568661</v>
      </c>
      <c r="I48" s="819">
        <v>2048401</v>
      </c>
      <c r="J48" s="819">
        <v>4313333</v>
      </c>
      <c r="K48" s="819">
        <v>1077800</v>
      </c>
      <c r="L48" s="822"/>
      <c r="M48" s="819">
        <v>215709</v>
      </c>
      <c r="N48" s="826"/>
      <c r="O48" s="819">
        <v>0</v>
      </c>
      <c r="P48" s="819">
        <v>85005</v>
      </c>
      <c r="Q48" s="822"/>
      <c r="R48" s="819">
        <v>4923052</v>
      </c>
      <c r="S48" s="819">
        <v>337378</v>
      </c>
      <c r="T48" s="819">
        <v>5260430</v>
      </c>
      <c r="U48" s="819">
        <f t="shared" si="0"/>
        <v>40993083</v>
      </c>
      <c r="V48" s="819">
        <v>5132707</v>
      </c>
    </row>
    <row r="49" spans="1:22" x14ac:dyDescent="0.25">
      <c r="A49" s="820">
        <v>20700</v>
      </c>
      <c r="B49" s="810" t="s">
        <v>831</v>
      </c>
      <c r="C49" s="821">
        <v>4.2357999999999996E-3</v>
      </c>
      <c r="D49" s="821">
        <v>4.0467999999999997E-3</v>
      </c>
      <c r="E49" s="819">
        <v>42172002</v>
      </c>
      <c r="F49" s="819">
        <f>VLOOKUP(A49,'TSERS Contributions FY 2018'!A:C,3)</f>
        <v>7470953</v>
      </c>
      <c r="G49" s="822"/>
      <c r="H49" s="819">
        <v>3077741</v>
      </c>
      <c r="I49" s="819">
        <v>4018999</v>
      </c>
      <c r="J49" s="819">
        <v>8462836</v>
      </c>
      <c r="K49" s="819">
        <v>2101654</v>
      </c>
      <c r="L49" s="822"/>
      <c r="M49" s="819">
        <v>423224</v>
      </c>
      <c r="N49" s="826"/>
      <c r="O49" s="819">
        <v>0</v>
      </c>
      <c r="P49" s="819">
        <v>0</v>
      </c>
      <c r="Q49" s="822"/>
      <c r="R49" s="819">
        <v>9659115</v>
      </c>
      <c r="S49" s="819">
        <v>930557</v>
      </c>
      <c r="T49" s="819">
        <v>10589672</v>
      </c>
      <c r="U49" s="819">
        <f t="shared" si="0"/>
        <v>80429154</v>
      </c>
      <c r="V49" s="819">
        <v>10070462</v>
      </c>
    </row>
    <row r="50" spans="1:22" x14ac:dyDescent="0.25">
      <c r="A50" s="820">
        <v>20800</v>
      </c>
      <c r="B50" s="810" t="s">
        <v>832</v>
      </c>
      <c r="C50" s="821">
        <v>3.4954000000000001E-3</v>
      </c>
      <c r="D50" s="821">
        <v>3.5522000000000001E-3</v>
      </c>
      <c r="E50" s="819">
        <v>34800513</v>
      </c>
      <c r="F50" s="819">
        <f>VLOOKUP(A50,'TSERS Contributions FY 2018'!A:C,3)</f>
        <v>6088310</v>
      </c>
      <c r="G50" s="822"/>
      <c r="H50" s="819">
        <v>2539765</v>
      </c>
      <c r="I50" s="819">
        <v>3316495</v>
      </c>
      <c r="J50" s="819">
        <v>6983568</v>
      </c>
      <c r="K50" s="819">
        <v>295609</v>
      </c>
      <c r="L50" s="822"/>
      <c r="M50" s="819">
        <v>349246</v>
      </c>
      <c r="N50" s="826"/>
      <c r="O50" s="819">
        <v>0</v>
      </c>
      <c r="P50" s="819">
        <v>139853</v>
      </c>
      <c r="Q50" s="822"/>
      <c r="R50" s="819">
        <v>7970742</v>
      </c>
      <c r="S50" s="819">
        <v>-48970</v>
      </c>
      <c r="T50" s="819">
        <v>7921772</v>
      </c>
      <c r="U50" s="819">
        <f t="shared" si="0"/>
        <v>66370477</v>
      </c>
      <c r="V50" s="819">
        <v>8310188</v>
      </c>
    </row>
    <row r="51" spans="1:22" x14ac:dyDescent="0.25">
      <c r="A51" s="820">
        <v>20900</v>
      </c>
      <c r="B51" s="810" t="s">
        <v>833</v>
      </c>
      <c r="C51" s="821">
        <v>5.0654000000000003E-3</v>
      </c>
      <c r="D51" s="821">
        <v>4.8830000000000002E-3</v>
      </c>
      <c r="E51" s="819">
        <v>50431573</v>
      </c>
      <c r="F51" s="819">
        <f>VLOOKUP(A51,'TSERS Contributions FY 2018'!A:C,3)</f>
        <v>8866979</v>
      </c>
      <c r="G51" s="822"/>
      <c r="H51" s="819">
        <v>3680530</v>
      </c>
      <c r="I51" s="819">
        <v>4806138</v>
      </c>
      <c r="J51" s="819">
        <v>10120320</v>
      </c>
      <c r="K51" s="819">
        <v>2018319</v>
      </c>
      <c r="L51" s="822"/>
      <c r="M51" s="819">
        <v>506115</v>
      </c>
      <c r="N51" s="826"/>
      <c r="O51" s="819">
        <v>0</v>
      </c>
      <c r="P51" s="819">
        <v>238253</v>
      </c>
      <c r="Q51" s="822"/>
      <c r="R51" s="819">
        <v>11550895</v>
      </c>
      <c r="S51" s="819">
        <v>300487</v>
      </c>
      <c r="T51" s="819">
        <v>11851382</v>
      </c>
      <c r="U51" s="819">
        <f t="shared" si="0"/>
        <v>96181557</v>
      </c>
      <c r="V51" s="819">
        <v>12042806</v>
      </c>
    </row>
    <row r="52" spans="1:22" x14ac:dyDescent="0.25">
      <c r="A52" s="820">
        <v>21200</v>
      </c>
      <c r="B52" s="810" t="s">
        <v>834</v>
      </c>
      <c r="C52" s="821">
        <v>1.8697E-3</v>
      </c>
      <c r="D52" s="821">
        <v>1.8521E-3</v>
      </c>
      <c r="E52" s="819">
        <v>18614900</v>
      </c>
      <c r="F52" s="819">
        <f>VLOOKUP(A52,'TSERS Contributions FY 2018'!A:C,3)</f>
        <v>3039923</v>
      </c>
      <c r="G52" s="822"/>
      <c r="H52" s="819">
        <v>1358528</v>
      </c>
      <c r="I52" s="819">
        <v>1774003</v>
      </c>
      <c r="J52" s="819">
        <v>3735532</v>
      </c>
      <c r="K52" s="819">
        <v>580156</v>
      </c>
      <c r="L52" s="822"/>
      <c r="M52" s="819">
        <v>186813</v>
      </c>
      <c r="N52" s="826"/>
      <c r="O52" s="819">
        <v>0</v>
      </c>
      <c r="P52" s="819">
        <v>0</v>
      </c>
      <c r="Q52" s="822"/>
      <c r="R52" s="819">
        <v>4263574</v>
      </c>
      <c r="S52" s="819">
        <v>287979</v>
      </c>
      <c r="T52" s="819">
        <v>4551553</v>
      </c>
      <c r="U52" s="819">
        <f t="shared" si="0"/>
        <v>35501768</v>
      </c>
      <c r="V52" s="819">
        <v>4445144</v>
      </c>
    </row>
    <row r="53" spans="1:22" x14ac:dyDescent="0.25">
      <c r="A53" s="820">
        <v>21300</v>
      </c>
      <c r="B53" s="810" t="s">
        <v>835</v>
      </c>
      <c r="C53" s="821">
        <v>2.2263700000000001E-2</v>
      </c>
      <c r="D53" s="821">
        <v>2.2259600000000001E-2</v>
      </c>
      <c r="E53" s="819">
        <v>221659379</v>
      </c>
      <c r="F53" s="819">
        <f>VLOOKUP(A53,'TSERS Contributions FY 2018'!A:C,3)</f>
        <v>36047714</v>
      </c>
      <c r="G53" s="822"/>
      <c r="H53" s="819">
        <v>16176849</v>
      </c>
      <c r="I53" s="819">
        <v>21124177</v>
      </c>
      <c r="J53" s="819">
        <v>44481336</v>
      </c>
      <c r="K53" s="819">
        <v>2755461</v>
      </c>
      <c r="L53" s="822"/>
      <c r="M53" s="819">
        <v>2224500</v>
      </c>
      <c r="N53" s="826"/>
      <c r="O53" s="819">
        <v>0</v>
      </c>
      <c r="P53" s="819">
        <v>0</v>
      </c>
      <c r="Q53" s="822"/>
      <c r="R53" s="819">
        <v>50769073</v>
      </c>
      <c r="S53" s="819">
        <v>2199635</v>
      </c>
      <c r="T53" s="819">
        <v>52968708</v>
      </c>
      <c r="U53" s="819">
        <f t="shared" si="0"/>
        <v>422742000</v>
      </c>
      <c r="V53" s="819">
        <v>52931145</v>
      </c>
    </row>
    <row r="54" spans="1:22" x14ac:dyDescent="0.25">
      <c r="A54" s="820">
        <v>21520</v>
      </c>
      <c r="B54" s="810" t="s">
        <v>1547</v>
      </c>
      <c r="C54" s="821">
        <v>3.1751500000000002E-2</v>
      </c>
      <c r="D54" s="821">
        <v>3.1198099999999999E-2</v>
      </c>
      <c r="E54" s="819">
        <v>316120760</v>
      </c>
      <c r="F54" s="819">
        <f>VLOOKUP(A54,'TSERS Contributions FY 2018'!A:C,3)</f>
        <v>52618283</v>
      </c>
      <c r="G54" s="822"/>
      <c r="H54" s="819">
        <v>23070703</v>
      </c>
      <c r="I54" s="819">
        <v>30126363</v>
      </c>
      <c r="J54" s="819">
        <v>63437306</v>
      </c>
      <c r="K54" s="819">
        <v>6250113</v>
      </c>
      <c r="L54" s="822"/>
      <c r="M54" s="819">
        <v>3172483</v>
      </c>
      <c r="N54" s="826"/>
      <c r="O54" s="819">
        <v>0</v>
      </c>
      <c r="P54" s="819">
        <v>474830</v>
      </c>
      <c r="Q54" s="822"/>
      <c r="R54" s="819">
        <v>72404597</v>
      </c>
      <c r="S54" s="819">
        <v>2350550</v>
      </c>
      <c r="T54" s="819">
        <v>74755147</v>
      </c>
      <c r="U54" s="819">
        <f t="shared" si="0"/>
        <v>602895863</v>
      </c>
      <c r="V54" s="819">
        <v>75488048</v>
      </c>
    </row>
    <row r="55" spans="1:22" x14ac:dyDescent="0.25">
      <c r="A55" s="820">
        <v>21525</v>
      </c>
      <c r="B55" s="810" t="s">
        <v>1166</v>
      </c>
      <c r="C55" s="821">
        <v>1.0954999999999999E-3</v>
      </c>
      <c r="D55" s="821">
        <v>1.1898E-3</v>
      </c>
      <c r="E55" s="819">
        <v>10906895</v>
      </c>
      <c r="F55" s="819">
        <f>VLOOKUP(A55,'TSERS Contributions FY 2018'!A:C,3)</f>
        <v>1999807</v>
      </c>
      <c r="G55" s="822"/>
      <c r="H55" s="819">
        <v>795992</v>
      </c>
      <c r="I55" s="819">
        <v>1039429</v>
      </c>
      <c r="J55" s="819">
        <v>2188733</v>
      </c>
      <c r="K55" s="819">
        <v>149201</v>
      </c>
      <c r="L55" s="822"/>
      <c r="M55" s="819">
        <v>109458</v>
      </c>
      <c r="N55" s="826"/>
      <c r="O55" s="819">
        <v>0</v>
      </c>
      <c r="P55" s="819">
        <v>245781</v>
      </c>
      <c r="Q55" s="822"/>
      <c r="R55" s="819">
        <v>2498126</v>
      </c>
      <c r="S55" s="819">
        <v>41257</v>
      </c>
      <c r="T55" s="819">
        <v>2539383</v>
      </c>
      <c r="U55" s="819">
        <f t="shared" si="0"/>
        <v>20801298</v>
      </c>
      <c r="V55" s="819">
        <v>2604512</v>
      </c>
    </row>
    <row r="56" spans="1:22" x14ac:dyDescent="0.25">
      <c r="A56" s="820">
        <v>21525.200000000001</v>
      </c>
      <c r="B56" s="810" t="s">
        <v>1167</v>
      </c>
      <c r="C56" s="821">
        <v>1.3359999999999999E-4</v>
      </c>
      <c r="D56" s="821">
        <v>1.3549999999999999E-4</v>
      </c>
      <c r="E56" s="819">
        <v>1330133</v>
      </c>
      <c r="F56" s="819">
        <f>VLOOKUP(A56,'TSERS Contributions FY 2018'!A:C,3)</f>
        <v>253586</v>
      </c>
      <c r="G56" s="822"/>
      <c r="H56" s="819">
        <v>97074</v>
      </c>
      <c r="I56" s="819">
        <v>126762</v>
      </c>
      <c r="J56" s="819">
        <v>266924</v>
      </c>
      <c r="K56" s="819">
        <v>92205</v>
      </c>
      <c r="L56" s="822"/>
      <c r="M56" s="819">
        <v>13349</v>
      </c>
      <c r="N56" s="826"/>
      <c r="O56" s="819">
        <v>0</v>
      </c>
      <c r="P56" s="819">
        <v>11179</v>
      </c>
      <c r="Q56" s="822"/>
      <c r="R56" s="819">
        <v>304655</v>
      </c>
      <c r="S56" s="819">
        <v>38128</v>
      </c>
      <c r="T56" s="819">
        <v>342783</v>
      </c>
      <c r="U56" s="819">
        <f t="shared" si="0"/>
        <v>2536790</v>
      </c>
      <c r="V56" s="819">
        <v>317629</v>
      </c>
    </row>
    <row r="57" spans="1:22" x14ac:dyDescent="0.25">
      <c r="A57" s="820">
        <v>21550</v>
      </c>
      <c r="B57" s="810" t="s">
        <v>838</v>
      </c>
      <c r="C57" s="821">
        <v>3.6367299999999998E-2</v>
      </c>
      <c r="D57" s="821">
        <v>3.6282500000000002E-2</v>
      </c>
      <c r="E57" s="819">
        <v>362076075</v>
      </c>
      <c r="F57" s="819">
        <f>VLOOKUP(A57,'TSERS Contributions FY 2018'!A:C,3)</f>
        <v>57905226</v>
      </c>
      <c r="G57" s="822"/>
      <c r="H57" s="819">
        <v>26424553</v>
      </c>
      <c r="I57" s="819">
        <v>34505912</v>
      </c>
      <c r="J57" s="819">
        <v>72659356</v>
      </c>
      <c r="K57" s="819">
        <v>2513461</v>
      </c>
      <c r="L57" s="822"/>
      <c r="M57" s="819">
        <v>3633675</v>
      </c>
      <c r="N57" s="826"/>
      <c r="O57" s="819">
        <v>0</v>
      </c>
      <c r="P57" s="819">
        <v>1169603</v>
      </c>
      <c r="Q57" s="822"/>
      <c r="R57" s="819">
        <v>82930245</v>
      </c>
      <c r="S57" s="819">
        <v>1524436</v>
      </c>
      <c r="T57" s="819">
        <v>84454681</v>
      </c>
      <c r="U57" s="819">
        <f t="shared" si="0"/>
        <v>690540438</v>
      </c>
      <c r="V57" s="819">
        <v>86461947</v>
      </c>
    </row>
    <row r="58" spans="1:22" x14ac:dyDescent="0.25">
      <c r="A58" s="820">
        <v>21570</v>
      </c>
      <c r="B58" s="810" t="s">
        <v>839</v>
      </c>
      <c r="C58" s="821">
        <v>1.683E-4</v>
      </c>
      <c r="D58" s="821">
        <v>1.7980000000000001E-4</v>
      </c>
      <c r="E58" s="819">
        <v>1675610</v>
      </c>
      <c r="F58" s="819">
        <f>VLOOKUP(A58,'TSERS Contributions FY 2018'!A:C,3)</f>
        <v>315916</v>
      </c>
      <c r="G58" s="822"/>
      <c r="H58" s="819">
        <v>122287</v>
      </c>
      <c r="I58" s="819">
        <v>159686</v>
      </c>
      <c r="J58" s="819">
        <v>336252</v>
      </c>
      <c r="K58" s="819">
        <v>37424</v>
      </c>
      <c r="L58" s="822"/>
      <c r="M58" s="819">
        <v>16816</v>
      </c>
      <c r="N58" s="826"/>
      <c r="O58" s="819">
        <v>0</v>
      </c>
      <c r="P58" s="819">
        <v>28092</v>
      </c>
      <c r="Q58" s="822"/>
      <c r="R58" s="819">
        <v>383783</v>
      </c>
      <c r="S58" s="819">
        <v>-11970</v>
      </c>
      <c r="T58" s="819">
        <v>371813</v>
      </c>
      <c r="U58" s="819">
        <f t="shared" si="0"/>
        <v>3195672</v>
      </c>
      <c r="V58" s="819">
        <v>400127</v>
      </c>
    </row>
    <row r="59" spans="1:22" x14ac:dyDescent="0.25">
      <c r="A59" s="820">
        <v>21800</v>
      </c>
      <c r="B59" s="810" t="s">
        <v>840</v>
      </c>
      <c r="C59" s="821">
        <v>3.1678000000000001E-3</v>
      </c>
      <c r="D59" s="821">
        <v>3.1243E-3</v>
      </c>
      <c r="E59" s="819">
        <v>31538899</v>
      </c>
      <c r="F59" s="819">
        <f>VLOOKUP(A59,'TSERS Contributions FY 2018'!A:C,3)</f>
        <v>5169609</v>
      </c>
      <c r="G59" s="822"/>
      <c r="H59" s="819">
        <v>2301730</v>
      </c>
      <c r="I59" s="819">
        <v>3005662</v>
      </c>
      <c r="J59" s="819">
        <v>6329046</v>
      </c>
      <c r="K59" s="819">
        <v>816492</v>
      </c>
      <c r="L59" s="822"/>
      <c r="M59" s="819">
        <v>316514</v>
      </c>
      <c r="N59" s="826"/>
      <c r="O59" s="819">
        <v>0</v>
      </c>
      <c r="P59" s="819">
        <v>0</v>
      </c>
      <c r="Q59" s="822"/>
      <c r="R59" s="819">
        <v>7223699</v>
      </c>
      <c r="S59" s="819">
        <v>623784</v>
      </c>
      <c r="T59" s="819">
        <v>7847483</v>
      </c>
      <c r="U59" s="819">
        <f t="shared" si="0"/>
        <v>60150025</v>
      </c>
      <c r="V59" s="819">
        <v>7531330</v>
      </c>
    </row>
    <row r="60" spans="1:22" x14ac:dyDescent="0.25">
      <c r="A60" s="820">
        <v>21900</v>
      </c>
      <c r="B60" s="810" t="s">
        <v>841</v>
      </c>
      <c r="C60" s="821">
        <v>2.2623999999999999E-3</v>
      </c>
      <c r="D60" s="821">
        <v>2.2258999999999998E-3</v>
      </c>
      <c r="E60" s="819">
        <v>22524656</v>
      </c>
      <c r="F60" s="819">
        <f>VLOOKUP(A60,'TSERS Contributions FY 2018'!A:C,3)</f>
        <v>3951750</v>
      </c>
      <c r="G60" s="822"/>
      <c r="H60" s="819">
        <v>1643864</v>
      </c>
      <c r="I60" s="819">
        <v>2146604</v>
      </c>
      <c r="J60" s="819">
        <v>4520119</v>
      </c>
      <c r="K60" s="819">
        <v>417738</v>
      </c>
      <c r="L60" s="822"/>
      <c r="M60" s="819">
        <v>226050</v>
      </c>
      <c r="N60" s="826"/>
      <c r="O60" s="819">
        <v>0</v>
      </c>
      <c r="P60" s="819">
        <v>101339</v>
      </c>
      <c r="Q60" s="822"/>
      <c r="R60" s="819">
        <v>5159068</v>
      </c>
      <c r="S60" s="819">
        <v>152722</v>
      </c>
      <c r="T60" s="819">
        <v>5311790</v>
      </c>
      <c r="U60" s="819">
        <f t="shared" si="0"/>
        <v>42958336</v>
      </c>
      <c r="V60" s="819">
        <v>5378775</v>
      </c>
    </row>
    <row r="61" spans="1:22" x14ac:dyDescent="0.25">
      <c r="A61" s="820">
        <v>22000</v>
      </c>
      <c r="B61" s="810" t="s">
        <v>842</v>
      </c>
      <c r="C61" s="821">
        <v>3.6137000000000001E-3</v>
      </c>
      <c r="D61" s="821">
        <v>3.7869000000000002E-3</v>
      </c>
      <c r="E61" s="819">
        <v>35978319</v>
      </c>
      <c r="F61" s="819">
        <f>VLOOKUP(A61,'TSERS Contributions FY 2018'!A:C,3)</f>
        <v>6756852</v>
      </c>
      <c r="G61" s="822"/>
      <c r="H61" s="819">
        <v>2625722</v>
      </c>
      <c r="I61" s="819">
        <v>3428740</v>
      </c>
      <c r="J61" s="819">
        <v>7219923</v>
      </c>
      <c r="K61" s="819">
        <v>312672</v>
      </c>
      <c r="L61" s="822"/>
      <c r="M61" s="819">
        <v>361066</v>
      </c>
      <c r="N61" s="826"/>
      <c r="O61" s="819">
        <v>0</v>
      </c>
      <c r="P61" s="819">
        <v>216292</v>
      </c>
      <c r="Q61" s="822"/>
      <c r="R61" s="819">
        <v>8240508</v>
      </c>
      <c r="S61" s="819">
        <v>138827</v>
      </c>
      <c r="T61" s="819">
        <v>8379335</v>
      </c>
      <c r="U61" s="819">
        <f t="shared" si="0"/>
        <v>68616751</v>
      </c>
      <c r="V61" s="819">
        <v>8591442</v>
      </c>
    </row>
    <row r="62" spans="1:22" x14ac:dyDescent="0.25">
      <c r="A62" s="820">
        <v>23000</v>
      </c>
      <c r="B62" s="810" t="s">
        <v>843</v>
      </c>
      <c r="C62" s="821">
        <v>1.2251E-3</v>
      </c>
      <c r="D62" s="821">
        <v>1.2597000000000001E-3</v>
      </c>
      <c r="E62" s="819">
        <v>12197205</v>
      </c>
      <c r="F62" s="819">
        <f>VLOOKUP(A62,'TSERS Contributions FY 2018'!A:C,3)</f>
        <v>2057658</v>
      </c>
      <c r="G62" s="822"/>
      <c r="H62" s="819">
        <v>890160</v>
      </c>
      <c r="I62" s="819">
        <v>1162396</v>
      </c>
      <c r="J62" s="819">
        <v>2447665</v>
      </c>
      <c r="K62" s="819">
        <v>317919</v>
      </c>
      <c r="L62" s="822"/>
      <c r="M62" s="819">
        <v>122407</v>
      </c>
      <c r="N62" s="826"/>
      <c r="O62" s="819">
        <v>0</v>
      </c>
      <c r="P62" s="819">
        <v>67660</v>
      </c>
      <c r="Q62" s="822"/>
      <c r="R62" s="819">
        <v>2793659</v>
      </c>
      <c r="S62" s="819">
        <v>284395</v>
      </c>
      <c r="T62" s="819">
        <v>3078054</v>
      </c>
      <c r="U62" s="819">
        <f t="shared" si="0"/>
        <v>23262136</v>
      </c>
      <c r="V62" s="819">
        <v>2912631</v>
      </c>
    </row>
    <row r="63" spans="1:22" x14ac:dyDescent="0.25">
      <c r="A63" s="820">
        <v>23100</v>
      </c>
      <c r="B63" s="810" t="s">
        <v>844</v>
      </c>
      <c r="C63" s="821">
        <v>7.1481000000000001E-3</v>
      </c>
      <c r="D63" s="821">
        <v>7.0204000000000004E-3</v>
      </c>
      <c r="E63" s="819">
        <v>71167120</v>
      </c>
      <c r="F63" s="819">
        <f>VLOOKUP(A63,'TSERS Contributions FY 2018'!A:C,3)</f>
        <v>12308972</v>
      </c>
      <c r="G63" s="822"/>
      <c r="H63" s="819">
        <v>5193824</v>
      </c>
      <c r="I63" s="819">
        <v>6782239</v>
      </c>
      <c r="J63" s="819">
        <v>14281411</v>
      </c>
      <c r="K63" s="819">
        <v>2847453</v>
      </c>
      <c r="L63" s="822"/>
      <c r="M63" s="819">
        <v>714210</v>
      </c>
      <c r="N63" s="826"/>
      <c r="O63" s="819">
        <v>0</v>
      </c>
      <c r="P63" s="819">
        <v>0</v>
      </c>
      <c r="Q63" s="822"/>
      <c r="R63" s="819">
        <v>16300184</v>
      </c>
      <c r="S63" s="819">
        <v>1497169</v>
      </c>
      <c r="T63" s="819">
        <v>17797353</v>
      </c>
      <c r="U63" s="819">
        <f t="shared" si="0"/>
        <v>135727758</v>
      </c>
      <c r="V63" s="819">
        <v>16994350</v>
      </c>
    </row>
    <row r="64" spans="1:22" x14ac:dyDescent="0.25">
      <c r="A64" s="820">
        <v>23200</v>
      </c>
      <c r="B64" s="810" t="s">
        <v>845</v>
      </c>
      <c r="C64" s="821">
        <v>3.8917000000000001E-3</v>
      </c>
      <c r="D64" s="821">
        <v>3.7309999999999999E-3</v>
      </c>
      <c r="E64" s="819">
        <v>38746112</v>
      </c>
      <c r="F64" s="819">
        <f>VLOOKUP(A64,'TSERS Contributions FY 2018'!A:C,3)</f>
        <v>6706516</v>
      </c>
      <c r="G64" s="822"/>
      <c r="H64" s="819">
        <v>2827717</v>
      </c>
      <c r="I64" s="819">
        <v>3692511</v>
      </c>
      <c r="J64" s="819">
        <v>7775348</v>
      </c>
      <c r="K64" s="819">
        <v>1462133</v>
      </c>
      <c r="L64" s="822"/>
      <c r="M64" s="819">
        <v>388843</v>
      </c>
      <c r="N64" s="826"/>
      <c r="O64" s="819">
        <v>0</v>
      </c>
      <c r="P64" s="819">
        <v>2296</v>
      </c>
      <c r="Q64" s="822"/>
      <c r="R64" s="819">
        <v>8874446</v>
      </c>
      <c r="S64" s="819">
        <v>443686</v>
      </c>
      <c r="T64" s="819">
        <v>9318132</v>
      </c>
      <c r="U64" s="819">
        <f t="shared" si="0"/>
        <v>73895401</v>
      </c>
      <c r="V64" s="819">
        <v>9252377</v>
      </c>
    </row>
    <row r="65" spans="1:22" x14ac:dyDescent="0.25">
      <c r="A65" s="820">
        <v>30000</v>
      </c>
      <c r="B65" s="810" t="s">
        <v>846</v>
      </c>
      <c r="C65" s="821">
        <v>9.5419999999999999E-4</v>
      </c>
      <c r="D65" s="821">
        <v>9.992E-4</v>
      </c>
      <c r="E65" s="819">
        <v>9500100</v>
      </c>
      <c r="F65" s="819">
        <f>VLOOKUP(A65,'TSERS Contributions FY 2018'!A:C,3)</f>
        <v>1486882</v>
      </c>
      <c r="G65" s="822"/>
      <c r="H65" s="819">
        <v>693324</v>
      </c>
      <c r="I65" s="819">
        <v>905361</v>
      </c>
      <c r="J65" s="819">
        <v>1906426</v>
      </c>
      <c r="K65" s="819">
        <v>0</v>
      </c>
      <c r="L65" s="822"/>
      <c r="M65" s="819">
        <v>95340</v>
      </c>
      <c r="N65" s="826"/>
      <c r="O65" s="819">
        <v>0</v>
      </c>
      <c r="P65" s="819">
        <v>298109</v>
      </c>
      <c r="Q65" s="822"/>
      <c r="R65" s="819">
        <v>2175912</v>
      </c>
      <c r="S65" s="819">
        <v>-169473</v>
      </c>
      <c r="T65" s="819">
        <v>2006439</v>
      </c>
      <c r="U65" s="819">
        <f t="shared" si="0"/>
        <v>18118301</v>
      </c>
      <c r="V65" s="819">
        <v>2268576</v>
      </c>
    </row>
    <row r="66" spans="1:22" x14ac:dyDescent="0.25">
      <c r="A66" s="820">
        <v>30100</v>
      </c>
      <c r="B66" s="810" t="s">
        <v>847</v>
      </c>
      <c r="C66" s="821">
        <v>8.3894999999999994E-3</v>
      </c>
      <c r="D66" s="821">
        <v>8.5126999999999998E-3</v>
      </c>
      <c r="E66" s="819">
        <v>83526609</v>
      </c>
      <c r="F66" s="819">
        <f>VLOOKUP(A66,'TSERS Contributions FY 2018'!A:C,3)</f>
        <v>12601792</v>
      </c>
      <c r="G66" s="822"/>
      <c r="H66" s="819">
        <v>6095827</v>
      </c>
      <c r="I66" s="819">
        <v>7960100</v>
      </c>
      <c r="J66" s="819">
        <v>16761642</v>
      </c>
      <c r="K66" s="819">
        <v>134412</v>
      </c>
      <c r="L66" s="822"/>
      <c r="M66" s="819">
        <v>838245</v>
      </c>
      <c r="N66" s="826"/>
      <c r="O66" s="819">
        <v>0</v>
      </c>
      <c r="P66" s="819">
        <v>2265064</v>
      </c>
      <c r="Q66" s="822"/>
      <c r="R66" s="819">
        <v>19131013</v>
      </c>
      <c r="S66" s="819">
        <v>-1121168</v>
      </c>
      <c r="T66" s="819">
        <v>18009845</v>
      </c>
      <c r="U66" s="819">
        <f t="shared" si="0"/>
        <v>159299398</v>
      </c>
      <c r="V66" s="819">
        <v>19945734</v>
      </c>
    </row>
    <row r="67" spans="1:22" x14ac:dyDescent="0.25">
      <c r="A67" s="820">
        <v>30102</v>
      </c>
      <c r="B67" s="810" t="s">
        <v>848</v>
      </c>
      <c r="C67" s="821">
        <v>1.7039999999999999E-4</v>
      </c>
      <c r="D67" s="821">
        <v>1.6190000000000001E-4</v>
      </c>
      <c r="E67" s="819">
        <v>1696518</v>
      </c>
      <c r="F67" s="819">
        <f>VLOOKUP(A67,'TSERS Contributions FY 2018'!A:C,3)</f>
        <v>231394</v>
      </c>
      <c r="G67" s="822"/>
      <c r="H67" s="819">
        <v>123813</v>
      </c>
      <c r="I67" s="819">
        <v>161678</v>
      </c>
      <c r="J67" s="819">
        <v>340447</v>
      </c>
      <c r="K67" s="819">
        <v>37420</v>
      </c>
      <c r="L67" s="822"/>
      <c r="M67" s="819">
        <v>17026</v>
      </c>
      <c r="N67" s="826"/>
      <c r="O67" s="819">
        <v>0</v>
      </c>
      <c r="P67" s="819">
        <v>8965</v>
      </c>
      <c r="Q67" s="822"/>
      <c r="R67" s="819">
        <v>388572</v>
      </c>
      <c r="S67" s="819">
        <v>32892</v>
      </c>
      <c r="T67" s="819">
        <v>421464</v>
      </c>
      <c r="U67" s="819">
        <f t="shared" si="0"/>
        <v>3235547</v>
      </c>
      <c r="V67" s="819">
        <v>405120</v>
      </c>
    </row>
    <row r="68" spans="1:22" x14ac:dyDescent="0.25">
      <c r="A68" s="820">
        <v>30103</v>
      </c>
      <c r="B68" s="810" t="s">
        <v>849</v>
      </c>
      <c r="C68" s="821">
        <v>2.2169999999999999E-4</v>
      </c>
      <c r="D68" s="821">
        <v>2.0809999999999999E-4</v>
      </c>
      <c r="E68" s="819">
        <v>2207265</v>
      </c>
      <c r="F68" s="819">
        <f>VLOOKUP(A68,'TSERS Contributions FY 2018'!A:C,3)</f>
        <v>300250</v>
      </c>
      <c r="G68" s="822"/>
      <c r="H68" s="819">
        <v>161088</v>
      </c>
      <c r="I68" s="819">
        <v>210353</v>
      </c>
      <c r="J68" s="819">
        <v>442941</v>
      </c>
      <c r="K68" s="819">
        <v>63480</v>
      </c>
      <c r="L68" s="822"/>
      <c r="M68" s="819">
        <v>22151</v>
      </c>
      <c r="N68" s="826"/>
      <c r="O68" s="819">
        <v>0</v>
      </c>
      <c r="P68" s="819">
        <v>9627</v>
      </c>
      <c r="Q68" s="822"/>
      <c r="R68" s="819">
        <v>505554</v>
      </c>
      <c r="S68" s="819">
        <v>43592</v>
      </c>
      <c r="T68" s="819">
        <v>549146</v>
      </c>
      <c r="U68" s="819">
        <f t="shared" si="0"/>
        <v>4209628</v>
      </c>
      <c r="V68" s="819">
        <v>527084</v>
      </c>
    </row>
    <row r="69" spans="1:22" x14ac:dyDescent="0.25">
      <c r="A69" s="820">
        <v>30104</v>
      </c>
      <c r="B69" s="810" t="s">
        <v>850</v>
      </c>
      <c r="C69" s="821">
        <v>1.3410000000000001E-4</v>
      </c>
      <c r="D69" s="821">
        <v>1.2990000000000001E-4</v>
      </c>
      <c r="E69" s="819">
        <v>1335112</v>
      </c>
      <c r="F69" s="819">
        <f>VLOOKUP(A69,'TSERS Contributions FY 2018'!A:C,3)</f>
        <v>156217</v>
      </c>
      <c r="G69" s="822"/>
      <c r="H69" s="819">
        <v>97437</v>
      </c>
      <c r="I69" s="819">
        <v>127236</v>
      </c>
      <c r="J69" s="819">
        <v>267923</v>
      </c>
      <c r="K69" s="819">
        <v>66220</v>
      </c>
      <c r="L69" s="822"/>
      <c r="M69" s="819">
        <v>13399</v>
      </c>
      <c r="N69" s="826"/>
      <c r="O69" s="819">
        <v>0</v>
      </c>
      <c r="P69" s="819">
        <v>25053</v>
      </c>
      <c r="Q69" s="822"/>
      <c r="R69" s="819">
        <v>305795</v>
      </c>
      <c r="S69" s="819">
        <v>55665</v>
      </c>
      <c r="T69" s="819">
        <v>361460</v>
      </c>
      <c r="U69" s="819">
        <f t="shared" si="0"/>
        <v>2546284</v>
      </c>
      <c r="V69" s="819">
        <v>318818</v>
      </c>
    </row>
    <row r="70" spans="1:22" x14ac:dyDescent="0.25">
      <c r="A70" s="820">
        <v>30105</v>
      </c>
      <c r="B70" s="810" t="s">
        <v>851</v>
      </c>
      <c r="C70" s="821">
        <v>9.4039999999999998E-4</v>
      </c>
      <c r="D70" s="821">
        <v>9.2610000000000001E-4</v>
      </c>
      <c r="E70" s="819">
        <v>9362706</v>
      </c>
      <c r="F70" s="819">
        <f>VLOOKUP(A70,'TSERS Contributions FY 2018'!A:C,3)</f>
        <v>1511208</v>
      </c>
      <c r="G70" s="822"/>
      <c r="H70" s="819">
        <v>683297</v>
      </c>
      <c r="I70" s="819">
        <v>892268</v>
      </c>
      <c r="J70" s="819">
        <v>1878854</v>
      </c>
      <c r="K70" s="819">
        <v>350607</v>
      </c>
      <c r="L70" s="822"/>
      <c r="M70" s="819">
        <v>93961</v>
      </c>
      <c r="N70" s="826"/>
      <c r="O70" s="819">
        <v>0</v>
      </c>
      <c r="P70" s="819">
        <v>0</v>
      </c>
      <c r="Q70" s="822"/>
      <c r="R70" s="819">
        <v>2144443</v>
      </c>
      <c r="S70" s="819">
        <v>214804</v>
      </c>
      <c r="T70" s="819">
        <v>2359247</v>
      </c>
      <c r="U70" s="819">
        <f t="shared" ref="U70:U133" si="2">C70*18987949000</f>
        <v>17856267</v>
      </c>
      <c r="V70" s="819">
        <v>2235767</v>
      </c>
    </row>
    <row r="71" spans="1:22" x14ac:dyDescent="0.25">
      <c r="A71" s="820">
        <v>30200</v>
      </c>
      <c r="B71" s="810" t="s">
        <v>852</v>
      </c>
      <c r="C71" s="821">
        <v>1.949E-3</v>
      </c>
      <c r="D71" s="821">
        <v>1.9530999999999999E-3</v>
      </c>
      <c r="E71" s="819">
        <v>19404417</v>
      </c>
      <c r="F71" s="819">
        <f>VLOOKUP(A71,'TSERS Contributions FY 2018'!A:C,3)</f>
        <v>3032922</v>
      </c>
      <c r="G71" s="822"/>
      <c r="H71" s="819">
        <v>1416147</v>
      </c>
      <c r="I71" s="819">
        <v>1849244</v>
      </c>
      <c r="J71" s="819">
        <v>3893968</v>
      </c>
      <c r="K71" s="819">
        <v>0</v>
      </c>
      <c r="L71" s="822"/>
      <c r="M71" s="819">
        <v>194736</v>
      </c>
      <c r="N71" s="826"/>
      <c r="O71" s="819">
        <v>0</v>
      </c>
      <c r="P71" s="819">
        <v>250438</v>
      </c>
      <c r="Q71" s="822"/>
      <c r="R71" s="819">
        <v>4444406</v>
      </c>
      <c r="S71" s="819">
        <v>-223409</v>
      </c>
      <c r="T71" s="819">
        <v>4220997</v>
      </c>
      <c r="U71" s="819">
        <f t="shared" si="2"/>
        <v>37007513</v>
      </c>
      <c r="V71" s="819">
        <v>4633677</v>
      </c>
    </row>
    <row r="72" spans="1:22" x14ac:dyDescent="0.25">
      <c r="A72" s="820">
        <v>30300</v>
      </c>
      <c r="B72" s="810" t="s">
        <v>853</v>
      </c>
      <c r="C72" s="821">
        <v>6.3259999999999998E-4</v>
      </c>
      <c r="D72" s="821">
        <v>6.3279999999999999E-4</v>
      </c>
      <c r="E72" s="819">
        <v>6298222</v>
      </c>
      <c r="F72" s="819">
        <f>VLOOKUP(A72,'TSERS Contributions FY 2018'!A:C,3)</f>
        <v>992451</v>
      </c>
      <c r="G72" s="822"/>
      <c r="H72" s="819">
        <v>459648</v>
      </c>
      <c r="I72" s="819">
        <v>600222</v>
      </c>
      <c r="J72" s="819">
        <v>1263891</v>
      </c>
      <c r="K72" s="819">
        <v>1778</v>
      </c>
      <c r="L72" s="822"/>
      <c r="M72" s="819">
        <v>63207</v>
      </c>
      <c r="N72" s="826"/>
      <c r="O72" s="819">
        <v>0</v>
      </c>
      <c r="P72" s="819">
        <v>132028</v>
      </c>
      <c r="Q72" s="822"/>
      <c r="R72" s="819">
        <v>1442551</v>
      </c>
      <c r="S72" s="819">
        <v>-70366</v>
      </c>
      <c r="T72" s="819">
        <v>1372185</v>
      </c>
      <c r="U72" s="819">
        <f t="shared" si="2"/>
        <v>12011777</v>
      </c>
      <c r="V72" s="819">
        <v>1503984</v>
      </c>
    </row>
    <row r="73" spans="1:22" x14ac:dyDescent="0.25">
      <c r="A73" s="820">
        <v>30400</v>
      </c>
      <c r="B73" s="810" t="s">
        <v>854</v>
      </c>
      <c r="C73" s="821">
        <v>1.1585E-3</v>
      </c>
      <c r="D73" s="821">
        <v>1.2143E-3</v>
      </c>
      <c r="E73" s="819">
        <v>11534129</v>
      </c>
      <c r="F73" s="819">
        <f>VLOOKUP(A73,'TSERS Contributions FY 2018'!A:C,3)</f>
        <v>1793474</v>
      </c>
      <c r="G73" s="822"/>
      <c r="H73" s="819">
        <v>841768</v>
      </c>
      <c r="I73" s="819">
        <v>1099204</v>
      </c>
      <c r="J73" s="819">
        <v>2314603</v>
      </c>
      <c r="K73" s="819">
        <v>43773</v>
      </c>
      <c r="L73" s="822"/>
      <c r="M73" s="819">
        <v>115753</v>
      </c>
      <c r="N73" s="826"/>
      <c r="O73" s="819">
        <v>0</v>
      </c>
      <c r="P73" s="819">
        <v>402554</v>
      </c>
      <c r="Q73" s="822"/>
      <c r="R73" s="819">
        <v>2641788</v>
      </c>
      <c r="S73" s="819">
        <v>-154817</v>
      </c>
      <c r="T73" s="819">
        <v>2486971</v>
      </c>
      <c r="U73" s="819">
        <f t="shared" si="2"/>
        <v>21997539</v>
      </c>
      <c r="V73" s="819">
        <v>2754292</v>
      </c>
    </row>
    <row r="74" spans="1:22" x14ac:dyDescent="0.25">
      <c r="A74" s="820">
        <v>30405</v>
      </c>
      <c r="B74" s="810" t="s">
        <v>855</v>
      </c>
      <c r="C74" s="821">
        <v>7.674E-4</v>
      </c>
      <c r="D74" s="821">
        <v>8.4159999999999997E-4</v>
      </c>
      <c r="E74" s="819">
        <v>7640303</v>
      </c>
      <c r="F74" s="819">
        <f>VLOOKUP(A74,'TSERS Contributions FY 2018'!A:C,3)</f>
        <v>1170378</v>
      </c>
      <c r="G74" s="822"/>
      <c r="H74" s="819">
        <v>557594</v>
      </c>
      <c r="I74" s="819">
        <v>728122</v>
      </c>
      <c r="J74" s="819">
        <v>1533212</v>
      </c>
      <c r="K74" s="819">
        <v>72344</v>
      </c>
      <c r="L74" s="822"/>
      <c r="M74" s="819">
        <v>76676</v>
      </c>
      <c r="N74" s="826"/>
      <c r="O74" s="819">
        <v>0</v>
      </c>
      <c r="P74" s="819">
        <v>355627</v>
      </c>
      <c r="Q74" s="822"/>
      <c r="R74" s="819">
        <v>1749942</v>
      </c>
      <c r="S74" s="819">
        <v>26690</v>
      </c>
      <c r="T74" s="819">
        <v>1776632</v>
      </c>
      <c r="U74" s="819">
        <f t="shared" si="2"/>
        <v>14571352</v>
      </c>
      <c r="V74" s="819">
        <v>1824466</v>
      </c>
    </row>
    <row r="75" spans="1:22" x14ac:dyDescent="0.25">
      <c r="A75" s="820">
        <v>30500</v>
      </c>
      <c r="B75" s="810" t="s">
        <v>856</v>
      </c>
      <c r="C75" s="821">
        <v>1.2714E-3</v>
      </c>
      <c r="D75" s="821">
        <v>1.2786E-3</v>
      </c>
      <c r="E75" s="819">
        <v>12658172</v>
      </c>
      <c r="F75" s="819">
        <f>VLOOKUP(A75,'TSERS Contributions FY 2018'!A:C,3)</f>
        <v>1988742</v>
      </c>
      <c r="G75" s="822"/>
      <c r="H75" s="819">
        <v>923802</v>
      </c>
      <c r="I75" s="819">
        <v>1206326</v>
      </c>
      <c r="J75" s="819">
        <v>2540169</v>
      </c>
      <c r="K75" s="819">
        <v>9113</v>
      </c>
      <c r="L75" s="822"/>
      <c r="M75" s="819">
        <v>127033</v>
      </c>
      <c r="N75" s="826"/>
      <c r="O75" s="819">
        <v>0</v>
      </c>
      <c r="P75" s="819">
        <v>182229</v>
      </c>
      <c r="Q75" s="822"/>
      <c r="R75" s="819">
        <v>2899240</v>
      </c>
      <c r="S75" s="819">
        <v>-110330</v>
      </c>
      <c r="T75" s="819">
        <v>2788910</v>
      </c>
      <c r="U75" s="819">
        <f t="shared" si="2"/>
        <v>24141278</v>
      </c>
      <c r="V75" s="819">
        <v>3022708</v>
      </c>
    </row>
    <row r="76" spans="1:22" x14ac:dyDescent="0.25">
      <c r="A76" s="820">
        <v>30600</v>
      </c>
      <c r="B76" s="810" t="s">
        <v>857</v>
      </c>
      <c r="C76" s="821">
        <v>9.6159999999999995E-4</v>
      </c>
      <c r="D76" s="821">
        <v>9.8780000000000005E-4</v>
      </c>
      <c r="E76" s="819">
        <v>9573775</v>
      </c>
      <c r="F76" s="819">
        <f>VLOOKUP(A76,'TSERS Contributions FY 2018'!A:C,3)</f>
        <v>1502557</v>
      </c>
      <c r="G76" s="822"/>
      <c r="H76" s="819">
        <v>698700</v>
      </c>
      <c r="I76" s="819">
        <v>912382</v>
      </c>
      <c r="J76" s="819">
        <v>1921210</v>
      </c>
      <c r="K76" s="819">
        <v>8317</v>
      </c>
      <c r="L76" s="822"/>
      <c r="M76" s="819">
        <v>96079</v>
      </c>
      <c r="N76" s="826"/>
      <c r="O76" s="819">
        <v>0</v>
      </c>
      <c r="P76" s="819">
        <v>234327</v>
      </c>
      <c r="Q76" s="822"/>
      <c r="R76" s="819">
        <v>2192786</v>
      </c>
      <c r="S76" s="819">
        <v>-79422</v>
      </c>
      <c r="T76" s="819">
        <v>2113364</v>
      </c>
      <c r="U76" s="819">
        <f t="shared" si="2"/>
        <v>18258812</v>
      </c>
      <c r="V76" s="819">
        <v>2286169</v>
      </c>
    </row>
    <row r="77" spans="1:22" x14ac:dyDescent="0.25">
      <c r="A77" s="820">
        <v>30601</v>
      </c>
      <c r="B77" s="810" t="s">
        <v>858</v>
      </c>
      <c r="C77" s="821">
        <v>2.3099999999999999E-5</v>
      </c>
      <c r="D77" s="821">
        <v>2.1800000000000001E-5</v>
      </c>
      <c r="E77" s="819">
        <v>229986</v>
      </c>
      <c r="F77" s="819">
        <f>VLOOKUP(A77,'TSERS Contributions FY 2018'!A:C,3)</f>
        <v>33484</v>
      </c>
      <c r="G77" s="822"/>
      <c r="H77" s="819">
        <v>16785</v>
      </c>
      <c r="I77" s="819">
        <v>21918</v>
      </c>
      <c r="J77" s="819">
        <v>46152</v>
      </c>
      <c r="K77" s="819">
        <v>5363</v>
      </c>
      <c r="L77" s="822"/>
      <c r="M77" s="819">
        <v>2308</v>
      </c>
      <c r="N77" s="826"/>
      <c r="O77" s="819">
        <v>0</v>
      </c>
      <c r="P77" s="819">
        <v>7369</v>
      </c>
      <c r="Q77" s="822"/>
      <c r="R77" s="819">
        <v>52676</v>
      </c>
      <c r="S77" s="819">
        <v>195</v>
      </c>
      <c r="T77" s="819">
        <v>52871</v>
      </c>
      <c r="U77" s="819">
        <f t="shared" si="2"/>
        <v>438622</v>
      </c>
      <c r="V77" s="819">
        <v>54919</v>
      </c>
    </row>
    <row r="78" spans="1:22" x14ac:dyDescent="0.25">
      <c r="A78" s="820">
        <v>30700</v>
      </c>
      <c r="B78" s="810" t="s">
        <v>859</v>
      </c>
      <c r="C78" s="821">
        <v>2.5178000000000002E-3</v>
      </c>
      <c r="D78" s="821">
        <v>2.5628000000000001E-3</v>
      </c>
      <c r="E78" s="819">
        <v>25067441</v>
      </c>
      <c r="F78" s="819">
        <f>VLOOKUP(A78,'TSERS Contributions FY 2018'!A:C,3)</f>
        <v>4004376</v>
      </c>
      <c r="G78" s="822"/>
      <c r="H78" s="819">
        <v>1829439</v>
      </c>
      <c r="I78" s="819">
        <v>2388931</v>
      </c>
      <c r="J78" s="819">
        <v>5030391</v>
      </c>
      <c r="K78" s="819">
        <v>33158</v>
      </c>
      <c r="L78" s="822"/>
      <c r="M78" s="819">
        <v>251569</v>
      </c>
      <c r="N78" s="826"/>
      <c r="O78" s="819">
        <v>0</v>
      </c>
      <c r="P78" s="819">
        <v>324871</v>
      </c>
      <c r="Q78" s="822"/>
      <c r="R78" s="819">
        <v>5741470</v>
      </c>
      <c r="S78" s="819">
        <v>-63124</v>
      </c>
      <c r="T78" s="819">
        <v>5678346</v>
      </c>
      <c r="U78" s="819">
        <f t="shared" si="2"/>
        <v>47807858</v>
      </c>
      <c r="V78" s="819">
        <v>5985979</v>
      </c>
    </row>
    <row r="79" spans="1:22" x14ac:dyDescent="0.25">
      <c r="A79" s="820">
        <v>30705</v>
      </c>
      <c r="B79" s="810" t="s">
        <v>860</v>
      </c>
      <c r="C79" s="821">
        <v>4.772E-4</v>
      </c>
      <c r="D79" s="821">
        <v>4.9339999999999996E-4</v>
      </c>
      <c r="E79" s="819">
        <v>4751046</v>
      </c>
      <c r="F79" s="819">
        <f>VLOOKUP(A79,'TSERS Contributions FY 2018'!A:C,3)</f>
        <v>756864</v>
      </c>
      <c r="G79" s="822"/>
      <c r="H79" s="819">
        <v>346734</v>
      </c>
      <c r="I79" s="819">
        <v>452775</v>
      </c>
      <c r="J79" s="819">
        <v>953413</v>
      </c>
      <c r="K79" s="819">
        <v>64482</v>
      </c>
      <c r="L79" s="822"/>
      <c r="M79" s="819">
        <v>47680</v>
      </c>
      <c r="N79" s="826"/>
      <c r="O79" s="819">
        <v>0</v>
      </c>
      <c r="P79" s="819">
        <v>171075</v>
      </c>
      <c r="Q79" s="822"/>
      <c r="R79" s="819">
        <v>1088184</v>
      </c>
      <c r="S79" s="819">
        <v>-1176</v>
      </c>
      <c r="T79" s="819">
        <v>1087008</v>
      </c>
      <c r="U79" s="819">
        <f t="shared" si="2"/>
        <v>9061049</v>
      </c>
      <c r="V79" s="819">
        <v>1134526</v>
      </c>
    </row>
    <row r="80" spans="1:22" x14ac:dyDescent="0.25">
      <c r="A80" s="820">
        <v>30800</v>
      </c>
      <c r="B80" s="810" t="s">
        <v>861</v>
      </c>
      <c r="C80" s="821">
        <v>8.4789999999999996E-4</v>
      </c>
      <c r="D80" s="821">
        <v>9.6900000000000003E-4</v>
      </c>
      <c r="E80" s="819">
        <v>8441768</v>
      </c>
      <c r="F80" s="819">
        <f>VLOOKUP(A80,'TSERS Contributions FY 2018'!A:C,3)</f>
        <v>1436453</v>
      </c>
      <c r="G80" s="822"/>
      <c r="H80" s="819">
        <v>616086</v>
      </c>
      <c r="I80" s="819">
        <v>804502</v>
      </c>
      <c r="J80" s="819">
        <v>1694046</v>
      </c>
      <c r="K80" s="819">
        <v>0</v>
      </c>
      <c r="L80" s="822"/>
      <c r="M80" s="819">
        <v>84719</v>
      </c>
      <c r="N80" s="826"/>
      <c r="O80" s="819">
        <v>0</v>
      </c>
      <c r="P80" s="819">
        <v>741933</v>
      </c>
      <c r="Q80" s="822"/>
      <c r="R80" s="819">
        <v>1933510</v>
      </c>
      <c r="S80" s="819">
        <v>-271466</v>
      </c>
      <c r="T80" s="819">
        <v>1662044</v>
      </c>
      <c r="U80" s="819">
        <f t="shared" si="2"/>
        <v>16099882</v>
      </c>
      <c r="V80" s="819">
        <v>2015852</v>
      </c>
    </row>
    <row r="81" spans="1:22" x14ac:dyDescent="0.25">
      <c r="A81" s="820">
        <v>30900</v>
      </c>
      <c r="B81" s="810" t="s">
        <v>862</v>
      </c>
      <c r="C81" s="821">
        <v>1.6498000000000001E-3</v>
      </c>
      <c r="D81" s="821">
        <v>1.6904999999999999E-3</v>
      </c>
      <c r="E81" s="819">
        <v>16425556</v>
      </c>
      <c r="F81" s="819">
        <f>VLOOKUP(A81,'TSERS Contributions FY 2018'!A:C,3)</f>
        <v>2743958</v>
      </c>
      <c r="G81" s="822"/>
      <c r="H81" s="819">
        <v>1198748</v>
      </c>
      <c r="I81" s="819">
        <v>1565358</v>
      </c>
      <c r="J81" s="819">
        <v>3296187</v>
      </c>
      <c r="K81" s="819">
        <v>0</v>
      </c>
      <c r="L81" s="822"/>
      <c r="M81" s="819">
        <v>164841</v>
      </c>
      <c r="N81" s="826"/>
      <c r="O81" s="819">
        <v>0</v>
      </c>
      <c r="P81" s="819">
        <v>221462</v>
      </c>
      <c r="Q81" s="822"/>
      <c r="R81" s="819">
        <v>3762125</v>
      </c>
      <c r="S81" s="819">
        <v>-173832</v>
      </c>
      <c r="T81" s="819">
        <v>3588293</v>
      </c>
      <c r="U81" s="819">
        <f t="shared" si="2"/>
        <v>31326318</v>
      </c>
      <c r="V81" s="819">
        <v>3922340</v>
      </c>
    </row>
    <row r="82" spans="1:22" x14ac:dyDescent="0.25">
      <c r="A82" s="820">
        <v>30905</v>
      </c>
      <c r="B82" s="810" t="s">
        <v>863</v>
      </c>
      <c r="C82" s="821">
        <v>3.2430000000000002E-4</v>
      </c>
      <c r="D82" s="821">
        <v>3.3399999999999999E-4</v>
      </c>
      <c r="E82" s="819">
        <v>3228760</v>
      </c>
      <c r="F82" s="819">
        <f>VLOOKUP(A82,'TSERS Contributions FY 2018'!A:C,3)</f>
        <v>640966</v>
      </c>
      <c r="G82" s="822"/>
      <c r="H82" s="819">
        <v>235637</v>
      </c>
      <c r="I82" s="819">
        <v>307701</v>
      </c>
      <c r="J82" s="819">
        <v>647929</v>
      </c>
      <c r="K82" s="819">
        <v>63416</v>
      </c>
      <c r="L82" s="822"/>
      <c r="M82" s="819">
        <v>32403</v>
      </c>
      <c r="N82" s="826"/>
      <c r="O82" s="819">
        <v>0</v>
      </c>
      <c r="P82" s="819">
        <v>26898</v>
      </c>
      <c r="Q82" s="822"/>
      <c r="R82" s="819">
        <v>739518</v>
      </c>
      <c r="S82" s="819">
        <v>-8413</v>
      </c>
      <c r="T82" s="819">
        <v>731105</v>
      </c>
      <c r="U82" s="819">
        <f t="shared" si="2"/>
        <v>6157792</v>
      </c>
      <c r="V82" s="819">
        <v>771012</v>
      </c>
    </row>
    <row r="83" spans="1:22" x14ac:dyDescent="0.25">
      <c r="A83" s="820">
        <v>31000</v>
      </c>
      <c r="B83" s="810" t="s">
        <v>864</v>
      </c>
      <c r="C83" s="821">
        <v>4.8752999999999999E-3</v>
      </c>
      <c r="D83" s="821">
        <v>4.8123999999999997E-3</v>
      </c>
      <c r="E83" s="819">
        <v>48538921</v>
      </c>
      <c r="F83" s="819">
        <f>VLOOKUP(A83,'TSERS Contributions FY 2018'!A:C,3)</f>
        <v>7635492</v>
      </c>
      <c r="G83" s="822"/>
      <c r="H83" s="819">
        <v>3542403</v>
      </c>
      <c r="I83" s="819">
        <v>4625768</v>
      </c>
      <c r="J83" s="819">
        <v>9740513</v>
      </c>
      <c r="K83" s="819">
        <v>217069</v>
      </c>
      <c r="L83" s="822"/>
      <c r="M83" s="819">
        <v>487120</v>
      </c>
      <c r="N83" s="826"/>
      <c r="O83" s="819">
        <v>0</v>
      </c>
      <c r="P83" s="819">
        <v>96967</v>
      </c>
      <c r="Q83" s="822"/>
      <c r="R83" s="819">
        <v>11117400</v>
      </c>
      <c r="S83" s="819">
        <v>213659</v>
      </c>
      <c r="T83" s="819">
        <v>11331059</v>
      </c>
      <c r="U83" s="819">
        <f t="shared" si="2"/>
        <v>92571948</v>
      </c>
      <c r="V83" s="819">
        <v>11590850</v>
      </c>
    </row>
    <row r="84" spans="1:22" x14ac:dyDescent="0.25">
      <c r="A84" s="820">
        <v>31005</v>
      </c>
      <c r="B84" s="810" t="s">
        <v>865</v>
      </c>
      <c r="C84" s="821">
        <v>4.4329999999999999E-4</v>
      </c>
      <c r="D84" s="821">
        <v>4.6690000000000002E-4</v>
      </c>
      <c r="E84" s="819">
        <v>4413534</v>
      </c>
      <c r="F84" s="819">
        <f>VLOOKUP(A84,'TSERS Contributions FY 2018'!A:C,3)</f>
        <v>818472</v>
      </c>
      <c r="G84" s="822"/>
      <c r="H84" s="819">
        <v>322103</v>
      </c>
      <c r="I84" s="819">
        <v>420611</v>
      </c>
      <c r="J84" s="819">
        <v>885683</v>
      </c>
      <c r="K84" s="819">
        <v>60712</v>
      </c>
      <c r="L84" s="822"/>
      <c r="M84" s="819">
        <v>44293</v>
      </c>
      <c r="N84" s="826"/>
      <c r="O84" s="819">
        <v>0</v>
      </c>
      <c r="P84" s="819">
        <v>16372</v>
      </c>
      <c r="Q84" s="822"/>
      <c r="R84" s="819">
        <v>1010880</v>
      </c>
      <c r="S84" s="819">
        <v>29849</v>
      </c>
      <c r="T84" s="819">
        <v>1040729</v>
      </c>
      <c r="U84" s="819">
        <f t="shared" si="2"/>
        <v>8417358</v>
      </c>
      <c r="V84" s="819">
        <v>1053930</v>
      </c>
    </row>
    <row r="85" spans="1:22" x14ac:dyDescent="0.25">
      <c r="A85" s="820">
        <v>31100</v>
      </c>
      <c r="B85" s="810" t="s">
        <v>866</v>
      </c>
      <c r="C85" s="821">
        <v>1.00693E-2</v>
      </c>
      <c r="D85" s="821">
        <v>9.9398000000000004E-3</v>
      </c>
      <c r="E85" s="819">
        <v>100250847</v>
      </c>
      <c r="F85" s="819">
        <f>VLOOKUP(A85,'TSERS Contributions FY 2018'!A:C,3)</f>
        <v>15565066</v>
      </c>
      <c r="G85" s="822"/>
      <c r="H85" s="819">
        <v>7316374</v>
      </c>
      <c r="I85" s="819">
        <v>9553923</v>
      </c>
      <c r="J85" s="819">
        <v>20117767</v>
      </c>
      <c r="K85" s="819">
        <v>201209</v>
      </c>
      <c r="L85" s="822"/>
      <c r="M85" s="819">
        <v>1006084</v>
      </c>
      <c r="N85" s="826"/>
      <c r="O85" s="819">
        <v>0</v>
      </c>
      <c r="P85" s="819">
        <v>459091</v>
      </c>
      <c r="Q85" s="822"/>
      <c r="R85" s="819">
        <v>22961548</v>
      </c>
      <c r="S85" s="819">
        <v>-334887</v>
      </c>
      <c r="T85" s="819">
        <v>22626661</v>
      </c>
      <c r="U85" s="819">
        <f t="shared" si="2"/>
        <v>191195355</v>
      </c>
      <c r="V85" s="819">
        <v>23939398</v>
      </c>
    </row>
    <row r="86" spans="1:22" x14ac:dyDescent="0.25">
      <c r="A86" s="820">
        <v>31101</v>
      </c>
      <c r="B86" s="810" t="s">
        <v>867</v>
      </c>
      <c r="C86" s="821">
        <v>6.7399999999999998E-5</v>
      </c>
      <c r="D86" s="821">
        <v>6.7999999999999999E-5</v>
      </c>
      <c r="E86" s="819">
        <v>671040</v>
      </c>
      <c r="F86" s="819">
        <f>VLOOKUP(A86,'TSERS Contributions FY 2018'!A:C,3)</f>
        <v>87619</v>
      </c>
      <c r="G86" s="822"/>
      <c r="H86" s="819">
        <v>48973</v>
      </c>
      <c r="I86" s="819">
        <v>63950</v>
      </c>
      <c r="J86" s="819">
        <v>134661</v>
      </c>
      <c r="K86" s="819">
        <v>0</v>
      </c>
      <c r="L86" s="822"/>
      <c r="M86" s="819">
        <v>6734</v>
      </c>
      <c r="N86" s="826"/>
      <c r="O86" s="819">
        <v>0</v>
      </c>
      <c r="P86" s="819">
        <v>36781</v>
      </c>
      <c r="Q86" s="822"/>
      <c r="R86" s="819">
        <v>153696</v>
      </c>
      <c r="S86" s="819">
        <v>-27350</v>
      </c>
      <c r="T86" s="819">
        <v>126346</v>
      </c>
      <c r="U86" s="819">
        <f t="shared" si="2"/>
        <v>1279788</v>
      </c>
      <c r="V86" s="819">
        <v>160241</v>
      </c>
    </row>
    <row r="87" spans="1:22" x14ac:dyDescent="0.25">
      <c r="A87" s="820">
        <v>31102</v>
      </c>
      <c r="B87" s="810" t="s">
        <v>868</v>
      </c>
      <c r="C87" s="821">
        <v>1.7249999999999999E-4</v>
      </c>
      <c r="D87" s="821">
        <v>1.628E-4</v>
      </c>
      <c r="E87" s="819">
        <v>1717425</v>
      </c>
      <c r="F87" s="819">
        <f>VLOOKUP(A87,'TSERS Contributions FY 2018'!A:C,3)</f>
        <v>231712</v>
      </c>
      <c r="G87" s="822"/>
      <c r="H87" s="819">
        <v>125339</v>
      </c>
      <c r="I87" s="819">
        <v>163671</v>
      </c>
      <c r="J87" s="819">
        <v>344643</v>
      </c>
      <c r="K87" s="819">
        <v>16303</v>
      </c>
      <c r="L87" s="822"/>
      <c r="M87" s="819">
        <v>17236</v>
      </c>
      <c r="N87" s="826"/>
      <c r="O87" s="819">
        <v>0</v>
      </c>
      <c r="P87" s="819">
        <v>18836</v>
      </c>
      <c r="Q87" s="822"/>
      <c r="R87" s="819">
        <v>393361</v>
      </c>
      <c r="S87" s="819">
        <v>-37683</v>
      </c>
      <c r="T87" s="819">
        <v>355678</v>
      </c>
      <c r="U87" s="819">
        <f t="shared" si="2"/>
        <v>3275421</v>
      </c>
      <c r="V87" s="819">
        <v>410113</v>
      </c>
    </row>
    <row r="88" spans="1:22" x14ac:dyDescent="0.25">
      <c r="A88" s="820">
        <v>31105</v>
      </c>
      <c r="B88" s="810" t="s">
        <v>869</v>
      </c>
      <c r="C88" s="821">
        <v>1.6073999999999999E-3</v>
      </c>
      <c r="D88" s="821">
        <v>1.591E-3</v>
      </c>
      <c r="E88" s="819">
        <v>16003417</v>
      </c>
      <c r="F88" s="819">
        <f>VLOOKUP(A88,'TSERS Contributions FY 2018'!A:C,3)</f>
        <v>2625605</v>
      </c>
      <c r="G88" s="822"/>
      <c r="H88" s="819">
        <v>1167940</v>
      </c>
      <c r="I88" s="819">
        <v>1525128</v>
      </c>
      <c r="J88" s="819">
        <v>3211474</v>
      </c>
      <c r="K88" s="819">
        <v>340944</v>
      </c>
      <c r="L88" s="822"/>
      <c r="M88" s="819">
        <v>160605</v>
      </c>
      <c r="N88" s="826"/>
      <c r="O88" s="819">
        <v>0</v>
      </c>
      <c r="P88" s="819">
        <v>103538</v>
      </c>
      <c r="Q88" s="822"/>
      <c r="R88" s="819">
        <v>3665438</v>
      </c>
      <c r="S88" s="819">
        <v>168975</v>
      </c>
      <c r="T88" s="819">
        <v>3834413</v>
      </c>
      <c r="U88" s="819">
        <f t="shared" si="2"/>
        <v>30521229</v>
      </c>
      <c r="V88" s="819">
        <v>3821536</v>
      </c>
    </row>
    <row r="89" spans="1:22" x14ac:dyDescent="0.25">
      <c r="A89" s="820">
        <v>31110</v>
      </c>
      <c r="B89" s="810" t="s">
        <v>870</v>
      </c>
      <c r="C89" s="821">
        <v>2.3568E-3</v>
      </c>
      <c r="D89" s="821">
        <v>2.2461E-3</v>
      </c>
      <c r="E89" s="819">
        <v>23464511</v>
      </c>
      <c r="F89" s="819">
        <f>VLOOKUP(A89,'TSERS Contributions FY 2018'!A:C,3)</f>
        <v>3521400</v>
      </c>
      <c r="G89" s="822"/>
      <c r="H89" s="819">
        <v>1712456</v>
      </c>
      <c r="I89" s="819">
        <v>2236172</v>
      </c>
      <c r="J89" s="819">
        <v>4708724</v>
      </c>
      <c r="K89" s="819">
        <v>340452</v>
      </c>
      <c r="L89" s="822"/>
      <c r="M89" s="819">
        <v>235482</v>
      </c>
      <c r="N89" s="826"/>
      <c r="O89" s="819">
        <v>0</v>
      </c>
      <c r="P89" s="819">
        <v>396058</v>
      </c>
      <c r="Q89" s="822"/>
      <c r="R89" s="819">
        <v>5374334</v>
      </c>
      <c r="S89" s="819">
        <v>-46238</v>
      </c>
      <c r="T89" s="819">
        <v>5328096</v>
      </c>
      <c r="U89" s="819">
        <f t="shared" si="2"/>
        <v>44750798</v>
      </c>
      <c r="V89" s="819">
        <v>5603207</v>
      </c>
    </row>
    <row r="90" spans="1:22" x14ac:dyDescent="0.25">
      <c r="A90" s="820">
        <v>31200</v>
      </c>
      <c r="B90" s="810" t="s">
        <v>871</v>
      </c>
      <c r="C90" s="821">
        <v>4.3593E-3</v>
      </c>
      <c r="D90" s="821">
        <v>4.4881000000000001E-3</v>
      </c>
      <c r="E90" s="819">
        <v>43401579</v>
      </c>
      <c r="F90" s="819">
        <f>VLOOKUP(A90,'TSERS Contributions FY 2018'!A:C,3)</f>
        <v>6890770</v>
      </c>
      <c r="G90" s="822"/>
      <c r="H90" s="819">
        <v>3167476</v>
      </c>
      <c r="I90" s="819">
        <v>4136178</v>
      </c>
      <c r="J90" s="819">
        <v>8709581</v>
      </c>
      <c r="K90" s="819">
        <v>0</v>
      </c>
      <c r="L90" s="822"/>
      <c r="M90" s="819">
        <v>435564</v>
      </c>
      <c r="N90" s="826"/>
      <c r="O90" s="819">
        <v>0</v>
      </c>
      <c r="P90" s="819">
        <v>1748858</v>
      </c>
      <c r="Q90" s="822"/>
      <c r="R90" s="819">
        <v>9940738</v>
      </c>
      <c r="S90" s="819">
        <v>-1131151</v>
      </c>
      <c r="T90" s="819">
        <v>8809587</v>
      </c>
      <c r="U90" s="819">
        <f t="shared" si="2"/>
        <v>82774166</v>
      </c>
      <c r="V90" s="819">
        <v>10364079</v>
      </c>
    </row>
    <row r="91" spans="1:22" x14ac:dyDescent="0.25">
      <c r="A91" s="820">
        <v>31205</v>
      </c>
      <c r="B91" s="810" t="s">
        <v>872</v>
      </c>
      <c r="C91" s="821">
        <v>5.287E-4</v>
      </c>
      <c r="D91" s="821">
        <v>5.4020000000000001E-4</v>
      </c>
      <c r="E91" s="819">
        <v>5263784</v>
      </c>
      <c r="F91" s="819">
        <f>VLOOKUP(A91,'TSERS Contributions FY 2018'!A:C,3)</f>
        <v>922754</v>
      </c>
      <c r="G91" s="822"/>
      <c r="H91" s="819">
        <v>384154</v>
      </c>
      <c r="I91" s="819">
        <v>501640</v>
      </c>
      <c r="J91" s="819">
        <v>1056306</v>
      </c>
      <c r="K91" s="819">
        <v>11527</v>
      </c>
      <c r="L91" s="822"/>
      <c r="M91" s="819">
        <v>52826</v>
      </c>
      <c r="N91" s="826"/>
      <c r="O91" s="819">
        <v>0</v>
      </c>
      <c r="P91" s="819">
        <v>152945</v>
      </c>
      <c r="Q91" s="822"/>
      <c r="R91" s="819">
        <v>1205622</v>
      </c>
      <c r="S91" s="819">
        <v>-157221</v>
      </c>
      <c r="T91" s="819">
        <v>1048401</v>
      </c>
      <c r="U91" s="819">
        <f t="shared" si="2"/>
        <v>10038929</v>
      </c>
      <c r="V91" s="819">
        <v>1256965</v>
      </c>
    </row>
    <row r="92" spans="1:22" x14ac:dyDescent="0.25">
      <c r="A92" s="820">
        <v>31300</v>
      </c>
      <c r="B92" s="810" t="s">
        <v>873</v>
      </c>
      <c r="C92" s="821">
        <v>1.2189500000000001E-2</v>
      </c>
      <c r="D92" s="821">
        <v>1.20313E-2</v>
      </c>
      <c r="E92" s="819">
        <v>121359747</v>
      </c>
      <c r="F92" s="819">
        <f>VLOOKUP(A92,'TSERS Contributions FY 2018'!A:C,3)</f>
        <v>17757021</v>
      </c>
      <c r="G92" s="822"/>
      <c r="H92" s="819">
        <v>8856915</v>
      </c>
      <c r="I92" s="819">
        <v>11565605</v>
      </c>
      <c r="J92" s="819">
        <v>24353780</v>
      </c>
      <c r="K92" s="819">
        <v>652987</v>
      </c>
      <c r="L92" s="822"/>
      <c r="M92" s="819">
        <v>1217926</v>
      </c>
      <c r="N92" s="826"/>
      <c r="O92" s="819">
        <v>0</v>
      </c>
      <c r="P92" s="819">
        <v>724831</v>
      </c>
      <c r="Q92" s="822"/>
      <c r="R92" s="819">
        <v>27796351</v>
      </c>
      <c r="S92" s="819">
        <v>57460</v>
      </c>
      <c r="T92" s="819">
        <v>27853811</v>
      </c>
      <c r="U92" s="819">
        <f t="shared" si="2"/>
        <v>231453604</v>
      </c>
      <c r="V92" s="819">
        <v>28980097</v>
      </c>
    </row>
    <row r="93" spans="1:22" x14ac:dyDescent="0.25">
      <c r="A93" s="820">
        <v>31301</v>
      </c>
      <c r="B93" s="810" t="s">
        <v>874</v>
      </c>
      <c r="C93" s="821">
        <v>2.7389999999999999E-4</v>
      </c>
      <c r="D93" s="821">
        <v>2.968E-4</v>
      </c>
      <c r="E93" s="819">
        <v>2726973</v>
      </c>
      <c r="F93" s="819">
        <f>VLOOKUP(A93,'TSERS Contributions FY 2018'!A:C,3)</f>
        <v>353672</v>
      </c>
      <c r="G93" s="822"/>
      <c r="H93" s="819">
        <v>199016</v>
      </c>
      <c r="I93" s="819">
        <v>259881</v>
      </c>
      <c r="J93" s="819">
        <v>547233</v>
      </c>
      <c r="K93" s="819">
        <v>164276</v>
      </c>
      <c r="L93" s="822"/>
      <c r="M93" s="819">
        <v>27367</v>
      </c>
      <c r="N93" s="826"/>
      <c r="O93" s="819">
        <v>0</v>
      </c>
      <c r="P93" s="819">
        <v>159669</v>
      </c>
      <c r="Q93" s="822"/>
      <c r="R93" s="819">
        <v>624588</v>
      </c>
      <c r="S93" s="819">
        <v>53899</v>
      </c>
      <c r="T93" s="819">
        <v>678487</v>
      </c>
      <c r="U93" s="819">
        <f t="shared" si="2"/>
        <v>5200799</v>
      </c>
      <c r="V93" s="819">
        <v>651187</v>
      </c>
    </row>
    <row r="94" spans="1:22" x14ac:dyDescent="0.25">
      <c r="A94" s="820">
        <v>31320</v>
      </c>
      <c r="B94" s="810" t="s">
        <v>875</v>
      </c>
      <c r="C94" s="821">
        <v>2.1432000000000001E-3</v>
      </c>
      <c r="D94" s="821">
        <v>2.1784999999999999E-3</v>
      </c>
      <c r="E94" s="819">
        <v>21337890</v>
      </c>
      <c r="F94" s="819">
        <f>VLOOKUP(A94,'TSERS Contributions FY 2018'!A:C,3)</f>
        <v>3162217</v>
      </c>
      <c r="G94" s="822"/>
      <c r="H94" s="819">
        <v>1557253</v>
      </c>
      <c r="I94" s="819">
        <v>2033505</v>
      </c>
      <c r="J94" s="819">
        <v>4281966</v>
      </c>
      <c r="K94" s="819">
        <v>0</v>
      </c>
      <c r="L94" s="822"/>
      <c r="M94" s="819">
        <v>214140</v>
      </c>
      <c r="N94" s="826"/>
      <c r="O94" s="819">
        <v>0</v>
      </c>
      <c r="P94" s="819">
        <v>661386</v>
      </c>
      <c r="Q94" s="822"/>
      <c r="R94" s="819">
        <v>4887250</v>
      </c>
      <c r="S94" s="819">
        <v>-424837</v>
      </c>
      <c r="T94" s="819">
        <v>4462413</v>
      </c>
      <c r="U94" s="819">
        <f t="shared" si="2"/>
        <v>40694972</v>
      </c>
      <c r="V94" s="819">
        <v>5095381</v>
      </c>
    </row>
    <row r="95" spans="1:22" x14ac:dyDescent="0.25">
      <c r="A95" s="820">
        <v>31400</v>
      </c>
      <c r="B95" s="810" t="s">
        <v>876</v>
      </c>
      <c r="C95" s="821">
        <v>4.5700999999999997E-3</v>
      </c>
      <c r="D95" s="821">
        <v>4.6236000000000003E-3</v>
      </c>
      <c r="E95" s="819">
        <v>45500322</v>
      </c>
      <c r="F95" s="819">
        <f>VLOOKUP(A95,'TSERS Contributions FY 2018'!A:C,3)</f>
        <v>7271182</v>
      </c>
      <c r="G95" s="822"/>
      <c r="H95" s="819">
        <v>3320644</v>
      </c>
      <c r="I95" s="819">
        <v>4336189</v>
      </c>
      <c r="J95" s="819">
        <v>9130744</v>
      </c>
      <c r="K95" s="819">
        <v>0</v>
      </c>
      <c r="L95" s="822"/>
      <c r="M95" s="819">
        <v>456626</v>
      </c>
      <c r="N95" s="826"/>
      <c r="O95" s="819">
        <v>0</v>
      </c>
      <c r="P95" s="819">
        <v>616946</v>
      </c>
      <c r="Q95" s="822"/>
      <c r="R95" s="819">
        <v>10421437</v>
      </c>
      <c r="S95" s="819">
        <v>-400554</v>
      </c>
      <c r="T95" s="819">
        <v>10020883</v>
      </c>
      <c r="U95" s="819">
        <f t="shared" si="2"/>
        <v>86776826</v>
      </c>
      <c r="V95" s="819">
        <v>10865248</v>
      </c>
    </row>
    <row r="96" spans="1:22" x14ac:dyDescent="0.25">
      <c r="A96" s="820">
        <v>31405</v>
      </c>
      <c r="B96" s="810" t="s">
        <v>877</v>
      </c>
      <c r="C96" s="821">
        <v>9.343E-4</v>
      </c>
      <c r="D96" s="821">
        <v>9.1299999999999997E-4</v>
      </c>
      <c r="E96" s="819">
        <v>9301974</v>
      </c>
      <c r="F96" s="819">
        <f>VLOOKUP(A96,'TSERS Contributions FY 2018'!A:C,3)</f>
        <v>1639692</v>
      </c>
      <c r="G96" s="822"/>
      <c r="H96" s="819">
        <v>678864</v>
      </c>
      <c r="I96" s="819">
        <v>886480</v>
      </c>
      <c r="J96" s="819">
        <v>1866667</v>
      </c>
      <c r="K96" s="819">
        <v>217952</v>
      </c>
      <c r="L96" s="822"/>
      <c r="M96" s="819">
        <v>93352</v>
      </c>
      <c r="N96" s="826"/>
      <c r="O96" s="819">
        <v>0</v>
      </c>
      <c r="P96" s="819">
        <v>42543</v>
      </c>
      <c r="Q96" s="822"/>
      <c r="R96" s="819">
        <v>2130533</v>
      </c>
      <c r="S96" s="819">
        <v>-14285</v>
      </c>
      <c r="T96" s="819">
        <v>2116248</v>
      </c>
      <c r="U96" s="819">
        <f t="shared" si="2"/>
        <v>17740441</v>
      </c>
      <c r="V96" s="819">
        <v>2221265</v>
      </c>
    </row>
    <row r="97" spans="1:22" x14ac:dyDescent="0.25">
      <c r="A97" s="820">
        <v>31500</v>
      </c>
      <c r="B97" s="810" t="s">
        <v>878</v>
      </c>
      <c r="C97" s="821">
        <v>7.1190000000000001E-4</v>
      </c>
      <c r="D97" s="821">
        <v>7.1060000000000003E-4</v>
      </c>
      <c r="E97" s="819">
        <v>7087740</v>
      </c>
      <c r="F97" s="819">
        <f>VLOOKUP(A97,'TSERS Contributions FY 2018'!A:C,3)</f>
        <v>1163491</v>
      </c>
      <c r="G97" s="822"/>
      <c r="H97" s="819">
        <v>517268</v>
      </c>
      <c r="I97" s="819">
        <v>675463</v>
      </c>
      <c r="J97" s="819">
        <v>1422327</v>
      </c>
      <c r="K97" s="819">
        <v>27955</v>
      </c>
      <c r="L97" s="822"/>
      <c r="M97" s="819">
        <v>71130</v>
      </c>
      <c r="N97" s="826"/>
      <c r="O97" s="819">
        <v>0</v>
      </c>
      <c r="P97" s="819">
        <v>67880</v>
      </c>
      <c r="Q97" s="822"/>
      <c r="R97" s="819">
        <v>1623383</v>
      </c>
      <c r="S97" s="819">
        <v>-54449</v>
      </c>
      <c r="T97" s="819">
        <v>1568934</v>
      </c>
      <c r="U97" s="819">
        <f t="shared" si="2"/>
        <v>13517521</v>
      </c>
      <c r="V97" s="819">
        <v>1692517</v>
      </c>
    </row>
    <row r="98" spans="1:22" x14ac:dyDescent="0.25">
      <c r="A98" s="820">
        <v>31600</v>
      </c>
      <c r="B98" s="810" t="s">
        <v>879</v>
      </c>
      <c r="C98" s="821">
        <v>3.2139E-3</v>
      </c>
      <c r="D98" s="821">
        <v>3.2342999999999998E-3</v>
      </c>
      <c r="E98" s="819">
        <v>31997874</v>
      </c>
      <c r="F98" s="819">
        <f>VLOOKUP(A98,'TSERS Contributions FY 2018'!A:C,3)</f>
        <v>5062725</v>
      </c>
      <c r="G98" s="822"/>
      <c r="H98" s="819">
        <v>2335226</v>
      </c>
      <c r="I98" s="819">
        <v>3049403</v>
      </c>
      <c r="J98" s="819">
        <v>6421150</v>
      </c>
      <c r="K98" s="819">
        <v>59777</v>
      </c>
      <c r="L98" s="822"/>
      <c r="M98" s="819">
        <v>321120</v>
      </c>
      <c r="N98" s="826"/>
      <c r="O98" s="819">
        <v>0</v>
      </c>
      <c r="P98" s="819">
        <v>288586</v>
      </c>
      <c r="Q98" s="822"/>
      <c r="R98" s="819">
        <v>7328823</v>
      </c>
      <c r="S98" s="819">
        <v>31257</v>
      </c>
      <c r="T98" s="819">
        <v>7360080</v>
      </c>
      <c r="U98" s="819">
        <f t="shared" si="2"/>
        <v>61025369</v>
      </c>
      <c r="V98" s="819">
        <v>7640932</v>
      </c>
    </row>
    <row r="99" spans="1:22" x14ac:dyDescent="0.25">
      <c r="A99" s="820">
        <v>31601</v>
      </c>
      <c r="B99" s="810" t="s">
        <v>1683</v>
      </c>
      <c r="C99" s="821">
        <v>0</v>
      </c>
      <c r="D99" s="821">
        <v>0</v>
      </c>
      <c r="E99" s="819">
        <v>0</v>
      </c>
      <c r="F99" s="819">
        <f>VLOOKUP(A99,'TSERS Contributions FY 2018'!A:C,3)</f>
        <v>0</v>
      </c>
      <c r="G99" s="822"/>
      <c r="H99" s="819">
        <v>0</v>
      </c>
      <c r="I99" s="819">
        <v>0</v>
      </c>
      <c r="J99" s="819">
        <v>0</v>
      </c>
      <c r="K99" s="819">
        <v>0</v>
      </c>
      <c r="L99" s="822"/>
      <c r="M99" s="819">
        <v>0</v>
      </c>
      <c r="N99" s="826"/>
      <c r="O99" s="819">
        <v>0</v>
      </c>
      <c r="P99" s="819">
        <v>6438</v>
      </c>
      <c r="Q99" s="822"/>
      <c r="R99" s="819">
        <v>0</v>
      </c>
      <c r="S99" s="819">
        <v>-12286</v>
      </c>
      <c r="T99" s="819">
        <v>-12286</v>
      </c>
      <c r="U99" s="819">
        <f t="shared" si="2"/>
        <v>0</v>
      </c>
      <c r="V99" s="819">
        <v>0</v>
      </c>
    </row>
    <row r="100" spans="1:22" x14ac:dyDescent="0.25">
      <c r="A100" s="820">
        <v>31605</v>
      </c>
      <c r="B100" s="810" t="s">
        <v>881</v>
      </c>
      <c r="C100" s="821">
        <v>4.6969999999999998E-4</v>
      </c>
      <c r="D100" s="821">
        <v>4.9089999999999995E-4</v>
      </c>
      <c r="E100" s="819">
        <v>4676375</v>
      </c>
      <c r="F100" s="819">
        <f>VLOOKUP(A100,'TSERS Contributions FY 2018'!A:C,3)</f>
        <v>822925</v>
      </c>
      <c r="G100" s="822"/>
      <c r="H100" s="819">
        <v>341285</v>
      </c>
      <c r="I100" s="819">
        <v>445659</v>
      </c>
      <c r="J100" s="819">
        <v>938428</v>
      </c>
      <c r="K100" s="819">
        <v>102209</v>
      </c>
      <c r="L100" s="822"/>
      <c r="M100" s="819">
        <v>46931</v>
      </c>
      <c r="N100" s="826"/>
      <c r="O100" s="819">
        <v>0</v>
      </c>
      <c r="P100" s="819">
        <v>34310</v>
      </c>
      <c r="Q100" s="822"/>
      <c r="R100" s="819">
        <v>1071081</v>
      </c>
      <c r="S100" s="819">
        <v>46119</v>
      </c>
      <c r="T100" s="819">
        <v>1117200</v>
      </c>
      <c r="U100" s="819">
        <f t="shared" si="2"/>
        <v>8918640</v>
      </c>
      <c r="V100" s="819">
        <v>1116695</v>
      </c>
    </row>
    <row r="101" spans="1:22" x14ac:dyDescent="0.25">
      <c r="A101" s="820">
        <v>31700</v>
      </c>
      <c r="B101" s="810" t="s">
        <v>882</v>
      </c>
      <c r="C101" s="821">
        <v>1.0036000000000001E-3</v>
      </c>
      <c r="D101" s="821">
        <v>9.7659999999999999E-4</v>
      </c>
      <c r="E101" s="819">
        <v>9991931</v>
      </c>
      <c r="F101" s="819">
        <f>VLOOKUP(A101,'TSERS Contributions FY 2018'!A:C,3)</f>
        <v>1630017</v>
      </c>
      <c r="G101" s="822"/>
      <c r="H101" s="819">
        <v>729218</v>
      </c>
      <c r="I101" s="819">
        <v>952233</v>
      </c>
      <c r="J101" s="819">
        <v>2005124</v>
      </c>
      <c r="K101" s="819">
        <v>208771</v>
      </c>
      <c r="L101" s="822"/>
      <c r="M101" s="819">
        <v>100276</v>
      </c>
      <c r="N101" s="826"/>
      <c r="O101" s="819">
        <v>0</v>
      </c>
      <c r="P101" s="819">
        <v>0</v>
      </c>
      <c r="Q101" s="822"/>
      <c r="R101" s="819">
        <v>2288561</v>
      </c>
      <c r="S101" s="819">
        <v>106239</v>
      </c>
      <c r="T101" s="819">
        <v>2394800</v>
      </c>
      <c r="U101" s="819">
        <f t="shared" si="2"/>
        <v>19056306</v>
      </c>
      <c r="V101" s="819">
        <v>2386023</v>
      </c>
    </row>
    <row r="102" spans="1:22" x14ac:dyDescent="0.25">
      <c r="A102" s="820">
        <v>31800</v>
      </c>
      <c r="B102" s="810" t="s">
        <v>883</v>
      </c>
      <c r="C102" s="821">
        <v>5.7215E-3</v>
      </c>
      <c r="D102" s="821">
        <v>5.8989000000000003E-3</v>
      </c>
      <c r="E102" s="819">
        <v>56963763</v>
      </c>
      <c r="F102" s="819">
        <f>VLOOKUP(A102,'TSERS Contributions FY 2018'!A:C,3)</f>
        <v>9034559</v>
      </c>
      <c r="G102" s="822"/>
      <c r="H102" s="819">
        <v>4157253</v>
      </c>
      <c r="I102" s="819">
        <v>5428656</v>
      </c>
      <c r="J102" s="819">
        <v>11431162</v>
      </c>
      <c r="K102" s="819">
        <v>9662</v>
      </c>
      <c r="L102" s="822"/>
      <c r="M102" s="819">
        <v>571669</v>
      </c>
      <c r="N102" s="826"/>
      <c r="O102" s="819">
        <v>0</v>
      </c>
      <c r="P102" s="819">
        <v>1701844</v>
      </c>
      <c r="Q102" s="822"/>
      <c r="R102" s="819">
        <v>13047034</v>
      </c>
      <c r="S102" s="819">
        <v>-776752</v>
      </c>
      <c r="T102" s="819">
        <v>12270282</v>
      </c>
      <c r="U102" s="819">
        <f t="shared" si="2"/>
        <v>108639550</v>
      </c>
      <c r="V102" s="819">
        <v>13602660</v>
      </c>
    </row>
    <row r="103" spans="1:22" x14ac:dyDescent="0.25">
      <c r="A103" s="820">
        <v>31805</v>
      </c>
      <c r="B103" s="810" t="s">
        <v>884</v>
      </c>
      <c r="C103" s="821">
        <v>1.1616E-3</v>
      </c>
      <c r="D103" s="821">
        <v>1.1584E-3</v>
      </c>
      <c r="E103" s="819">
        <v>11564993</v>
      </c>
      <c r="F103" s="819">
        <f>VLOOKUP(A103,'TSERS Contributions FY 2018'!A:C,3)</f>
        <v>2007237</v>
      </c>
      <c r="G103" s="822"/>
      <c r="H103" s="819">
        <v>844021</v>
      </c>
      <c r="I103" s="819">
        <v>1102146</v>
      </c>
      <c r="J103" s="819">
        <v>2320797</v>
      </c>
      <c r="K103" s="819">
        <v>215508</v>
      </c>
      <c r="L103" s="822"/>
      <c r="M103" s="819">
        <v>116062</v>
      </c>
      <c r="N103" s="826"/>
      <c r="O103" s="819">
        <v>0</v>
      </c>
      <c r="P103" s="819">
        <v>30336</v>
      </c>
      <c r="Q103" s="822"/>
      <c r="R103" s="819">
        <v>2648857</v>
      </c>
      <c r="S103" s="819">
        <v>54128</v>
      </c>
      <c r="T103" s="819">
        <v>2702985</v>
      </c>
      <c r="U103" s="819">
        <f t="shared" si="2"/>
        <v>22056402</v>
      </c>
      <c r="V103" s="819">
        <v>2761662</v>
      </c>
    </row>
    <row r="104" spans="1:22" x14ac:dyDescent="0.25">
      <c r="A104" s="820">
        <v>31810</v>
      </c>
      <c r="B104" s="810" t="s">
        <v>885</v>
      </c>
      <c r="C104" s="821">
        <v>1.5347E-3</v>
      </c>
      <c r="D104" s="821">
        <v>1.5291E-3</v>
      </c>
      <c r="E104" s="819">
        <v>15279610</v>
      </c>
      <c r="F104" s="819">
        <f>VLOOKUP(A104,'TSERS Contributions FY 2018'!A:C,3)</f>
        <v>2358064</v>
      </c>
      <c r="G104" s="822"/>
      <c r="H104" s="819">
        <v>1115116</v>
      </c>
      <c r="I104" s="819">
        <v>1456149</v>
      </c>
      <c r="J104" s="819">
        <v>3066225</v>
      </c>
      <c r="K104" s="819">
        <v>43982</v>
      </c>
      <c r="L104" s="822"/>
      <c r="M104" s="819">
        <v>153341</v>
      </c>
      <c r="N104" s="826"/>
      <c r="O104" s="819">
        <v>0</v>
      </c>
      <c r="P104" s="819">
        <v>77877</v>
      </c>
      <c r="Q104" s="822"/>
      <c r="R104" s="819">
        <v>3499656</v>
      </c>
      <c r="S104" s="819">
        <v>-106925</v>
      </c>
      <c r="T104" s="819">
        <v>3392731</v>
      </c>
      <c r="U104" s="819">
        <f t="shared" si="2"/>
        <v>29140805</v>
      </c>
      <c r="V104" s="819">
        <v>3648694</v>
      </c>
    </row>
    <row r="105" spans="1:22" x14ac:dyDescent="0.25">
      <c r="A105" s="820">
        <v>31820</v>
      </c>
      <c r="B105" s="810" t="s">
        <v>886</v>
      </c>
      <c r="C105" s="821">
        <v>1.2945999999999999E-3</v>
      </c>
      <c r="D105" s="821">
        <v>1.2939E-3</v>
      </c>
      <c r="E105" s="819">
        <v>12889153</v>
      </c>
      <c r="F105" s="819">
        <f>VLOOKUP(A105,'TSERS Contributions FY 2018'!A:C,3)</f>
        <v>1907626</v>
      </c>
      <c r="G105" s="822"/>
      <c r="H105" s="819">
        <v>940659</v>
      </c>
      <c r="I105" s="819">
        <v>1228338</v>
      </c>
      <c r="J105" s="819">
        <v>2586521</v>
      </c>
      <c r="K105" s="819">
        <v>69346</v>
      </c>
      <c r="L105" s="822"/>
      <c r="M105" s="819">
        <v>129351</v>
      </c>
      <c r="N105" s="826"/>
      <c r="O105" s="819">
        <v>0</v>
      </c>
      <c r="P105" s="819">
        <v>354523</v>
      </c>
      <c r="Q105" s="822"/>
      <c r="R105" s="819">
        <v>2952144</v>
      </c>
      <c r="S105" s="819">
        <v>-109414</v>
      </c>
      <c r="T105" s="819">
        <v>2842730</v>
      </c>
      <c r="U105" s="819">
        <f t="shared" si="2"/>
        <v>24581799</v>
      </c>
      <c r="V105" s="819">
        <v>3077865</v>
      </c>
    </row>
    <row r="106" spans="1:22" x14ac:dyDescent="0.25">
      <c r="A106" s="820">
        <v>31900</v>
      </c>
      <c r="B106" s="810" t="s">
        <v>887</v>
      </c>
      <c r="C106" s="821">
        <v>3.6540000000000001E-3</v>
      </c>
      <c r="D106" s="821">
        <v>3.6668E-3</v>
      </c>
      <c r="E106" s="819">
        <v>36379549</v>
      </c>
      <c r="F106" s="819">
        <f>VLOOKUP(A106,'TSERS Contributions FY 2018'!A:C,3)</f>
        <v>5543920</v>
      </c>
      <c r="G106" s="822"/>
      <c r="H106" s="819">
        <v>2655004</v>
      </c>
      <c r="I106" s="819">
        <v>3466977</v>
      </c>
      <c r="J106" s="819">
        <v>7300440</v>
      </c>
      <c r="K106" s="819">
        <v>277189</v>
      </c>
      <c r="L106" s="822"/>
      <c r="M106" s="819">
        <v>365093</v>
      </c>
      <c r="N106" s="826"/>
      <c r="O106" s="819">
        <v>0</v>
      </c>
      <c r="P106" s="819">
        <v>393665</v>
      </c>
      <c r="Q106" s="822"/>
      <c r="R106" s="819">
        <v>8332406</v>
      </c>
      <c r="S106" s="819">
        <v>-5369</v>
      </c>
      <c r="T106" s="819">
        <v>8327037</v>
      </c>
      <c r="U106" s="819">
        <f t="shared" si="2"/>
        <v>69381966</v>
      </c>
      <c r="V106" s="819">
        <v>8687253</v>
      </c>
    </row>
    <row r="107" spans="1:22" x14ac:dyDescent="0.25">
      <c r="A107" s="820">
        <v>32000</v>
      </c>
      <c r="B107" s="810" t="s">
        <v>888</v>
      </c>
      <c r="C107" s="821">
        <v>1.4878999999999999E-3</v>
      </c>
      <c r="D107" s="821">
        <v>1.4777E-3</v>
      </c>
      <c r="E107" s="819">
        <v>14813665</v>
      </c>
      <c r="F107" s="819">
        <f>VLOOKUP(A107,'TSERS Contributions FY 2018'!A:C,3)</f>
        <v>2268965</v>
      </c>
      <c r="G107" s="822"/>
      <c r="H107" s="819">
        <v>1081111</v>
      </c>
      <c r="I107" s="819">
        <v>1411745</v>
      </c>
      <c r="J107" s="819">
        <v>2972722</v>
      </c>
      <c r="K107" s="819">
        <v>162059</v>
      </c>
      <c r="L107" s="822"/>
      <c r="M107" s="819">
        <v>148665</v>
      </c>
      <c r="N107" s="826"/>
      <c r="O107" s="819">
        <v>0</v>
      </c>
      <c r="P107" s="819">
        <v>31699</v>
      </c>
      <c r="Q107" s="822"/>
      <c r="R107" s="819">
        <v>3392936</v>
      </c>
      <c r="S107" s="819">
        <v>87264</v>
      </c>
      <c r="T107" s="819">
        <v>3480200</v>
      </c>
      <c r="U107" s="819">
        <f t="shared" si="2"/>
        <v>28252169</v>
      </c>
      <c r="V107" s="819">
        <v>3537429</v>
      </c>
    </row>
    <row r="108" spans="1:22" x14ac:dyDescent="0.25">
      <c r="A108" s="820">
        <v>32005</v>
      </c>
      <c r="B108" s="810" t="s">
        <v>889</v>
      </c>
      <c r="C108" s="821">
        <v>3.2190000000000002E-4</v>
      </c>
      <c r="D108" s="821">
        <v>3.3320000000000002E-4</v>
      </c>
      <c r="E108" s="819">
        <v>3204865</v>
      </c>
      <c r="F108" s="819">
        <f>VLOOKUP(A108,'TSERS Contributions FY 2018'!A:C,3)</f>
        <v>541677</v>
      </c>
      <c r="G108" s="822"/>
      <c r="H108" s="819">
        <v>233893</v>
      </c>
      <c r="I108" s="819">
        <v>305424</v>
      </c>
      <c r="J108" s="819">
        <v>643134</v>
      </c>
      <c r="K108" s="819">
        <v>43530</v>
      </c>
      <c r="L108" s="822"/>
      <c r="M108" s="819">
        <v>32163</v>
      </c>
      <c r="N108" s="826"/>
      <c r="O108" s="819">
        <v>0</v>
      </c>
      <c r="P108" s="819">
        <v>37054</v>
      </c>
      <c r="Q108" s="822"/>
      <c r="R108" s="819">
        <v>734045</v>
      </c>
      <c r="S108" s="819">
        <v>44736</v>
      </c>
      <c r="T108" s="819">
        <v>778781</v>
      </c>
      <c r="U108" s="819">
        <f t="shared" si="2"/>
        <v>6112221</v>
      </c>
      <c r="V108" s="819">
        <v>765306</v>
      </c>
    </row>
    <row r="109" spans="1:22" x14ac:dyDescent="0.25">
      <c r="A109" s="820">
        <v>32100</v>
      </c>
      <c r="B109" s="810" t="s">
        <v>890</v>
      </c>
      <c r="C109" s="821">
        <v>8.2339999999999996E-4</v>
      </c>
      <c r="D109" s="821">
        <v>8.3509999999999997E-4</v>
      </c>
      <c r="E109" s="819">
        <v>8197844</v>
      </c>
      <c r="F109" s="819">
        <f>VLOOKUP(A109,'TSERS Contributions FY 2018'!A:C,3)</f>
        <v>1374212</v>
      </c>
      <c r="G109" s="822"/>
      <c r="H109" s="819">
        <v>598284</v>
      </c>
      <c r="I109" s="819">
        <v>781256</v>
      </c>
      <c r="J109" s="819">
        <v>1645096</v>
      </c>
      <c r="K109" s="819">
        <v>0</v>
      </c>
      <c r="L109" s="822"/>
      <c r="M109" s="819">
        <v>82271</v>
      </c>
      <c r="N109" s="826"/>
      <c r="O109" s="819">
        <v>0</v>
      </c>
      <c r="P109" s="819">
        <v>192989</v>
      </c>
      <c r="Q109" s="822"/>
      <c r="R109" s="819">
        <v>1877642</v>
      </c>
      <c r="S109" s="819">
        <v>-144613</v>
      </c>
      <c r="T109" s="819">
        <v>1733029</v>
      </c>
      <c r="U109" s="819">
        <f t="shared" si="2"/>
        <v>15634677</v>
      </c>
      <c r="V109" s="819">
        <v>1957604</v>
      </c>
    </row>
    <row r="110" spans="1:22" x14ac:dyDescent="0.25">
      <c r="A110" s="820">
        <v>32200</v>
      </c>
      <c r="B110" s="810" t="s">
        <v>891</v>
      </c>
      <c r="C110" s="821">
        <v>5.664E-4</v>
      </c>
      <c r="D110" s="821">
        <v>5.5309999999999995E-4</v>
      </c>
      <c r="E110" s="819">
        <v>5639129</v>
      </c>
      <c r="F110" s="819">
        <f>VLOOKUP(A110,'TSERS Contributions FY 2018'!A:C,3)</f>
        <v>884452</v>
      </c>
      <c r="G110" s="822"/>
      <c r="H110" s="819">
        <v>411547</v>
      </c>
      <c r="I110" s="819">
        <v>537410</v>
      </c>
      <c r="J110" s="819">
        <v>1131628</v>
      </c>
      <c r="K110" s="819">
        <v>66835</v>
      </c>
      <c r="L110" s="822"/>
      <c r="M110" s="819">
        <v>56592</v>
      </c>
      <c r="N110" s="826"/>
      <c r="O110" s="819">
        <v>0</v>
      </c>
      <c r="P110" s="819">
        <v>0</v>
      </c>
      <c r="Q110" s="822"/>
      <c r="R110" s="819">
        <v>1291591</v>
      </c>
      <c r="S110" s="819">
        <v>50831</v>
      </c>
      <c r="T110" s="819">
        <v>1342422</v>
      </c>
      <c r="U110" s="819">
        <f t="shared" si="2"/>
        <v>10754774</v>
      </c>
      <c r="V110" s="819">
        <v>1346596</v>
      </c>
    </row>
    <row r="111" spans="1:22" x14ac:dyDescent="0.25">
      <c r="A111" s="820">
        <v>32300</v>
      </c>
      <c r="B111" s="810" t="s">
        <v>892</v>
      </c>
      <c r="C111" s="821">
        <v>6.0267000000000003E-3</v>
      </c>
      <c r="D111" s="821">
        <v>6.2110999999999998E-3</v>
      </c>
      <c r="E111" s="819">
        <v>60002362</v>
      </c>
      <c r="F111" s="819">
        <f>VLOOKUP(A111,'TSERS Contributions FY 2018'!A:C,3)</f>
        <v>9198230</v>
      </c>
      <c r="G111" s="822"/>
      <c r="H111" s="819">
        <v>4379012</v>
      </c>
      <c r="I111" s="819">
        <v>5718235</v>
      </c>
      <c r="J111" s="819">
        <v>12040931</v>
      </c>
      <c r="K111" s="819">
        <v>0</v>
      </c>
      <c r="L111" s="822"/>
      <c r="M111" s="819">
        <v>602164</v>
      </c>
      <c r="N111" s="826"/>
      <c r="O111" s="819">
        <v>0</v>
      </c>
      <c r="P111" s="819">
        <v>1741579</v>
      </c>
      <c r="Q111" s="822"/>
      <c r="R111" s="819">
        <v>13742997</v>
      </c>
      <c r="S111" s="819">
        <v>-950811</v>
      </c>
      <c r="T111" s="819">
        <v>12792186</v>
      </c>
      <c r="U111" s="819">
        <f t="shared" si="2"/>
        <v>114434672</v>
      </c>
      <c r="V111" s="819">
        <v>14328262</v>
      </c>
    </row>
    <row r="112" spans="1:22" x14ac:dyDescent="0.25">
      <c r="A112" s="820">
        <v>32305</v>
      </c>
      <c r="B112" s="810" t="s">
        <v>1548</v>
      </c>
      <c r="C112" s="821">
        <v>5.9329999999999995E-4</v>
      </c>
      <c r="D112" s="821">
        <v>6.2699999999999995E-4</v>
      </c>
      <c r="E112" s="819">
        <v>5906948</v>
      </c>
      <c r="F112" s="819">
        <f>VLOOKUP(A112,'TSERS Contributions FY 2018'!A:C,3)</f>
        <v>1055697</v>
      </c>
      <c r="G112" s="822"/>
      <c r="H112" s="819">
        <v>431093</v>
      </c>
      <c r="I112" s="819">
        <v>562933</v>
      </c>
      <c r="J112" s="819">
        <v>1185372</v>
      </c>
      <c r="K112" s="819">
        <v>106516</v>
      </c>
      <c r="L112" s="822"/>
      <c r="M112" s="819">
        <v>59280</v>
      </c>
      <c r="N112" s="826"/>
      <c r="O112" s="819">
        <v>0</v>
      </c>
      <c r="P112" s="819">
        <v>60735</v>
      </c>
      <c r="Q112" s="822"/>
      <c r="R112" s="819">
        <v>1352933</v>
      </c>
      <c r="S112" s="819">
        <v>115022</v>
      </c>
      <c r="T112" s="819">
        <v>1467955</v>
      </c>
      <c r="U112" s="819">
        <f t="shared" si="2"/>
        <v>11265550</v>
      </c>
      <c r="V112" s="819">
        <v>1410549</v>
      </c>
    </row>
    <row r="113" spans="1:22" x14ac:dyDescent="0.25">
      <c r="A113" s="820">
        <v>32400</v>
      </c>
      <c r="B113" s="810" t="s">
        <v>894</v>
      </c>
      <c r="C113" s="821">
        <v>2.1170999999999998E-3</v>
      </c>
      <c r="D113" s="821">
        <v>2.2388E-3</v>
      </c>
      <c r="E113" s="819">
        <v>21078036</v>
      </c>
      <c r="F113" s="819">
        <f>VLOOKUP(A113,'TSERS Contributions FY 2018'!A:C,3)</f>
        <v>3509484</v>
      </c>
      <c r="G113" s="822"/>
      <c r="H113" s="819">
        <v>1538289</v>
      </c>
      <c r="I113" s="819">
        <v>2008740</v>
      </c>
      <c r="J113" s="819">
        <v>4229820</v>
      </c>
      <c r="K113" s="819">
        <v>79304</v>
      </c>
      <c r="L113" s="822"/>
      <c r="M113" s="819">
        <v>211532</v>
      </c>
      <c r="N113" s="826"/>
      <c r="O113" s="819">
        <v>0</v>
      </c>
      <c r="P113" s="819">
        <v>429183</v>
      </c>
      <c r="Q113" s="822"/>
      <c r="R113" s="819">
        <v>4827733</v>
      </c>
      <c r="S113" s="819">
        <v>-129028</v>
      </c>
      <c r="T113" s="819">
        <v>4698705</v>
      </c>
      <c r="U113" s="819">
        <f t="shared" si="2"/>
        <v>40199387</v>
      </c>
      <c r="V113" s="819">
        <v>5033329</v>
      </c>
    </row>
    <row r="114" spans="1:22" x14ac:dyDescent="0.25">
      <c r="A114" s="820">
        <v>32405</v>
      </c>
      <c r="B114" s="810" t="s">
        <v>895</v>
      </c>
      <c r="C114" s="821">
        <v>5.6950000000000002E-4</v>
      </c>
      <c r="D114" s="821">
        <v>5.7799999999999995E-4</v>
      </c>
      <c r="E114" s="819">
        <v>5669993</v>
      </c>
      <c r="F114" s="819">
        <f>VLOOKUP(A114,'TSERS Contributions FY 2018'!A:C,3)</f>
        <v>967903</v>
      </c>
      <c r="G114" s="822"/>
      <c r="H114" s="819">
        <v>413800</v>
      </c>
      <c r="I114" s="819">
        <v>540351</v>
      </c>
      <c r="J114" s="819">
        <v>1137822</v>
      </c>
      <c r="K114" s="819">
        <v>80634</v>
      </c>
      <c r="L114" s="822"/>
      <c r="M114" s="819">
        <v>56902</v>
      </c>
      <c r="N114" s="826"/>
      <c r="O114" s="819">
        <v>0</v>
      </c>
      <c r="P114" s="819">
        <v>18371</v>
      </c>
      <c r="Q114" s="822"/>
      <c r="R114" s="819">
        <v>1298660</v>
      </c>
      <c r="S114" s="819">
        <v>-1942</v>
      </c>
      <c r="T114" s="819">
        <v>1296718</v>
      </c>
      <c r="U114" s="819">
        <f t="shared" si="2"/>
        <v>10813637</v>
      </c>
      <c r="V114" s="819">
        <v>1353966</v>
      </c>
    </row>
    <row r="115" spans="1:22" x14ac:dyDescent="0.25">
      <c r="A115" s="820">
        <v>32410</v>
      </c>
      <c r="B115" s="810" t="s">
        <v>896</v>
      </c>
      <c r="C115" s="821">
        <v>8.2589999999999996E-4</v>
      </c>
      <c r="D115" s="821">
        <v>8.4340000000000001E-4</v>
      </c>
      <c r="E115" s="819">
        <v>8222734</v>
      </c>
      <c r="F115" s="819">
        <f>VLOOKUP(A115,'TSERS Contributions FY 2018'!A:C,3)</f>
        <v>1406061</v>
      </c>
      <c r="G115" s="822"/>
      <c r="H115" s="819">
        <v>600101</v>
      </c>
      <c r="I115" s="819">
        <v>783628</v>
      </c>
      <c r="J115" s="819">
        <v>1650091</v>
      </c>
      <c r="K115" s="819">
        <v>38111</v>
      </c>
      <c r="L115" s="822"/>
      <c r="M115" s="819">
        <v>82521</v>
      </c>
      <c r="N115" s="826"/>
      <c r="O115" s="819">
        <v>0</v>
      </c>
      <c r="P115" s="819">
        <v>83991</v>
      </c>
      <c r="Q115" s="822"/>
      <c r="R115" s="819">
        <v>1883343</v>
      </c>
      <c r="S115" s="819">
        <v>45587</v>
      </c>
      <c r="T115" s="819">
        <v>1928930</v>
      </c>
      <c r="U115" s="819">
        <f t="shared" si="2"/>
        <v>15682147</v>
      </c>
      <c r="V115" s="819">
        <v>1963548</v>
      </c>
    </row>
    <row r="116" spans="1:22" x14ac:dyDescent="0.25">
      <c r="A116" s="820">
        <v>32420</v>
      </c>
      <c r="B116" s="810" t="s">
        <v>1684</v>
      </c>
      <c r="C116" s="821">
        <v>0</v>
      </c>
      <c r="D116" s="821">
        <v>0</v>
      </c>
      <c r="E116" s="819">
        <v>0</v>
      </c>
      <c r="F116" s="819">
        <f>VLOOKUP(A116,'TSERS Contributions FY 2018'!A:C,3)</f>
        <v>0</v>
      </c>
      <c r="G116" s="822"/>
      <c r="H116" s="819">
        <v>0</v>
      </c>
      <c r="I116" s="819">
        <v>0</v>
      </c>
      <c r="J116" s="819">
        <v>0</v>
      </c>
      <c r="K116" s="819">
        <v>0</v>
      </c>
      <c r="L116" s="822"/>
      <c r="M116" s="819">
        <v>0</v>
      </c>
      <c r="N116" s="826"/>
      <c r="O116" s="819">
        <v>0</v>
      </c>
      <c r="P116" s="819">
        <v>41260</v>
      </c>
      <c r="Q116" s="822"/>
      <c r="R116" s="819">
        <v>0</v>
      </c>
      <c r="S116" s="819">
        <v>-8407</v>
      </c>
      <c r="T116" s="819">
        <v>-8407</v>
      </c>
      <c r="U116" s="819">
        <f t="shared" si="2"/>
        <v>0</v>
      </c>
      <c r="V116" s="819">
        <v>0</v>
      </c>
    </row>
    <row r="117" spans="1:22" x14ac:dyDescent="0.25">
      <c r="A117" s="820">
        <v>32500</v>
      </c>
      <c r="B117" s="810" t="s">
        <v>1549</v>
      </c>
      <c r="C117" s="821">
        <v>4.7694E-3</v>
      </c>
      <c r="D117" s="821">
        <v>4.7978999999999999E-3</v>
      </c>
      <c r="E117" s="819">
        <v>47484571</v>
      </c>
      <c r="F117" s="819">
        <f>VLOOKUP(A117,'TSERS Contributions FY 2018'!A:C,3)</f>
        <v>7548070</v>
      </c>
      <c r="G117" s="822"/>
      <c r="H117" s="819">
        <v>3465456</v>
      </c>
      <c r="I117" s="819">
        <v>4525288</v>
      </c>
      <c r="J117" s="819">
        <v>9528932</v>
      </c>
      <c r="K117" s="819">
        <v>0</v>
      </c>
      <c r="L117" s="822"/>
      <c r="M117" s="819">
        <v>476539</v>
      </c>
      <c r="N117" s="826"/>
      <c r="O117" s="819">
        <v>0</v>
      </c>
      <c r="P117" s="819">
        <v>999567</v>
      </c>
      <c r="Q117" s="822"/>
      <c r="R117" s="819">
        <v>10875911</v>
      </c>
      <c r="S117" s="819">
        <v>-542508</v>
      </c>
      <c r="T117" s="819">
        <v>10333403</v>
      </c>
      <c r="U117" s="819">
        <f t="shared" si="2"/>
        <v>90561124</v>
      </c>
      <c r="V117" s="819">
        <v>11339077</v>
      </c>
    </row>
    <row r="118" spans="1:22" x14ac:dyDescent="0.25">
      <c r="A118" s="820">
        <v>32505</v>
      </c>
      <c r="B118" s="810" t="s">
        <v>899</v>
      </c>
      <c r="C118" s="821">
        <v>7.7439999999999996E-4</v>
      </c>
      <c r="D118" s="821">
        <v>7.5580000000000005E-4</v>
      </c>
      <c r="E118" s="819">
        <v>7709995</v>
      </c>
      <c r="F118" s="819">
        <f>VLOOKUP(A118,'TSERS Contributions FY 2018'!A:C,3)</f>
        <v>1239246</v>
      </c>
      <c r="G118" s="822"/>
      <c r="H118" s="819">
        <v>562681</v>
      </c>
      <c r="I118" s="819">
        <v>734764</v>
      </c>
      <c r="J118" s="819">
        <v>1547198</v>
      </c>
      <c r="K118" s="819">
        <v>189581</v>
      </c>
      <c r="L118" s="822"/>
      <c r="M118" s="819">
        <v>77375</v>
      </c>
      <c r="N118" s="826"/>
      <c r="O118" s="819">
        <v>0</v>
      </c>
      <c r="P118" s="819">
        <v>28858</v>
      </c>
      <c r="Q118" s="822"/>
      <c r="R118" s="819">
        <v>1765905</v>
      </c>
      <c r="S118" s="819">
        <v>61570</v>
      </c>
      <c r="T118" s="819">
        <v>1827475</v>
      </c>
      <c r="U118" s="819">
        <f t="shared" si="2"/>
        <v>14704268</v>
      </c>
      <c r="V118" s="819">
        <v>1841108</v>
      </c>
    </row>
    <row r="119" spans="1:22" x14ac:dyDescent="0.25">
      <c r="A119" s="820">
        <v>32600</v>
      </c>
      <c r="B119" s="810" t="s">
        <v>900</v>
      </c>
      <c r="C119" s="821">
        <v>1.7152299999999999E-2</v>
      </c>
      <c r="D119" s="821">
        <v>1.7237800000000001E-2</v>
      </c>
      <c r="E119" s="819">
        <v>170769825</v>
      </c>
      <c r="F119" s="819">
        <f>VLOOKUP(A119,'TSERS Contributions FY 2018'!A:C,3)</f>
        <v>27386804</v>
      </c>
      <c r="G119" s="822"/>
      <c r="H119" s="819">
        <v>12462895</v>
      </c>
      <c r="I119" s="819">
        <v>16274394</v>
      </c>
      <c r="J119" s="819">
        <v>34269112</v>
      </c>
      <c r="K119" s="819">
        <v>0</v>
      </c>
      <c r="L119" s="822"/>
      <c r="M119" s="819">
        <v>1713789</v>
      </c>
      <c r="N119" s="826"/>
      <c r="O119" s="819">
        <v>0</v>
      </c>
      <c r="P119" s="819">
        <v>3467449</v>
      </c>
      <c r="Q119" s="822"/>
      <c r="R119" s="819">
        <v>39113282</v>
      </c>
      <c r="S119" s="819">
        <v>-2859607</v>
      </c>
      <c r="T119" s="819">
        <v>36253675</v>
      </c>
      <c r="U119" s="819">
        <f t="shared" si="2"/>
        <v>325686998</v>
      </c>
      <c r="V119" s="819">
        <v>40778976</v>
      </c>
    </row>
    <row r="120" spans="1:22" x14ac:dyDescent="0.25">
      <c r="A120" s="820">
        <v>32605</v>
      </c>
      <c r="B120" s="810" t="s">
        <v>901</v>
      </c>
      <c r="C120" s="821">
        <v>2.5419000000000001E-3</v>
      </c>
      <c r="D120" s="821">
        <v>2.5604999999999998E-3</v>
      </c>
      <c r="E120" s="819">
        <v>25307383</v>
      </c>
      <c r="F120" s="819">
        <f>VLOOKUP(A120,'TSERS Contributions FY 2018'!A:C,3)</f>
        <v>4369440</v>
      </c>
      <c r="G120" s="822"/>
      <c r="H120" s="819">
        <v>1846950</v>
      </c>
      <c r="I120" s="819">
        <v>2411798</v>
      </c>
      <c r="J120" s="819">
        <v>5078541</v>
      </c>
      <c r="K120" s="819">
        <v>457892</v>
      </c>
      <c r="L120" s="822"/>
      <c r="M120" s="819">
        <v>253976</v>
      </c>
      <c r="N120" s="826"/>
      <c r="O120" s="819">
        <v>0</v>
      </c>
      <c r="P120" s="819">
        <v>0</v>
      </c>
      <c r="Q120" s="822"/>
      <c r="R120" s="819">
        <v>5796427</v>
      </c>
      <c r="S120" s="819">
        <v>319171</v>
      </c>
      <c r="T120" s="819">
        <v>6115598</v>
      </c>
      <c r="U120" s="819">
        <f t="shared" si="2"/>
        <v>48265468</v>
      </c>
      <c r="V120" s="819">
        <v>6043276</v>
      </c>
    </row>
    <row r="121" spans="1:22" x14ac:dyDescent="0.25">
      <c r="A121" s="820">
        <v>32700</v>
      </c>
      <c r="B121" s="810" t="s">
        <v>902</v>
      </c>
      <c r="C121" s="821">
        <v>1.6067E-3</v>
      </c>
      <c r="D121" s="821">
        <v>1.6209E-3</v>
      </c>
      <c r="E121" s="819">
        <v>15996448</v>
      </c>
      <c r="F121" s="819">
        <f>VLOOKUP(A121,'TSERS Contributions FY 2018'!A:C,3)</f>
        <v>2511604</v>
      </c>
      <c r="G121" s="822"/>
      <c r="H121" s="819">
        <v>1167431</v>
      </c>
      <c r="I121" s="819">
        <v>1524464</v>
      </c>
      <c r="J121" s="819">
        <v>3210076</v>
      </c>
      <c r="K121" s="819">
        <v>204164</v>
      </c>
      <c r="L121" s="822"/>
      <c r="M121" s="819">
        <v>160535</v>
      </c>
      <c r="N121" s="826"/>
      <c r="O121" s="819">
        <v>0</v>
      </c>
      <c r="P121" s="819">
        <v>95815</v>
      </c>
      <c r="Q121" s="822"/>
      <c r="R121" s="819">
        <v>3663842</v>
      </c>
      <c r="S121" s="819">
        <v>146577</v>
      </c>
      <c r="T121" s="819">
        <v>3810419</v>
      </c>
      <c r="U121" s="819">
        <f t="shared" si="2"/>
        <v>30507938</v>
      </c>
      <c r="V121" s="819">
        <v>3819871</v>
      </c>
    </row>
    <row r="122" spans="1:22" x14ac:dyDescent="0.25">
      <c r="A122" s="820">
        <v>32800</v>
      </c>
      <c r="B122" s="810" t="s">
        <v>903</v>
      </c>
      <c r="C122" s="821">
        <v>2.2322000000000002E-3</v>
      </c>
      <c r="D122" s="821">
        <v>2.1829000000000002E-3</v>
      </c>
      <c r="E122" s="819">
        <v>22223982</v>
      </c>
      <c r="F122" s="819">
        <f>VLOOKUP(A122,'TSERS Contributions FY 2018'!A:C,3)</f>
        <v>3753143</v>
      </c>
      <c r="G122" s="822"/>
      <c r="H122" s="819">
        <v>1621921</v>
      </c>
      <c r="I122" s="819">
        <v>2117949</v>
      </c>
      <c r="J122" s="819">
        <v>4459782</v>
      </c>
      <c r="K122" s="819">
        <v>714539</v>
      </c>
      <c r="L122" s="822"/>
      <c r="M122" s="819">
        <v>223032</v>
      </c>
      <c r="N122" s="826"/>
      <c r="O122" s="819">
        <v>0</v>
      </c>
      <c r="P122" s="819">
        <v>0</v>
      </c>
      <c r="Q122" s="822"/>
      <c r="R122" s="819">
        <v>5090202</v>
      </c>
      <c r="S122" s="819">
        <v>377918</v>
      </c>
      <c r="T122" s="819">
        <v>5468120</v>
      </c>
      <c r="U122" s="819">
        <f t="shared" si="2"/>
        <v>42384900</v>
      </c>
      <c r="V122" s="819">
        <v>5306975</v>
      </c>
    </row>
    <row r="123" spans="1:22" x14ac:dyDescent="0.25">
      <c r="A123" s="820">
        <v>32900</v>
      </c>
      <c r="B123" s="810" t="s">
        <v>904</v>
      </c>
      <c r="C123" s="821">
        <v>6.5721E-3</v>
      </c>
      <c r="D123" s="821">
        <v>6.5319999999999996E-3</v>
      </c>
      <c r="E123" s="819">
        <v>65432413</v>
      </c>
      <c r="F123" s="819">
        <f>VLOOKUP(A123,'TSERS Contributions FY 2018'!A:C,3)</f>
        <v>10109093</v>
      </c>
      <c r="G123" s="822"/>
      <c r="H123" s="819">
        <v>4775301</v>
      </c>
      <c r="I123" s="819">
        <v>6235720</v>
      </c>
      <c r="J123" s="819">
        <v>13130602</v>
      </c>
      <c r="K123" s="819">
        <v>7556</v>
      </c>
      <c r="L123" s="822"/>
      <c r="M123" s="819">
        <v>656658</v>
      </c>
      <c r="N123" s="826"/>
      <c r="O123" s="819">
        <v>0</v>
      </c>
      <c r="P123" s="819">
        <v>522800</v>
      </c>
      <c r="Q123" s="822"/>
      <c r="R123" s="819">
        <v>14986701</v>
      </c>
      <c r="S123" s="819">
        <v>-367962</v>
      </c>
      <c r="T123" s="819">
        <v>14618739</v>
      </c>
      <c r="U123" s="819">
        <f t="shared" si="2"/>
        <v>124790700</v>
      </c>
      <c r="V123" s="819">
        <v>15624931</v>
      </c>
    </row>
    <row r="124" spans="1:22" x14ac:dyDescent="0.25">
      <c r="A124" s="820">
        <v>32901</v>
      </c>
      <c r="B124" s="810" t="s">
        <v>1550</v>
      </c>
      <c r="C124" s="821">
        <v>1.6789999999999999E-4</v>
      </c>
      <c r="D124" s="821">
        <v>1.4310000000000001E-4</v>
      </c>
      <c r="E124" s="819">
        <v>1671627</v>
      </c>
      <c r="F124" s="819">
        <f>VLOOKUP(A124,'TSERS Contributions FY 2018'!A:C,3)</f>
        <v>221898</v>
      </c>
      <c r="G124" s="822"/>
      <c r="H124" s="819">
        <v>121996</v>
      </c>
      <c r="I124" s="819">
        <v>159306</v>
      </c>
      <c r="J124" s="819">
        <v>335453</v>
      </c>
      <c r="K124" s="819">
        <v>197482</v>
      </c>
      <c r="L124" s="822"/>
      <c r="M124" s="819">
        <v>16776</v>
      </c>
      <c r="N124" s="826"/>
      <c r="O124" s="819">
        <v>0</v>
      </c>
      <c r="P124" s="819">
        <v>136079</v>
      </c>
      <c r="Q124" s="822"/>
      <c r="R124" s="819">
        <v>382871</v>
      </c>
      <c r="S124" s="819">
        <v>159405</v>
      </c>
      <c r="T124" s="819">
        <v>542276</v>
      </c>
      <c r="U124" s="819">
        <f t="shared" si="2"/>
        <v>3188077</v>
      </c>
      <c r="V124" s="819">
        <v>399176</v>
      </c>
    </row>
    <row r="125" spans="1:22" x14ac:dyDescent="0.25">
      <c r="A125" s="820">
        <v>32905</v>
      </c>
      <c r="B125" s="810" t="s">
        <v>906</v>
      </c>
      <c r="C125" s="821">
        <v>9.3470000000000001E-4</v>
      </c>
      <c r="D125" s="821">
        <v>9.6400000000000001E-4</v>
      </c>
      <c r="E125" s="819">
        <v>9305956</v>
      </c>
      <c r="F125" s="819">
        <f>VLOOKUP(A125,'TSERS Contributions FY 2018'!A:C,3)</f>
        <v>1577054</v>
      </c>
      <c r="G125" s="822"/>
      <c r="H125" s="819">
        <v>679155</v>
      </c>
      <c r="I125" s="819">
        <v>886859</v>
      </c>
      <c r="J125" s="819">
        <v>1867466</v>
      </c>
      <c r="K125" s="819">
        <v>111866</v>
      </c>
      <c r="L125" s="822"/>
      <c r="M125" s="819">
        <v>93391</v>
      </c>
      <c r="N125" s="826"/>
      <c r="O125" s="819">
        <v>0</v>
      </c>
      <c r="P125" s="819">
        <v>108912</v>
      </c>
      <c r="Q125" s="822"/>
      <c r="R125" s="819">
        <v>2131445</v>
      </c>
      <c r="S125" s="819">
        <v>-61102</v>
      </c>
      <c r="T125" s="819">
        <v>2070343</v>
      </c>
      <c r="U125" s="819">
        <f t="shared" si="2"/>
        <v>17748036</v>
      </c>
      <c r="V125" s="819">
        <v>2222216</v>
      </c>
    </row>
    <row r="126" spans="1:22" x14ac:dyDescent="0.25">
      <c r="A126" s="820">
        <v>32910</v>
      </c>
      <c r="B126" s="810" t="s">
        <v>907</v>
      </c>
      <c r="C126" s="821">
        <v>1.2187999999999999E-3</v>
      </c>
      <c r="D126" s="821">
        <v>1.2267000000000001E-3</v>
      </c>
      <c r="E126" s="819">
        <v>12134481</v>
      </c>
      <c r="F126" s="819">
        <f>VLOOKUP(A126,'TSERS Contributions FY 2018'!A:C,3)</f>
        <v>1990880</v>
      </c>
      <c r="G126" s="822"/>
      <c r="H126" s="819">
        <v>885583</v>
      </c>
      <c r="I126" s="819">
        <v>1156418</v>
      </c>
      <c r="J126" s="819">
        <v>2435078</v>
      </c>
      <c r="K126" s="819">
        <v>22410</v>
      </c>
      <c r="L126" s="822"/>
      <c r="M126" s="819">
        <v>121778</v>
      </c>
      <c r="N126" s="826"/>
      <c r="O126" s="819">
        <v>0</v>
      </c>
      <c r="P126" s="819">
        <v>68095</v>
      </c>
      <c r="Q126" s="822"/>
      <c r="R126" s="819">
        <v>2779293</v>
      </c>
      <c r="S126" s="819">
        <v>-86414</v>
      </c>
      <c r="T126" s="819">
        <v>2692879</v>
      </c>
      <c r="U126" s="819">
        <f t="shared" si="2"/>
        <v>23142512</v>
      </c>
      <c r="V126" s="819">
        <v>2897653</v>
      </c>
    </row>
    <row r="127" spans="1:22" x14ac:dyDescent="0.25">
      <c r="A127" s="820">
        <v>32920</v>
      </c>
      <c r="B127" s="810" t="s">
        <v>908</v>
      </c>
      <c r="C127" s="821">
        <v>1.0493E-3</v>
      </c>
      <c r="D127" s="821">
        <v>1.0145E-3</v>
      </c>
      <c r="E127" s="819">
        <v>10446924</v>
      </c>
      <c r="F127" s="819">
        <f>VLOOKUP(A127,'TSERS Contributions FY 2018'!A:C,3)</f>
        <v>1571809</v>
      </c>
      <c r="G127" s="822"/>
      <c r="H127" s="819">
        <v>762423</v>
      </c>
      <c r="I127" s="819">
        <v>995594</v>
      </c>
      <c r="J127" s="819">
        <v>2096429</v>
      </c>
      <c r="K127" s="819">
        <v>87504</v>
      </c>
      <c r="L127" s="822"/>
      <c r="M127" s="819">
        <v>104842</v>
      </c>
      <c r="N127" s="826"/>
      <c r="O127" s="819">
        <v>0</v>
      </c>
      <c r="P127" s="819">
        <v>60448</v>
      </c>
      <c r="Q127" s="822"/>
      <c r="R127" s="819">
        <v>2392773</v>
      </c>
      <c r="S127" s="819">
        <v>-49798</v>
      </c>
      <c r="T127" s="819">
        <v>2342975</v>
      </c>
      <c r="U127" s="819">
        <f t="shared" si="2"/>
        <v>19924055</v>
      </c>
      <c r="V127" s="819">
        <v>2494673</v>
      </c>
    </row>
    <row r="128" spans="1:22" x14ac:dyDescent="0.25">
      <c r="A128" s="820">
        <v>33000</v>
      </c>
      <c r="B128" s="810" t="s">
        <v>909</v>
      </c>
      <c r="C128" s="821">
        <v>2.4895E-3</v>
      </c>
      <c r="D128" s="821">
        <v>2.4756000000000001E-3</v>
      </c>
      <c r="E128" s="819">
        <v>24785684</v>
      </c>
      <c r="F128" s="819">
        <f>VLOOKUP(A128,'TSERS Contributions FY 2018'!A:C,3)</f>
        <v>3743566</v>
      </c>
      <c r="G128" s="822"/>
      <c r="H128" s="819">
        <v>1808876</v>
      </c>
      <c r="I128" s="819">
        <v>2362080</v>
      </c>
      <c r="J128" s="819">
        <v>4973849</v>
      </c>
      <c r="K128" s="819">
        <v>0</v>
      </c>
      <c r="L128" s="822"/>
      <c r="M128" s="819">
        <v>248741</v>
      </c>
      <c r="N128" s="826"/>
      <c r="O128" s="819">
        <v>0</v>
      </c>
      <c r="P128" s="819">
        <v>503655</v>
      </c>
      <c r="Q128" s="822"/>
      <c r="R128" s="819">
        <v>5676936</v>
      </c>
      <c r="S128" s="819">
        <v>-317313</v>
      </c>
      <c r="T128" s="819">
        <v>5359623</v>
      </c>
      <c r="U128" s="819">
        <f t="shared" si="2"/>
        <v>47270499</v>
      </c>
      <c r="V128" s="819">
        <v>5918697</v>
      </c>
    </row>
    <row r="129" spans="1:22" x14ac:dyDescent="0.25">
      <c r="A129" s="820">
        <v>33001</v>
      </c>
      <c r="B129" s="810" t="s">
        <v>910</v>
      </c>
      <c r="C129" s="821">
        <v>7.64E-5</v>
      </c>
      <c r="D129" s="821">
        <v>8.3700000000000002E-5</v>
      </c>
      <c r="E129" s="819">
        <v>760645</v>
      </c>
      <c r="F129" s="819">
        <f>VLOOKUP(A129,'TSERS Contributions FY 2018'!A:C,3)</f>
        <v>97035</v>
      </c>
      <c r="G129" s="822"/>
      <c r="H129" s="819">
        <v>55512</v>
      </c>
      <c r="I129" s="819">
        <v>72490</v>
      </c>
      <c r="J129" s="819">
        <v>152642</v>
      </c>
      <c r="K129" s="819">
        <v>43795</v>
      </c>
      <c r="L129" s="822"/>
      <c r="M129" s="819">
        <v>7634</v>
      </c>
      <c r="N129" s="826"/>
      <c r="O129" s="819">
        <v>0</v>
      </c>
      <c r="P129" s="819">
        <v>49646</v>
      </c>
      <c r="Q129" s="822"/>
      <c r="R129" s="819">
        <v>174219</v>
      </c>
      <c r="S129" s="819">
        <v>42016</v>
      </c>
      <c r="T129" s="819">
        <v>216235</v>
      </c>
      <c r="U129" s="819">
        <f t="shared" si="2"/>
        <v>1450679</v>
      </c>
      <c r="V129" s="819">
        <v>181638</v>
      </c>
    </row>
    <row r="130" spans="1:22" x14ac:dyDescent="0.25">
      <c r="A130" s="820">
        <v>33027</v>
      </c>
      <c r="B130" s="810" t="s">
        <v>911</v>
      </c>
      <c r="C130" s="821">
        <v>3.0729999999999999E-4</v>
      </c>
      <c r="D130" s="821">
        <v>2.8249999999999998E-4</v>
      </c>
      <c r="E130" s="819">
        <v>3059506</v>
      </c>
      <c r="F130" s="819">
        <f>VLOOKUP(A130,'TSERS Contributions FY 2018'!A:C,3)</f>
        <v>403774</v>
      </c>
      <c r="G130" s="822"/>
      <c r="H130" s="819">
        <v>223285</v>
      </c>
      <c r="I130" s="819">
        <v>291571</v>
      </c>
      <c r="J130" s="819">
        <v>613964</v>
      </c>
      <c r="K130" s="819">
        <v>192439</v>
      </c>
      <c r="L130" s="822"/>
      <c r="M130" s="819">
        <v>30704</v>
      </c>
      <c r="N130" s="826"/>
      <c r="O130" s="819">
        <v>0</v>
      </c>
      <c r="P130" s="819">
        <v>0</v>
      </c>
      <c r="Q130" s="822"/>
      <c r="R130" s="819">
        <v>700752</v>
      </c>
      <c r="S130" s="819">
        <v>165723</v>
      </c>
      <c r="T130" s="819">
        <v>866475</v>
      </c>
      <c r="U130" s="819">
        <f t="shared" si="2"/>
        <v>5834997</v>
      </c>
      <c r="V130" s="819">
        <v>730595</v>
      </c>
    </row>
    <row r="131" spans="1:22" x14ac:dyDescent="0.25">
      <c r="A131" s="820">
        <v>33100</v>
      </c>
      <c r="B131" s="810" t="s">
        <v>912</v>
      </c>
      <c r="C131" s="821">
        <v>3.4607000000000001E-3</v>
      </c>
      <c r="D131" s="821">
        <v>3.5601999999999999E-3</v>
      </c>
      <c r="E131" s="819">
        <v>34455037</v>
      </c>
      <c r="F131" s="819">
        <f>VLOOKUP(A131,'TSERS Contributions FY 2018'!A:C,3)</f>
        <v>5446618</v>
      </c>
      <c r="G131" s="822"/>
      <c r="H131" s="819">
        <v>2514552</v>
      </c>
      <c r="I131" s="819">
        <v>3283571</v>
      </c>
      <c r="J131" s="819">
        <v>6914240</v>
      </c>
      <c r="K131" s="819">
        <v>191415</v>
      </c>
      <c r="L131" s="822"/>
      <c r="M131" s="819">
        <v>345779</v>
      </c>
      <c r="N131" s="826"/>
      <c r="O131" s="819">
        <v>0</v>
      </c>
      <c r="P131" s="819">
        <v>824602</v>
      </c>
      <c r="Q131" s="822"/>
      <c r="R131" s="819">
        <v>7891614</v>
      </c>
      <c r="S131" s="819">
        <v>48666</v>
      </c>
      <c r="T131" s="819">
        <v>7940280</v>
      </c>
      <c r="U131" s="819">
        <f t="shared" si="2"/>
        <v>65711595</v>
      </c>
      <c r="V131" s="819">
        <v>8227690</v>
      </c>
    </row>
    <row r="132" spans="1:22" x14ac:dyDescent="0.25">
      <c r="A132" s="820">
        <v>33105</v>
      </c>
      <c r="B132" s="810" t="s">
        <v>913</v>
      </c>
      <c r="C132" s="821">
        <v>3.9429999999999999E-4</v>
      </c>
      <c r="D132" s="821">
        <v>4.0299999999999998E-4</v>
      </c>
      <c r="E132" s="819">
        <v>3925686</v>
      </c>
      <c r="F132" s="819">
        <f>VLOOKUP(A132,'TSERS Contributions FY 2018'!A:C,3)</f>
        <v>641740</v>
      </c>
      <c r="G132" s="822"/>
      <c r="H132" s="819">
        <v>286499</v>
      </c>
      <c r="I132" s="819">
        <v>374119</v>
      </c>
      <c r="J132" s="819">
        <v>787784</v>
      </c>
      <c r="K132" s="819">
        <v>32393</v>
      </c>
      <c r="L132" s="822"/>
      <c r="M132" s="819">
        <v>39397</v>
      </c>
      <c r="N132" s="826"/>
      <c r="O132" s="819">
        <v>0</v>
      </c>
      <c r="P132" s="819">
        <v>85474</v>
      </c>
      <c r="Q132" s="822"/>
      <c r="R132" s="819">
        <v>899143</v>
      </c>
      <c r="S132" s="819">
        <v>-56444</v>
      </c>
      <c r="T132" s="819">
        <v>842699</v>
      </c>
      <c r="U132" s="819">
        <f t="shared" si="2"/>
        <v>7486948</v>
      </c>
      <c r="V132" s="819">
        <v>937434</v>
      </c>
    </row>
    <row r="133" spans="1:22" x14ac:dyDescent="0.25">
      <c r="A133" s="820">
        <v>33200</v>
      </c>
      <c r="B133" s="810" t="s">
        <v>914</v>
      </c>
      <c r="C133" s="821">
        <v>1.52535E-2</v>
      </c>
      <c r="D133" s="821">
        <v>1.55155E-2</v>
      </c>
      <c r="E133" s="819">
        <v>151865204</v>
      </c>
      <c r="F133" s="819">
        <f>VLOOKUP(A133,'TSERS Contributions FY 2018'!A:C,3)</f>
        <v>22995672</v>
      </c>
      <c r="G133" s="822"/>
      <c r="H133" s="819">
        <v>11083224</v>
      </c>
      <c r="I133" s="819">
        <v>14472780</v>
      </c>
      <c r="J133" s="819">
        <v>30475441</v>
      </c>
      <c r="K133" s="819">
        <v>448047</v>
      </c>
      <c r="L133" s="822"/>
      <c r="M133" s="819">
        <v>1524069</v>
      </c>
      <c r="N133" s="826"/>
      <c r="O133" s="819">
        <v>0</v>
      </c>
      <c r="P133" s="819">
        <v>3483706</v>
      </c>
      <c r="Q133" s="822"/>
      <c r="R133" s="819">
        <v>34783349</v>
      </c>
      <c r="S133" s="819">
        <v>-1103400</v>
      </c>
      <c r="T133" s="819">
        <v>33679949</v>
      </c>
      <c r="U133" s="819">
        <f t="shared" si="2"/>
        <v>289632680</v>
      </c>
      <c r="V133" s="819">
        <v>36264647</v>
      </c>
    </row>
    <row r="134" spans="1:22" x14ac:dyDescent="0.25">
      <c r="A134" s="820">
        <v>33202</v>
      </c>
      <c r="B134" s="810" t="s">
        <v>915</v>
      </c>
      <c r="C134" s="821">
        <v>2.653E-4</v>
      </c>
      <c r="D134" s="821">
        <v>2.2599999999999999E-4</v>
      </c>
      <c r="E134" s="819">
        <v>2641350</v>
      </c>
      <c r="F134" s="819">
        <f>VLOOKUP(A134,'TSERS Contributions FY 2018'!A:C,3)</f>
        <v>336556</v>
      </c>
      <c r="G134" s="822"/>
      <c r="H134" s="819">
        <v>192768</v>
      </c>
      <c r="I134" s="819">
        <v>251721</v>
      </c>
      <c r="J134" s="819">
        <v>530051</v>
      </c>
      <c r="K134" s="819">
        <v>217209</v>
      </c>
      <c r="L134" s="822"/>
      <c r="M134" s="819">
        <v>26508</v>
      </c>
      <c r="N134" s="826"/>
      <c r="O134" s="819">
        <v>0</v>
      </c>
      <c r="P134" s="819">
        <v>0</v>
      </c>
      <c r="Q134" s="822"/>
      <c r="R134" s="819">
        <v>604977</v>
      </c>
      <c r="S134" s="819">
        <v>112419</v>
      </c>
      <c r="T134" s="819">
        <v>717396</v>
      </c>
      <c r="U134" s="819">
        <f t="shared" ref="U134:U197" si="3">C134*18987949000</f>
        <v>5037503</v>
      </c>
      <c r="V134" s="819">
        <v>630741</v>
      </c>
    </row>
    <row r="135" spans="1:22" x14ac:dyDescent="0.25">
      <c r="A135" s="820">
        <v>33203</v>
      </c>
      <c r="B135" s="810" t="s">
        <v>916</v>
      </c>
      <c r="C135" s="821">
        <v>1.3520000000000001E-4</v>
      </c>
      <c r="D135" s="821">
        <v>1.418E-4</v>
      </c>
      <c r="E135" s="819">
        <v>1346063</v>
      </c>
      <c r="F135" s="819">
        <f>VLOOKUP(A135,'TSERS Contributions FY 2018'!A:C,3)</f>
        <v>170615</v>
      </c>
      <c r="G135" s="822"/>
      <c r="H135" s="819">
        <v>98237</v>
      </c>
      <c r="I135" s="819">
        <v>128280</v>
      </c>
      <c r="J135" s="819">
        <v>270120</v>
      </c>
      <c r="K135" s="819">
        <v>8473</v>
      </c>
      <c r="L135" s="822"/>
      <c r="M135" s="819">
        <v>13509</v>
      </c>
      <c r="N135" s="826"/>
      <c r="O135" s="819">
        <v>0</v>
      </c>
      <c r="P135" s="819">
        <v>85056</v>
      </c>
      <c r="Q135" s="822"/>
      <c r="R135" s="819">
        <v>308304</v>
      </c>
      <c r="S135" s="819">
        <v>-20061</v>
      </c>
      <c r="T135" s="819">
        <v>288243</v>
      </c>
      <c r="U135" s="819">
        <f t="shared" si="3"/>
        <v>2567171</v>
      </c>
      <c r="V135" s="819">
        <v>321433</v>
      </c>
    </row>
    <row r="136" spans="1:22" x14ac:dyDescent="0.25">
      <c r="A136" s="820">
        <v>33204</v>
      </c>
      <c r="B136" s="810" t="s">
        <v>917</v>
      </c>
      <c r="C136" s="821">
        <v>4.1310000000000001E-4</v>
      </c>
      <c r="D136" s="821">
        <v>4.6000000000000001E-4</v>
      </c>
      <c r="E136" s="819">
        <v>4112860</v>
      </c>
      <c r="F136" s="819">
        <f>VLOOKUP(A136,'TSERS Contributions FY 2018'!A:C,3)</f>
        <v>538294</v>
      </c>
      <c r="G136" s="822"/>
      <c r="H136" s="819">
        <v>300159</v>
      </c>
      <c r="I136" s="819">
        <v>391956</v>
      </c>
      <c r="J136" s="819">
        <v>825345</v>
      </c>
      <c r="K136" s="819">
        <v>7041</v>
      </c>
      <c r="L136" s="822"/>
      <c r="M136" s="819">
        <v>41275</v>
      </c>
      <c r="N136" s="826"/>
      <c r="O136" s="819">
        <v>0</v>
      </c>
      <c r="P136" s="819">
        <v>308749</v>
      </c>
      <c r="Q136" s="822"/>
      <c r="R136" s="819">
        <v>942013</v>
      </c>
      <c r="S136" s="819">
        <v>-115660</v>
      </c>
      <c r="T136" s="819">
        <v>826353</v>
      </c>
      <c r="U136" s="819">
        <f t="shared" si="3"/>
        <v>7843922</v>
      </c>
      <c r="V136" s="819">
        <v>982130</v>
      </c>
    </row>
    <row r="137" spans="1:22" x14ac:dyDescent="0.25">
      <c r="A137" s="820">
        <v>33205</v>
      </c>
      <c r="B137" s="810" t="s">
        <v>918</v>
      </c>
      <c r="C137" s="821">
        <v>1.2589999999999999E-3</v>
      </c>
      <c r="D137" s="821">
        <v>1.3364E-3</v>
      </c>
      <c r="E137" s="819">
        <v>12534716</v>
      </c>
      <c r="F137" s="819">
        <f>VLOOKUP(A137,'TSERS Contributions FY 2018'!A:C,3)</f>
        <v>2042301</v>
      </c>
      <c r="G137" s="822"/>
      <c r="H137" s="819">
        <v>914792</v>
      </c>
      <c r="I137" s="819">
        <v>1194561</v>
      </c>
      <c r="J137" s="819">
        <v>2515395</v>
      </c>
      <c r="K137" s="819">
        <v>226050</v>
      </c>
      <c r="L137" s="822"/>
      <c r="M137" s="819">
        <v>125794</v>
      </c>
      <c r="N137" s="826"/>
      <c r="O137" s="819">
        <v>0</v>
      </c>
      <c r="P137" s="819">
        <v>302466</v>
      </c>
      <c r="Q137" s="822"/>
      <c r="R137" s="819">
        <v>2870963</v>
      </c>
      <c r="S137" s="819">
        <v>50460</v>
      </c>
      <c r="T137" s="819">
        <v>2921423</v>
      </c>
      <c r="U137" s="819">
        <f t="shared" si="3"/>
        <v>23905828</v>
      </c>
      <c r="V137" s="819">
        <v>2993227</v>
      </c>
    </row>
    <row r="138" spans="1:22" x14ac:dyDescent="0.25">
      <c r="A138" s="820">
        <v>33206</v>
      </c>
      <c r="B138" s="810" t="s">
        <v>919</v>
      </c>
      <c r="C138" s="821">
        <v>1.2180000000000001E-4</v>
      </c>
      <c r="D138" s="821">
        <v>1.1349999999999999E-4</v>
      </c>
      <c r="E138" s="819">
        <v>1212652</v>
      </c>
      <c r="F138" s="819">
        <f>VLOOKUP(A138,'TSERS Contributions FY 2018'!A:C,3)</f>
        <v>183833</v>
      </c>
      <c r="G138" s="822"/>
      <c r="H138" s="819">
        <v>88500</v>
      </c>
      <c r="I138" s="819">
        <v>115566</v>
      </c>
      <c r="J138" s="819">
        <v>243348</v>
      </c>
      <c r="K138" s="819">
        <v>51641</v>
      </c>
      <c r="L138" s="822"/>
      <c r="M138" s="819">
        <v>12170</v>
      </c>
      <c r="N138" s="826"/>
      <c r="O138" s="819">
        <v>0</v>
      </c>
      <c r="P138" s="819">
        <v>4447</v>
      </c>
      <c r="Q138" s="822"/>
      <c r="R138" s="819">
        <v>277747</v>
      </c>
      <c r="S138" s="819">
        <v>28249</v>
      </c>
      <c r="T138" s="819">
        <v>305996</v>
      </c>
      <c r="U138" s="819">
        <f t="shared" si="3"/>
        <v>2312732</v>
      </c>
      <c r="V138" s="819">
        <v>289575</v>
      </c>
    </row>
    <row r="139" spans="1:22" x14ac:dyDescent="0.25">
      <c r="A139" s="820">
        <v>33207</v>
      </c>
      <c r="B139" s="810" t="s">
        <v>1134</v>
      </c>
      <c r="C139" s="821">
        <v>3.5290000000000001E-4</v>
      </c>
      <c r="D139" s="821">
        <v>3.0190000000000002E-4</v>
      </c>
      <c r="E139" s="819">
        <v>3513504</v>
      </c>
      <c r="F139" s="819">
        <f>VLOOKUP(A139,'TSERS Contributions FY 2018'!A:C,3)</f>
        <v>412372</v>
      </c>
      <c r="G139" s="822"/>
      <c r="H139" s="819">
        <v>256418</v>
      </c>
      <c r="I139" s="819">
        <v>334838</v>
      </c>
      <c r="J139" s="819">
        <v>705070</v>
      </c>
      <c r="K139" s="819">
        <v>471045</v>
      </c>
      <c r="L139" s="822"/>
      <c r="M139" s="819">
        <v>35260</v>
      </c>
      <c r="N139" s="826"/>
      <c r="O139" s="819">
        <v>0</v>
      </c>
      <c r="P139" s="819">
        <v>0</v>
      </c>
      <c r="Q139" s="822"/>
      <c r="R139" s="819">
        <v>804736</v>
      </c>
      <c r="S139" s="819">
        <v>323937</v>
      </c>
      <c r="T139" s="819">
        <v>1128673</v>
      </c>
      <c r="U139" s="819">
        <f t="shared" si="3"/>
        <v>6700847</v>
      </c>
      <c r="V139" s="819">
        <v>839007</v>
      </c>
    </row>
    <row r="140" spans="1:22" x14ac:dyDescent="0.25">
      <c r="A140" s="820">
        <v>33208</v>
      </c>
      <c r="B140" s="810" t="s">
        <v>1135</v>
      </c>
      <c r="C140" s="821">
        <v>0</v>
      </c>
      <c r="D140" s="821">
        <v>0</v>
      </c>
      <c r="E140" s="819">
        <v>0</v>
      </c>
      <c r="F140" s="819">
        <f>VLOOKUP(A140,'TSERS Contributions FY 2018'!A:C,3)</f>
        <v>0</v>
      </c>
      <c r="G140" s="822"/>
      <c r="H140" s="819">
        <v>0</v>
      </c>
      <c r="I140" s="819">
        <v>0</v>
      </c>
      <c r="J140" s="819">
        <v>0</v>
      </c>
      <c r="K140" s="819">
        <v>21993</v>
      </c>
      <c r="L140" s="822"/>
      <c r="M140" s="819">
        <v>0</v>
      </c>
      <c r="N140" s="826"/>
      <c r="O140" s="819">
        <v>0</v>
      </c>
      <c r="P140" s="819">
        <v>95337</v>
      </c>
      <c r="Q140" s="822"/>
      <c r="R140" s="819">
        <v>0</v>
      </c>
      <c r="S140" s="819">
        <v>-13087</v>
      </c>
      <c r="T140" s="819">
        <v>-13087</v>
      </c>
      <c r="U140" s="819">
        <f t="shared" si="3"/>
        <v>0</v>
      </c>
      <c r="V140" s="819">
        <v>0</v>
      </c>
    </row>
    <row r="141" spans="1:22" x14ac:dyDescent="0.25">
      <c r="A141" s="820">
        <v>33209</v>
      </c>
      <c r="B141" s="810" t="s">
        <v>1136</v>
      </c>
      <c r="C141" s="821">
        <v>1.036E-4</v>
      </c>
      <c r="D141" s="821">
        <v>7.6600000000000005E-5</v>
      </c>
      <c r="E141" s="819">
        <v>1031451</v>
      </c>
      <c r="F141" s="819">
        <f>VLOOKUP(A141,'TSERS Contributions FY 2018'!A:C,3)</f>
        <v>149857</v>
      </c>
      <c r="G141" s="822"/>
      <c r="H141" s="819">
        <v>75276</v>
      </c>
      <c r="I141" s="819">
        <v>98297</v>
      </c>
      <c r="J141" s="819">
        <v>206986</v>
      </c>
      <c r="K141" s="819">
        <v>173328</v>
      </c>
      <c r="L141" s="822"/>
      <c r="M141" s="819">
        <v>10351</v>
      </c>
      <c r="N141" s="826"/>
      <c r="O141" s="819">
        <v>0</v>
      </c>
      <c r="P141" s="819">
        <v>0</v>
      </c>
      <c r="Q141" s="822"/>
      <c r="R141" s="819">
        <v>236244</v>
      </c>
      <c r="S141" s="819">
        <v>114990</v>
      </c>
      <c r="T141" s="819">
        <v>351234</v>
      </c>
      <c r="U141" s="819">
        <f t="shared" si="3"/>
        <v>1967152</v>
      </c>
      <c r="V141" s="819">
        <v>246305</v>
      </c>
    </row>
    <row r="142" spans="1:22" x14ac:dyDescent="0.25">
      <c r="A142" s="820">
        <v>33300</v>
      </c>
      <c r="B142" s="810" t="s">
        <v>920</v>
      </c>
      <c r="C142" s="821">
        <v>2.3040000000000001E-3</v>
      </c>
      <c r="D142" s="821">
        <v>2.2932999999999999E-3</v>
      </c>
      <c r="E142" s="819">
        <v>22938829</v>
      </c>
      <c r="F142" s="819">
        <f>VLOOKUP(A142,'TSERS Contributions FY 2018'!A:C,3)</f>
        <v>3572119</v>
      </c>
      <c r="G142" s="822"/>
      <c r="H142" s="819">
        <v>1674091</v>
      </c>
      <c r="I142" s="819">
        <v>2186074</v>
      </c>
      <c r="J142" s="819">
        <v>4603233</v>
      </c>
      <c r="K142" s="819">
        <v>0</v>
      </c>
      <c r="L142" s="822"/>
      <c r="M142" s="819">
        <v>230206</v>
      </c>
      <c r="N142" s="826"/>
      <c r="O142" s="819">
        <v>0</v>
      </c>
      <c r="P142" s="819">
        <v>58597</v>
      </c>
      <c r="Q142" s="822"/>
      <c r="R142" s="819">
        <v>5253931</v>
      </c>
      <c r="S142" s="819">
        <v>-159389</v>
      </c>
      <c r="T142" s="819">
        <v>5094542</v>
      </c>
      <c r="U142" s="819">
        <f t="shared" si="3"/>
        <v>43748234</v>
      </c>
      <c r="V142" s="819">
        <v>5477677</v>
      </c>
    </row>
    <row r="143" spans="1:22" x14ac:dyDescent="0.25">
      <c r="A143" s="820">
        <v>33305</v>
      </c>
      <c r="B143" s="810" t="s">
        <v>921</v>
      </c>
      <c r="C143" s="821">
        <v>5.5380000000000002E-4</v>
      </c>
      <c r="D143" s="821">
        <v>5.6919999999999996E-4</v>
      </c>
      <c r="E143" s="819">
        <v>5513682</v>
      </c>
      <c r="F143" s="819">
        <f>VLOOKUP(A143,'TSERS Contributions FY 2018'!A:C,3)</f>
        <v>1048310</v>
      </c>
      <c r="G143" s="822"/>
      <c r="H143" s="819">
        <v>402392</v>
      </c>
      <c r="I143" s="819">
        <v>525455</v>
      </c>
      <c r="J143" s="819">
        <v>1106454</v>
      </c>
      <c r="K143" s="819">
        <v>75142</v>
      </c>
      <c r="L143" s="822"/>
      <c r="M143" s="819">
        <v>55333</v>
      </c>
      <c r="N143" s="826"/>
      <c r="O143" s="819">
        <v>0</v>
      </c>
      <c r="P143" s="819">
        <v>18517</v>
      </c>
      <c r="Q143" s="822"/>
      <c r="R143" s="819">
        <v>1262859</v>
      </c>
      <c r="S143" s="819">
        <v>-12684</v>
      </c>
      <c r="T143" s="819">
        <v>1250175</v>
      </c>
      <c r="U143" s="819">
        <f t="shared" si="3"/>
        <v>10515526</v>
      </c>
      <c r="V143" s="819">
        <v>1316640</v>
      </c>
    </row>
    <row r="144" spans="1:22" x14ac:dyDescent="0.25">
      <c r="A144" s="820">
        <v>33400</v>
      </c>
      <c r="B144" s="810" t="s">
        <v>922</v>
      </c>
      <c r="C144" s="821">
        <v>2.06883E-2</v>
      </c>
      <c r="D144" s="821">
        <v>2.0501200000000001E-2</v>
      </c>
      <c r="E144" s="819">
        <v>205974556</v>
      </c>
      <c r="F144" s="819">
        <f>VLOOKUP(A144,'TSERS Contributions FY 2018'!A:C,3)</f>
        <v>32523387</v>
      </c>
      <c r="G144" s="822"/>
      <c r="H144" s="819">
        <v>15032160</v>
      </c>
      <c r="I144" s="819">
        <v>19629411</v>
      </c>
      <c r="J144" s="819">
        <v>41333796</v>
      </c>
      <c r="K144" s="819">
        <v>956583</v>
      </c>
      <c r="L144" s="822"/>
      <c r="M144" s="819">
        <v>2067092</v>
      </c>
      <c r="N144" s="826"/>
      <c r="O144" s="819">
        <v>0</v>
      </c>
      <c r="P144" s="819">
        <v>205500</v>
      </c>
      <c r="Q144" s="822"/>
      <c r="R144" s="819">
        <v>47176606</v>
      </c>
      <c r="S144" s="819">
        <v>789007</v>
      </c>
      <c r="T144" s="819">
        <v>47965613</v>
      </c>
      <c r="U144" s="819">
        <f t="shared" si="3"/>
        <v>392828385</v>
      </c>
      <c r="V144" s="819">
        <v>49185688</v>
      </c>
    </row>
    <row r="145" spans="1:22" x14ac:dyDescent="0.25">
      <c r="A145" s="820">
        <v>33402</v>
      </c>
      <c r="B145" s="810" t="s">
        <v>923</v>
      </c>
      <c r="C145" s="821">
        <v>1.7430000000000001E-4</v>
      </c>
      <c r="D145" s="821">
        <v>1.6369999999999999E-4</v>
      </c>
      <c r="E145" s="819">
        <v>1735346</v>
      </c>
      <c r="F145" s="819">
        <f>VLOOKUP(A145,'TSERS Contributions FY 2018'!A:C,3)</f>
        <v>233141</v>
      </c>
      <c r="G145" s="822"/>
      <c r="H145" s="819">
        <v>126647</v>
      </c>
      <c r="I145" s="819">
        <v>165379</v>
      </c>
      <c r="J145" s="819">
        <v>348239</v>
      </c>
      <c r="K145" s="819">
        <v>19932</v>
      </c>
      <c r="L145" s="822"/>
      <c r="M145" s="819">
        <v>17415</v>
      </c>
      <c r="N145" s="826"/>
      <c r="O145" s="819">
        <v>0</v>
      </c>
      <c r="P145" s="819">
        <v>1108</v>
      </c>
      <c r="Q145" s="822"/>
      <c r="R145" s="819">
        <v>397465</v>
      </c>
      <c r="S145" s="819">
        <v>19600</v>
      </c>
      <c r="T145" s="819">
        <v>417065</v>
      </c>
      <c r="U145" s="819">
        <f t="shared" si="3"/>
        <v>3309600</v>
      </c>
      <c r="V145" s="819">
        <v>414392</v>
      </c>
    </row>
    <row r="146" spans="1:22" x14ac:dyDescent="0.25">
      <c r="A146" s="820">
        <v>33403</v>
      </c>
      <c r="B146" s="810" t="s">
        <v>1685</v>
      </c>
      <c r="C146" s="821">
        <v>0</v>
      </c>
      <c r="D146" s="821">
        <v>0</v>
      </c>
      <c r="E146" s="819">
        <v>0</v>
      </c>
      <c r="F146" s="819">
        <f>VLOOKUP(A146,'TSERS Contributions FY 2018'!A:C,3)</f>
        <v>0</v>
      </c>
      <c r="G146" s="822"/>
      <c r="H146" s="819">
        <v>0</v>
      </c>
      <c r="I146" s="819">
        <v>0</v>
      </c>
      <c r="J146" s="819">
        <v>0</v>
      </c>
      <c r="K146" s="819">
        <v>0</v>
      </c>
      <c r="L146" s="822"/>
      <c r="M146" s="819">
        <v>0</v>
      </c>
      <c r="N146" s="826"/>
      <c r="O146" s="819">
        <v>0</v>
      </c>
      <c r="P146" s="819">
        <v>0</v>
      </c>
      <c r="Q146" s="822"/>
      <c r="R146" s="819">
        <v>0</v>
      </c>
      <c r="S146" s="819">
        <v>-40052</v>
      </c>
      <c r="T146" s="819">
        <v>-40052</v>
      </c>
      <c r="U146" s="819">
        <f t="shared" si="3"/>
        <v>0</v>
      </c>
      <c r="V146" s="819">
        <v>0</v>
      </c>
    </row>
    <row r="147" spans="1:22" x14ac:dyDescent="0.25">
      <c r="A147" s="820">
        <v>33405</v>
      </c>
      <c r="B147" s="810" t="s">
        <v>925</v>
      </c>
      <c r="C147" s="821">
        <v>1.8523999999999999E-3</v>
      </c>
      <c r="D147" s="821">
        <v>1.9762E-3</v>
      </c>
      <c r="E147" s="819">
        <v>18442659</v>
      </c>
      <c r="F147" s="819">
        <f>VLOOKUP(A147,'TSERS Contributions FY 2018'!A:C,3)</f>
        <v>3191006</v>
      </c>
      <c r="G147" s="822"/>
      <c r="H147" s="819">
        <v>1345958</v>
      </c>
      <c r="I147" s="819">
        <v>1757589</v>
      </c>
      <c r="J147" s="819">
        <v>3700967</v>
      </c>
      <c r="K147" s="819">
        <v>87103</v>
      </c>
      <c r="L147" s="822"/>
      <c r="M147" s="819">
        <v>185084</v>
      </c>
      <c r="N147" s="826"/>
      <c r="O147" s="819">
        <v>0</v>
      </c>
      <c r="P147" s="819">
        <v>405083</v>
      </c>
      <c r="Q147" s="822"/>
      <c r="R147" s="819">
        <v>4224124</v>
      </c>
      <c r="S147" s="819">
        <v>81584</v>
      </c>
      <c r="T147" s="819">
        <v>4305708</v>
      </c>
      <c r="U147" s="819">
        <f t="shared" si="3"/>
        <v>35173277</v>
      </c>
      <c r="V147" s="819">
        <v>4404014</v>
      </c>
    </row>
    <row r="148" spans="1:22" x14ac:dyDescent="0.25">
      <c r="A148" s="820">
        <v>33500</v>
      </c>
      <c r="B148" s="810" t="s">
        <v>926</v>
      </c>
      <c r="C148" s="821">
        <v>3.1440000000000001E-3</v>
      </c>
      <c r="D148" s="821">
        <v>3.2347999999999999E-3</v>
      </c>
      <c r="E148" s="819">
        <v>31301944</v>
      </c>
      <c r="F148" s="819">
        <f>VLOOKUP(A148,'TSERS Contributions FY 2018'!A:C,3)</f>
        <v>4663451</v>
      </c>
      <c r="G148" s="822"/>
      <c r="H148" s="819">
        <v>2284437</v>
      </c>
      <c r="I148" s="819">
        <v>2983081</v>
      </c>
      <c r="J148" s="819">
        <v>6281495</v>
      </c>
      <c r="K148" s="819">
        <v>104047</v>
      </c>
      <c r="L148" s="822"/>
      <c r="M148" s="819">
        <v>314136</v>
      </c>
      <c r="N148" s="826"/>
      <c r="O148" s="819">
        <v>0</v>
      </c>
      <c r="P148" s="819">
        <v>1195136</v>
      </c>
      <c r="Q148" s="822"/>
      <c r="R148" s="819">
        <v>7169427</v>
      </c>
      <c r="S148" s="819">
        <v>-292409</v>
      </c>
      <c r="T148" s="819">
        <v>6877018</v>
      </c>
      <c r="U148" s="819">
        <f t="shared" si="3"/>
        <v>59698112</v>
      </c>
      <c r="V148" s="819">
        <v>7474747</v>
      </c>
    </row>
    <row r="149" spans="1:22" x14ac:dyDescent="0.25">
      <c r="A149" s="820">
        <v>33501</v>
      </c>
      <c r="B149" s="810" t="s">
        <v>927</v>
      </c>
      <c r="C149" s="821">
        <v>7.5699999999999997E-5</v>
      </c>
      <c r="D149" s="821">
        <v>7.8100000000000001E-5</v>
      </c>
      <c r="E149" s="819">
        <v>753676</v>
      </c>
      <c r="F149" s="819">
        <f>VLOOKUP(A149,'TSERS Contributions FY 2018'!A:C,3)</f>
        <v>107184</v>
      </c>
      <c r="G149" s="822"/>
      <c r="H149" s="819">
        <v>55004</v>
      </c>
      <c r="I149" s="819">
        <v>71825</v>
      </c>
      <c r="J149" s="819">
        <v>151243</v>
      </c>
      <c r="K149" s="819">
        <v>13977</v>
      </c>
      <c r="L149" s="822"/>
      <c r="M149" s="819">
        <v>7564</v>
      </c>
      <c r="N149" s="826"/>
      <c r="O149" s="819">
        <v>0</v>
      </c>
      <c r="P149" s="819">
        <v>20406</v>
      </c>
      <c r="Q149" s="822"/>
      <c r="R149" s="819">
        <v>172623</v>
      </c>
      <c r="S149" s="819">
        <v>-488</v>
      </c>
      <c r="T149" s="819">
        <v>172135</v>
      </c>
      <c r="U149" s="819">
        <f t="shared" si="3"/>
        <v>1437388</v>
      </c>
      <c r="V149" s="819">
        <v>179974</v>
      </c>
    </row>
    <row r="150" spans="1:22" x14ac:dyDescent="0.25">
      <c r="A150" s="820">
        <v>33600</v>
      </c>
      <c r="B150" s="810" t="s">
        <v>928</v>
      </c>
      <c r="C150" s="821">
        <v>1.1249E-2</v>
      </c>
      <c r="D150" s="821">
        <v>1.0969400000000001E-2</v>
      </c>
      <c r="E150" s="819">
        <v>111996045</v>
      </c>
      <c r="F150" s="819">
        <f>VLOOKUP(A150,'TSERS Contributions FY 2018'!A:C,3)</f>
        <v>16905232</v>
      </c>
      <c r="G150" s="822"/>
      <c r="H150" s="819">
        <v>8173546</v>
      </c>
      <c r="I150" s="819">
        <v>10673242</v>
      </c>
      <c r="J150" s="819">
        <v>22474726</v>
      </c>
      <c r="K150" s="819">
        <v>784302</v>
      </c>
      <c r="L150" s="822"/>
      <c r="M150" s="819">
        <v>1123955</v>
      </c>
      <c r="N150" s="826"/>
      <c r="O150" s="819">
        <v>0</v>
      </c>
      <c r="P150" s="819">
        <v>147243</v>
      </c>
      <c r="Q150" s="822"/>
      <c r="R150" s="819">
        <v>25651680</v>
      </c>
      <c r="S150" s="819">
        <v>238557</v>
      </c>
      <c r="T150" s="819">
        <v>25890237</v>
      </c>
      <c r="U150" s="819">
        <f t="shared" si="3"/>
        <v>213595438</v>
      </c>
      <c r="V150" s="819">
        <v>26744093</v>
      </c>
    </row>
    <row r="151" spans="1:22" x14ac:dyDescent="0.25">
      <c r="A151" s="820">
        <v>33605</v>
      </c>
      <c r="B151" s="810" t="s">
        <v>929</v>
      </c>
      <c r="C151" s="821">
        <v>1.3757000000000001E-3</v>
      </c>
      <c r="D151" s="821">
        <v>1.4507999999999999E-3</v>
      </c>
      <c r="E151" s="819">
        <v>13696592</v>
      </c>
      <c r="F151" s="819">
        <f>VLOOKUP(A151,'TSERS Contributions FY 2018'!A:C,3)</f>
        <v>2419233</v>
      </c>
      <c r="G151" s="822"/>
      <c r="H151" s="819">
        <v>999586</v>
      </c>
      <c r="I151" s="819">
        <v>1305288</v>
      </c>
      <c r="J151" s="819">
        <v>2748554</v>
      </c>
      <c r="K151" s="819">
        <v>86561</v>
      </c>
      <c r="L151" s="822"/>
      <c r="M151" s="819">
        <v>137454</v>
      </c>
      <c r="N151" s="826"/>
      <c r="O151" s="819">
        <v>0</v>
      </c>
      <c r="P151" s="819">
        <v>149317</v>
      </c>
      <c r="Q151" s="822"/>
      <c r="R151" s="819">
        <v>3137080</v>
      </c>
      <c r="S151" s="819">
        <v>30091</v>
      </c>
      <c r="T151" s="819">
        <v>3167171</v>
      </c>
      <c r="U151" s="819">
        <f t="shared" si="3"/>
        <v>26121721</v>
      </c>
      <c r="V151" s="819">
        <v>3270677</v>
      </c>
    </row>
    <row r="152" spans="1:22" x14ac:dyDescent="0.25">
      <c r="A152" s="820">
        <v>33700</v>
      </c>
      <c r="B152" s="810" t="s">
        <v>930</v>
      </c>
      <c r="C152" s="821">
        <v>7.4600000000000003E-4</v>
      </c>
      <c r="D152" s="821">
        <v>7.5849999999999995E-4</v>
      </c>
      <c r="E152" s="819">
        <v>7427242</v>
      </c>
      <c r="F152" s="819">
        <f>VLOOKUP(A152,'TSERS Contributions FY 2018'!A:C,3)</f>
        <v>1179196</v>
      </c>
      <c r="G152" s="822"/>
      <c r="H152" s="819">
        <v>542045</v>
      </c>
      <c r="I152" s="819">
        <v>707817</v>
      </c>
      <c r="J152" s="819">
        <v>1490457</v>
      </c>
      <c r="K152" s="819">
        <v>2425</v>
      </c>
      <c r="L152" s="822"/>
      <c r="M152" s="819">
        <v>74537</v>
      </c>
      <c r="N152" s="826"/>
      <c r="O152" s="819">
        <v>0</v>
      </c>
      <c r="P152" s="819">
        <v>204196</v>
      </c>
      <c r="Q152" s="822"/>
      <c r="R152" s="819">
        <v>1701143</v>
      </c>
      <c r="S152" s="819">
        <v>-90407</v>
      </c>
      <c r="T152" s="819">
        <v>1610736</v>
      </c>
      <c r="U152" s="819">
        <f t="shared" si="3"/>
        <v>14165010</v>
      </c>
      <c r="V152" s="819">
        <v>1773588</v>
      </c>
    </row>
    <row r="153" spans="1:22" x14ac:dyDescent="0.25">
      <c r="A153" s="820">
        <v>33800</v>
      </c>
      <c r="B153" s="810" t="s">
        <v>931</v>
      </c>
      <c r="C153" s="821">
        <v>5.622E-4</v>
      </c>
      <c r="D153" s="821">
        <v>5.8359999999999998E-4</v>
      </c>
      <c r="E153" s="819">
        <v>5597313</v>
      </c>
      <c r="F153" s="819">
        <f>VLOOKUP(A153,'TSERS Contributions FY 2018'!A:C,3)</f>
        <v>872607</v>
      </c>
      <c r="G153" s="822"/>
      <c r="H153" s="819">
        <v>408496</v>
      </c>
      <c r="I153" s="819">
        <v>533425</v>
      </c>
      <c r="J153" s="819">
        <v>1123237</v>
      </c>
      <c r="K153" s="819">
        <v>19040</v>
      </c>
      <c r="L153" s="822"/>
      <c r="M153" s="819">
        <v>56173</v>
      </c>
      <c r="N153" s="826"/>
      <c r="O153" s="819">
        <v>0</v>
      </c>
      <c r="P153" s="819">
        <v>115349</v>
      </c>
      <c r="Q153" s="822"/>
      <c r="R153" s="819">
        <v>1282014</v>
      </c>
      <c r="S153" s="819">
        <v>-23354</v>
      </c>
      <c r="T153" s="819">
        <v>1258660</v>
      </c>
      <c r="U153" s="819">
        <f t="shared" si="3"/>
        <v>10675025</v>
      </c>
      <c r="V153" s="819">
        <v>1336610</v>
      </c>
    </row>
    <row r="154" spans="1:22" x14ac:dyDescent="0.25">
      <c r="A154" s="820">
        <v>33900</v>
      </c>
      <c r="B154" s="810" t="s">
        <v>1686</v>
      </c>
      <c r="C154" s="821">
        <v>2.7978E-3</v>
      </c>
      <c r="D154" s="821">
        <v>2.9142999999999999E-3</v>
      </c>
      <c r="E154" s="819">
        <v>27855146</v>
      </c>
      <c r="F154" s="819">
        <f>VLOOKUP(A154,'TSERS Contributions FY 2018'!A:C,3)</f>
        <v>4511295</v>
      </c>
      <c r="G154" s="822"/>
      <c r="H154" s="819">
        <v>2032887</v>
      </c>
      <c r="I154" s="819">
        <v>2654600</v>
      </c>
      <c r="J154" s="819">
        <v>5589811</v>
      </c>
      <c r="K154" s="819">
        <v>97994</v>
      </c>
      <c r="L154" s="822"/>
      <c r="M154" s="819">
        <v>279545</v>
      </c>
      <c r="N154" s="826"/>
      <c r="O154" s="819">
        <v>0</v>
      </c>
      <c r="P154" s="819">
        <v>844191</v>
      </c>
      <c r="Q154" s="822"/>
      <c r="R154" s="819">
        <v>6379969</v>
      </c>
      <c r="S154" s="819">
        <v>-389525</v>
      </c>
      <c r="T154" s="819">
        <v>5990444</v>
      </c>
      <c r="U154" s="819">
        <f t="shared" si="3"/>
        <v>53124484</v>
      </c>
      <c r="V154" s="819">
        <v>6651669</v>
      </c>
    </row>
    <row r="155" spans="1:22" x14ac:dyDescent="0.25">
      <c r="A155" s="820">
        <v>34000</v>
      </c>
      <c r="B155" s="810" t="s">
        <v>933</v>
      </c>
      <c r="C155" s="821">
        <v>1.2891000000000001E-3</v>
      </c>
      <c r="D155" s="821">
        <v>1.3129999999999999E-3</v>
      </c>
      <c r="E155" s="819">
        <v>12834394</v>
      </c>
      <c r="F155" s="819">
        <f>VLOOKUP(A155,'TSERS Contributions FY 2018'!A:C,3)</f>
        <v>1936629</v>
      </c>
      <c r="G155" s="822"/>
      <c r="H155" s="819">
        <v>936663</v>
      </c>
      <c r="I155" s="819">
        <v>1223120</v>
      </c>
      <c r="J155" s="819">
        <v>2575533</v>
      </c>
      <c r="K155" s="819">
        <v>0</v>
      </c>
      <c r="L155" s="822"/>
      <c r="M155" s="819">
        <v>128802</v>
      </c>
      <c r="N155" s="826"/>
      <c r="O155" s="819">
        <v>0</v>
      </c>
      <c r="P155" s="819">
        <v>337819</v>
      </c>
      <c r="Q155" s="822"/>
      <c r="R155" s="819">
        <v>2939602</v>
      </c>
      <c r="S155" s="819">
        <v>-240874</v>
      </c>
      <c r="T155" s="819">
        <v>2698728</v>
      </c>
      <c r="U155" s="819">
        <f t="shared" si="3"/>
        <v>24477365</v>
      </c>
      <c r="V155" s="819">
        <v>3064789</v>
      </c>
    </row>
    <row r="156" spans="1:22" x14ac:dyDescent="0.25">
      <c r="A156" s="820">
        <v>34100</v>
      </c>
      <c r="B156" s="810" t="s">
        <v>934</v>
      </c>
      <c r="C156" s="821">
        <v>2.8813399999999999E-2</v>
      </c>
      <c r="D156" s="821">
        <v>2.94278E-2</v>
      </c>
      <c r="E156" s="819">
        <v>286868775</v>
      </c>
      <c r="F156" s="819">
        <f>VLOOKUP(A156,'TSERS Contributions FY 2018'!A:C,3)</f>
        <v>43238717</v>
      </c>
      <c r="G156" s="822"/>
      <c r="H156" s="819">
        <v>20935874</v>
      </c>
      <c r="I156" s="819">
        <v>27338644</v>
      </c>
      <c r="J156" s="819">
        <v>57567185</v>
      </c>
      <c r="K156" s="819">
        <v>0</v>
      </c>
      <c r="L156" s="822"/>
      <c r="M156" s="819">
        <v>2878920</v>
      </c>
      <c r="N156" s="826"/>
      <c r="O156" s="819">
        <v>0</v>
      </c>
      <c r="P156" s="819">
        <v>8959278</v>
      </c>
      <c r="Q156" s="822"/>
      <c r="R156" s="819">
        <v>65704694</v>
      </c>
      <c r="S156" s="819">
        <v>-4235893</v>
      </c>
      <c r="T156" s="819">
        <v>61468801</v>
      </c>
      <c r="U156" s="819">
        <f t="shared" si="3"/>
        <v>547107370</v>
      </c>
      <c r="V156" s="819">
        <v>68502821</v>
      </c>
    </row>
    <row r="157" spans="1:22" x14ac:dyDescent="0.25">
      <c r="A157" s="820">
        <v>34105</v>
      </c>
      <c r="B157" s="810" t="s">
        <v>935</v>
      </c>
      <c r="C157" s="821">
        <v>2.346E-3</v>
      </c>
      <c r="D157" s="821">
        <v>2.5642999999999998E-3</v>
      </c>
      <c r="E157" s="819">
        <v>23356985</v>
      </c>
      <c r="F157" s="819">
        <f>VLOOKUP(A157,'TSERS Contributions FY 2018'!A:C,3)</f>
        <v>4002889</v>
      </c>
      <c r="G157" s="822"/>
      <c r="H157" s="819">
        <v>1704608</v>
      </c>
      <c r="I157" s="819">
        <v>2225925</v>
      </c>
      <c r="J157" s="819">
        <v>4687146</v>
      </c>
      <c r="K157" s="819">
        <v>218697</v>
      </c>
      <c r="L157" s="822"/>
      <c r="M157" s="819">
        <v>234403</v>
      </c>
      <c r="N157" s="826"/>
      <c r="O157" s="819">
        <v>0</v>
      </c>
      <c r="P157" s="819">
        <v>935916</v>
      </c>
      <c r="Q157" s="822"/>
      <c r="R157" s="819">
        <v>5349706</v>
      </c>
      <c r="S157" s="819">
        <v>-301589</v>
      </c>
      <c r="T157" s="819">
        <v>5048117</v>
      </c>
      <c r="U157" s="819">
        <f t="shared" si="3"/>
        <v>44545728</v>
      </c>
      <c r="V157" s="819">
        <v>5577531</v>
      </c>
    </row>
    <row r="158" spans="1:22" x14ac:dyDescent="0.25">
      <c r="A158" s="820">
        <v>34200</v>
      </c>
      <c r="B158" s="810" t="s">
        <v>936</v>
      </c>
      <c r="C158" s="821">
        <v>9.68E-4</v>
      </c>
      <c r="D158" s="821">
        <v>9.6480000000000003E-4</v>
      </c>
      <c r="E158" s="819">
        <v>9637494</v>
      </c>
      <c r="F158" s="819">
        <f>VLOOKUP(A158,'TSERS Contributions FY 2018'!A:C,3)</f>
        <v>1656841</v>
      </c>
      <c r="G158" s="822"/>
      <c r="H158" s="819">
        <v>703351</v>
      </c>
      <c r="I158" s="819">
        <v>918455</v>
      </c>
      <c r="J158" s="819">
        <v>1933997</v>
      </c>
      <c r="K158" s="819">
        <v>100222</v>
      </c>
      <c r="L158" s="822"/>
      <c r="M158" s="819">
        <v>96719</v>
      </c>
      <c r="N158" s="826"/>
      <c r="O158" s="819">
        <v>0</v>
      </c>
      <c r="P158" s="819">
        <v>736394</v>
      </c>
      <c r="Q158" s="822"/>
      <c r="R158" s="819">
        <v>2207381</v>
      </c>
      <c r="S158" s="819">
        <v>-575443</v>
      </c>
      <c r="T158" s="819">
        <v>1631938</v>
      </c>
      <c r="U158" s="819">
        <f t="shared" si="3"/>
        <v>18380335</v>
      </c>
      <c r="V158" s="819">
        <v>2301385</v>
      </c>
    </row>
    <row r="159" spans="1:22" x14ac:dyDescent="0.25">
      <c r="A159" s="820">
        <v>34205</v>
      </c>
      <c r="B159" s="810" t="s">
        <v>937</v>
      </c>
      <c r="C159" s="821">
        <v>4.2489999999999997E-4</v>
      </c>
      <c r="D159" s="821">
        <v>4.6109999999999999E-4</v>
      </c>
      <c r="E159" s="819">
        <v>4230342</v>
      </c>
      <c r="F159" s="819">
        <f>VLOOKUP(A159,'TSERS Contributions FY 2018'!A:C,3)</f>
        <v>726947</v>
      </c>
      <c r="G159" s="822"/>
      <c r="H159" s="819">
        <v>308733</v>
      </c>
      <c r="I159" s="819">
        <v>403152</v>
      </c>
      <c r="J159" s="819">
        <v>848921</v>
      </c>
      <c r="K159" s="819">
        <v>62493</v>
      </c>
      <c r="L159" s="822"/>
      <c r="M159" s="819">
        <v>42454</v>
      </c>
      <c r="N159" s="826"/>
      <c r="O159" s="819">
        <v>0</v>
      </c>
      <c r="P159" s="819">
        <v>155858</v>
      </c>
      <c r="Q159" s="822"/>
      <c r="R159" s="819">
        <v>968922</v>
      </c>
      <c r="S159" s="819">
        <v>-44746</v>
      </c>
      <c r="T159" s="819">
        <v>924176</v>
      </c>
      <c r="U159" s="819">
        <f t="shared" si="3"/>
        <v>8067980</v>
      </c>
      <c r="V159" s="819">
        <v>1010184</v>
      </c>
    </row>
    <row r="160" spans="1:22" x14ac:dyDescent="0.25">
      <c r="A160" s="820">
        <v>34220</v>
      </c>
      <c r="B160" s="810" t="s">
        <v>938</v>
      </c>
      <c r="C160" s="821">
        <v>1.1330999999999999E-3</v>
      </c>
      <c r="D160" s="821">
        <v>1.0878000000000001E-3</v>
      </c>
      <c r="E160" s="819">
        <v>11281244</v>
      </c>
      <c r="F160" s="819">
        <f>VLOOKUP(A160,'TSERS Contributions FY 2018'!A:C,3)</f>
        <v>1819687</v>
      </c>
      <c r="G160" s="822"/>
      <c r="H160" s="819">
        <v>823313</v>
      </c>
      <c r="I160" s="819">
        <v>1075105</v>
      </c>
      <c r="J160" s="819">
        <v>2263856</v>
      </c>
      <c r="K160" s="819">
        <v>314859</v>
      </c>
      <c r="L160" s="822"/>
      <c r="M160" s="819">
        <v>113215</v>
      </c>
      <c r="N160" s="826"/>
      <c r="O160" s="819">
        <v>0</v>
      </c>
      <c r="P160" s="819">
        <v>0</v>
      </c>
      <c r="Q160" s="822"/>
      <c r="R160" s="819">
        <v>2583867</v>
      </c>
      <c r="S160" s="819">
        <v>127068</v>
      </c>
      <c r="T160" s="819">
        <v>2710935</v>
      </c>
      <c r="U160" s="819">
        <f t="shared" si="3"/>
        <v>21515245</v>
      </c>
      <c r="V160" s="819">
        <v>2693904</v>
      </c>
    </row>
    <row r="161" spans="1:22" x14ac:dyDescent="0.25">
      <c r="A161" s="820">
        <v>34230</v>
      </c>
      <c r="B161" s="810" t="s">
        <v>939</v>
      </c>
      <c r="C161" s="821">
        <v>4.2299999999999998E-4</v>
      </c>
      <c r="D161" s="821">
        <v>4.3560000000000002E-4</v>
      </c>
      <c r="E161" s="819">
        <v>4211426</v>
      </c>
      <c r="F161" s="819">
        <f>VLOOKUP(A161,'TSERS Contributions FY 2018'!A:C,3)</f>
        <v>700494</v>
      </c>
      <c r="G161" s="822"/>
      <c r="H161" s="819">
        <v>307353</v>
      </c>
      <c r="I161" s="819">
        <v>401350</v>
      </c>
      <c r="J161" s="819">
        <v>845125</v>
      </c>
      <c r="K161" s="819">
        <v>0</v>
      </c>
      <c r="L161" s="822"/>
      <c r="M161" s="819">
        <v>42264</v>
      </c>
      <c r="N161" s="826"/>
      <c r="O161" s="819">
        <v>0</v>
      </c>
      <c r="P161" s="819">
        <v>180879</v>
      </c>
      <c r="Q161" s="822"/>
      <c r="R161" s="819">
        <v>964589</v>
      </c>
      <c r="S161" s="819">
        <v>-88520</v>
      </c>
      <c r="T161" s="819">
        <v>876069</v>
      </c>
      <c r="U161" s="819">
        <f t="shared" si="3"/>
        <v>8031902</v>
      </c>
      <c r="V161" s="819">
        <v>1005667</v>
      </c>
    </row>
    <row r="162" spans="1:22" x14ac:dyDescent="0.25">
      <c r="A162" s="820">
        <v>34300</v>
      </c>
      <c r="B162" s="810" t="s">
        <v>940</v>
      </c>
      <c r="C162" s="821">
        <v>7.1682999999999998E-3</v>
      </c>
      <c r="D162" s="821">
        <v>7.1383000000000002E-3</v>
      </c>
      <c r="E162" s="819">
        <v>71368233</v>
      </c>
      <c r="F162" s="819">
        <f>VLOOKUP(A162,'TSERS Contributions FY 2018'!A:C,3)</f>
        <v>10768006</v>
      </c>
      <c r="G162" s="822"/>
      <c r="H162" s="819">
        <v>5208501</v>
      </c>
      <c r="I162" s="819">
        <v>6801405</v>
      </c>
      <c r="J162" s="819">
        <v>14321769</v>
      </c>
      <c r="K162" s="819">
        <v>0</v>
      </c>
      <c r="L162" s="822"/>
      <c r="M162" s="819">
        <v>716228</v>
      </c>
      <c r="N162" s="826"/>
      <c r="O162" s="819">
        <v>0</v>
      </c>
      <c r="P162" s="819">
        <v>999310</v>
      </c>
      <c r="Q162" s="822"/>
      <c r="R162" s="819">
        <v>16346247</v>
      </c>
      <c r="S162" s="819">
        <v>-432000</v>
      </c>
      <c r="T162" s="819">
        <v>15914247</v>
      </c>
      <c r="U162" s="819">
        <f t="shared" si="3"/>
        <v>136111315</v>
      </c>
      <c r="V162" s="819">
        <v>17042375</v>
      </c>
    </row>
    <row r="163" spans="1:22" x14ac:dyDescent="0.25">
      <c r="A163" s="820">
        <v>34400</v>
      </c>
      <c r="B163" s="810" t="s">
        <v>941</v>
      </c>
      <c r="C163" s="821">
        <v>2.7885000000000002E-3</v>
      </c>
      <c r="D163" s="821">
        <v>2.8241999999999998E-3</v>
      </c>
      <c r="E163" s="819">
        <v>27762554</v>
      </c>
      <c r="F163" s="819">
        <f>VLOOKUP(A163,'TSERS Contributions FY 2018'!A:C,3)</f>
        <v>4298748</v>
      </c>
      <c r="G163" s="822"/>
      <c r="H163" s="819">
        <v>2026130</v>
      </c>
      <c r="I163" s="819">
        <v>2645776</v>
      </c>
      <c r="J163" s="819">
        <v>5571231</v>
      </c>
      <c r="K163" s="819">
        <v>19796</v>
      </c>
      <c r="L163" s="822"/>
      <c r="M163" s="819">
        <v>278616</v>
      </c>
      <c r="N163" s="826"/>
      <c r="O163" s="819">
        <v>0</v>
      </c>
      <c r="P163" s="819">
        <v>840441</v>
      </c>
      <c r="Q163" s="822"/>
      <c r="R163" s="819">
        <v>6358762</v>
      </c>
      <c r="S163" s="819">
        <v>-398733</v>
      </c>
      <c r="T163" s="819">
        <v>5960029</v>
      </c>
      <c r="U163" s="819">
        <f t="shared" si="3"/>
        <v>52947896</v>
      </c>
      <c r="V163" s="819">
        <v>6629558</v>
      </c>
    </row>
    <row r="164" spans="1:22" x14ac:dyDescent="0.25">
      <c r="A164" s="820">
        <v>34405</v>
      </c>
      <c r="B164" s="810" t="s">
        <v>942</v>
      </c>
      <c r="C164" s="821">
        <v>5.6010000000000001E-4</v>
      </c>
      <c r="D164" s="821">
        <v>5.6530000000000003E-4</v>
      </c>
      <c r="E164" s="819">
        <v>5576405</v>
      </c>
      <c r="F164" s="819">
        <f>VLOOKUP(A164,'TSERS Contributions FY 2018'!A:C,3)</f>
        <v>891021</v>
      </c>
      <c r="G164" s="822"/>
      <c r="H164" s="819">
        <v>406970</v>
      </c>
      <c r="I164" s="819">
        <v>531432</v>
      </c>
      <c r="J164" s="819">
        <v>1119041</v>
      </c>
      <c r="K164" s="819">
        <v>1448</v>
      </c>
      <c r="L164" s="822"/>
      <c r="M164" s="819">
        <v>55963</v>
      </c>
      <c r="N164" s="826"/>
      <c r="O164" s="819">
        <v>0</v>
      </c>
      <c r="P164" s="819">
        <v>154784</v>
      </c>
      <c r="Q164" s="822"/>
      <c r="R164" s="819">
        <v>1277225</v>
      </c>
      <c r="S164" s="819">
        <v>-90865</v>
      </c>
      <c r="T164" s="819">
        <v>1186360</v>
      </c>
      <c r="U164" s="819">
        <f t="shared" si="3"/>
        <v>10635150</v>
      </c>
      <c r="V164" s="819">
        <v>1331618</v>
      </c>
    </row>
    <row r="165" spans="1:22" x14ac:dyDescent="0.25">
      <c r="A165" s="820">
        <v>34500</v>
      </c>
      <c r="B165" s="810" t="s">
        <v>943</v>
      </c>
      <c r="C165" s="821">
        <v>5.0958000000000002E-3</v>
      </c>
      <c r="D165" s="821">
        <v>5.0848000000000004E-3</v>
      </c>
      <c r="E165" s="819">
        <v>50734238</v>
      </c>
      <c r="F165" s="819">
        <f>VLOOKUP(A165,'TSERS Contributions FY 2018'!A:C,3)</f>
        <v>7754746</v>
      </c>
      <c r="G165" s="822"/>
      <c r="H165" s="819">
        <v>3702618</v>
      </c>
      <c r="I165" s="819">
        <v>4834982</v>
      </c>
      <c r="J165" s="819">
        <v>10181057</v>
      </c>
      <c r="K165" s="819">
        <v>137999</v>
      </c>
      <c r="L165" s="822"/>
      <c r="M165" s="819">
        <v>509152</v>
      </c>
      <c r="N165" s="826"/>
      <c r="O165" s="819">
        <v>0</v>
      </c>
      <c r="P165" s="819">
        <v>511205</v>
      </c>
      <c r="Q165" s="822"/>
      <c r="R165" s="819">
        <v>11620218</v>
      </c>
      <c r="S165" s="819">
        <v>-139108</v>
      </c>
      <c r="T165" s="819">
        <v>11481110</v>
      </c>
      <c r="U165" s="819">
        <f t="shared" si="3"/>
        <v>96758791</v>
      </c>
      <c r="V165" s="819">
        <v>12115081</v>
      </c>
    </row>
    <row r="166" spans="1:22" x14ac:dyDescent="0.25">
      <c r="A166" s="820">
        <v>34501</v>
      </c>
      <c r="B166" s="810" t="s">
        <v>944</v>
      </c>
      <c r="C166" s="821">
        <v>6.9999999999999994E-5</v>
      </c>
      <c r="D166" s="821">
        <v>6.1799999999999998E-5</v>
      </c>
      <c r="E166" s="819">
        <v>696926</v>
      </c>
      <c r="F166" s="819">
        <f>VLOOKUP(A166,'TSERS Contributions FY 2018'!A:C,3)</f>
        <v>93443</v>
      </c>
      <c r="G166" s="822"/>
      <c r="H166" s="819">
        <v>50862</v>
      </c>
      <c r="I166" s="819">
        <v>66417</v>
      </c>
      <c r="J166" s="819">
        <v>139855</v>
      </c>
      <c r="K166" s="819">
        <v>24377</v>
      </c>
      <c r="L166" s="822"/>
      <c r="M166" s="819">
        <v>6994</v>
      </c>
      <c r="N166" s="826"/>
      <c r="O166" s="819">
        <v>0</v>
      </c>
      <c r="P166" s="819">
        <v>7624</v>
      </c>
      <c r="Q166" s="822"/>
      <c r="R166" s="819">
        <v>159625</v>
      </c>
      <c r="S166" s="819">
        <v>7536</v>
      </c>
      <c r="T166" s="819">
        <v>167161</v>
      </c>
      <c r="U166" s="819">
        <f t="shared" si="3"/>
        <v>1329156</v>
      </c>
      <c r="V166" s="819">
        <v>166422</v>
      </c>
    </row>
    <row r="167" spans="1:22" x14ac:dyDescent="0.25">
      <c r="A167" s="820">
        <v>34505</v>
      </c>
      <c r="B167" s="810" t="s">
        <v>945</v>
      </c>
      <c r="C167" s="821">
        <v>6.5709999999999998E-4</v>
      </c>
      <c r="D167" s="821">
        <v>6.6370000000000003E-4</v>
      </c>
      <c r="E167" s="819">
        <v>6542146</v>
      </c>
      <c r="F167" s="819">
        <f>VLOOKUP(A167,'TSERS Contributions FY 2018'!A:C,3)</f>
        <v>1116587</v>
      </c>
      <c r="G167" s="822"/>
      <c r="H167" s="819">
        <v>477450</v>
      </c>
      <c r="I167" s="819">
        <v>623468</v>
      </c>
      <c r="J167" s="819">
        <v>1312840</v>
      </c>
      <c r="K167" s="819">
        <v>201920</v>
      </c>
      <c r="L167" s="822"/>
      <c r="M167" s="819">
        <v>65655</v>
      </c>
      <c r="N167" s="826"/>
      <c r="O167" s="819">
        <v>0</v>
      </c>
      <c r="P167" s="819">
        <v>5482</v>
      </c>
      <c r="Q167" s="822"/>
      <c r="R167" s="819">
        <v>1498419</v>
      </c>
      <c r="S167" s="819">
        <v>134053</v>
      </c>
      <c r="T167" s="819">
        <v>1632472</v>
      </c>
      <c r="U167" s="819">
        <f t="shared" si="3"/>
        <v>12476981</v>
      </c>
      <c r="V167" s="819">
        <v>1562232</v>
      </c>
    </row>
    <row r="168" spans="1:22" x14ac:dyDescent="0.25">
      <c r="A168" s="820">
        <v>34600</v>
      </c>
      <c r="B168" s="810" t="s">
        <v>946</v>
      </c>
      <c r="C168" s="821">
        <v>1.209E-3</v>
      </c>
      <c r="D168" s="821">
        <v>1.2166E-3</v>
      </c>
      <c r="E168" s="819">
        <v>12036912</v>
      </c>
      <c r="F168" s="819">
        <f>VLOOKUP(A168,'TSERS Contributions FY 2018'!A:C,3)</f>
        <v>1954462</v>
      </c>
      <c r="G168" s="822"/>
      <c r="H168" s="819">
        <v>878462</v>
      </c>
      <c r="I168" s="819">
        <v>1147120</v>
      </c>
      <c r="J168" s="819">
        <v>2415499</v>
      </c>
      <c r="K168" s="819">
        <v>19315</v>
      </c>
      <c r="L168" s="822"/>
      <c r="M168" s="819">
        <v>120798</v>
      </c>
      <c r="N168" s="826"/>
      <c r="O168" s="819">
        <v>0</v>
      </c>
      <c r="P168" s="819">
        <v>58840</v>
      </c>
      <c r="Q168" s="822"/>
      <c r="R168" s="819">
        <v>2756946</v>
      </c>
      <c r="S168" s="819">
        <v>-88095</v>
      </c>
      <c r="T168" s="819">
        <v>2668851</v>
      </c>
      <c r="U168" s="819">
        <f t="shared" si="3"/>
        <v>22956430</v>
      </c>
      <c r="V168" s="819">
        <v>2874354</v>
      </c>
    </row>
    <row r="169" spans="1:22" x14ac:dyDescent="0.25">
      <c r="A169" s="820">
        <v>34605</v>
      </c>
      <c r="B169" s="810" t="s">
        <v>947</v>
      </c>
      <c r="C169" s="821">
        <v>2.351E-4</v>
      </c>
      <c r="D169" s="821">
        <v>2.5179999999999999E-4</v>
      </c>
      <c r="E169" s="819">
        <v>2340677</v>
      </c>
      <c r="F169" s="819">
        <f>VLOOKUP(A169,'TSERS Contributions FY 2018'!A:C,3)</f>
        <v>393629</v>
      </c>
      <c r="G169" s="822"/>
      <c r="H169" s="819">
        <v>170824</v>
      </c>
      <c r="I169" s="819">
        <v>223067</v>
      </c>
      <c r="J169" s="819">
        <v>469714</v>
      </c>
      <c r="K169" s="819">
        <v>18210</v>
      </c>
      <c r="L169" s="822"/>
      <c r="M169" s="819">
        <v>23490</v>
      </c>
      <c r="N169" s="826"/>
      <c r="O169" s="819">
        <v>0</v>
      </c>
      <c r="P169" s="819">
        <v>114180</v>
      </c>
      <c r="Q169" s="822"/>
      <c r="R169" s="819">
        <v>536111</v>
      </c>
      <c r="S169" s="819">
        <v>-37205</v>
      </c>
      <c r="T169" s="819">
        <v>498906</v>
      </c>
      <c r="U169" s="819">
        <f t="shared" si="3"/>
        <v>4464067</v>
      </c>
      <c r="V169" s="819">
        <v>558942</v>
      </c>
    </row>
    <row r="170" spans="1:22" x14ac:dyDescent="0.25">
      <c r="A170" s="820">
        <v>34700</v>
      </c>
      <c r="B170" s="810" t="s">
        <v>948</v>
      </c>
      <c r="C170" s="821">
        <v>3.3214999999999998E-3</v>
      </c>
      <c r="D170" s="821">
        <v>3.3004000000000002E-3</v>
      </c>
      <c r="E170" s="819">
        <v>33069150</v>
      </c>
      <c r="F170" s="819">
        <f>VLOOKUP(A170,'TSERS Contributions FY 2018'!A:C,3)</f>
        <v>4710061</v>
      </c>
      <c r="G170" s="822"/>
      <c r="H170" s="819">
        <v>2413409</v>
      </c>
      <c r="I170" s="819">
        <v>3151496</v>
      </c>
      <c r="J170" s="819">
        <v>6636128</v>
      </c>
      <c r="K170" s="819">
        <v>34074</v>
      </c>
      <c r="L170" s="822"/>
      <c r="M170" s="819">
        <v>331871</v>
      </c>
      <c r="N170" s="826"/>
      <c r="O170" s="819">
        <v>0</v>
      </c>
      <c r="P170" s="819">
        <v>781935</v>
      </c>
      <c r="Q170" s="822"/>
      <c r="R170" s="819">
        <v>7574189</v>
      </c>
      <c r="S170" s="819">
        <v>-280024</v>
      </c>
      <c r="T170" s="819">
        <v>7294165</v>
      </c>
      <c r="U170" s="819">
        <f t="shared" si="3"/>
        <v>63068473</v>
      </c>
      <c r="V170" s="819">
        <v>7896747</v>
      </c>
    </row>
    <row r="171" spans="1:22" x14ac:dyDescent="0.25">
      <c r="A171" s="820">
        <v>34800</v>
      </c>
      <c r="B171" s="810" t="s">
        <v>949</v>
      </c>
      <c r="C171" s="821">
        <v>3.8180000000000001E-4</v>
      </c>
      <c r="D171" s="821">
        <v>3.7389999999999998E-4</v>
      </c>
      <c r="E171" s="819">
        <v>3801235</v>
      </c>
      <c r="F171" s="819">
        <f>VLOOKUP(A171,'TSERS Contributions FY 2018'!A:C,3)</f>
        <v>607657</v>
      </c>
      <c r="G171" s="822"/>
      <c r="H171" s="819">
        <v>277417</v>
      </c>
      <c r="I171" s="819">
        <v>362258</v>
      </c>
      <c r="J171" s="819">
        <v>762810</v>
      </c>
      <c r="K171" s="819">
        <v>146253</v>
      </c>
      <c r="L171" s="822"/>
      <c r="M171" s="819">
        <v>38148</v>
      </c>
      <c r="N171" s="826"/>
      <c r="O171" s="819">
        <v>0</v>
      </c>
      <c r="P171" s="819">
        <v>5981</v>
      </c>
      <c r="Q171" s="822"/>
      <c r="R171" s="819">
        <v>870638</v>
      </c>
      <c r="S171" s="819">
        <v>82685</v>
      </c>
      <c r="T171" s="819">
        <v>953323</v>
      </c>
      <c r="U171" s="819">
        <f t="shared" si="3"/>
        <v>7249599</v>
      </c>
      <c r="V171" s="819">
        <v>907716</v>
      </c>
    </row>
    <row r="172" spans="1:22" x14ac:dyDescent="0.25">
      <c r="A172" s="820">
        <v>34900</v>
      </c>
      <c r="B172" s="810" t="s">
        <v>1551</v>
      </c>
      <c r="C172" s="821">
        <v>7.2158999999999999E-3</v>
      </c>
      <c r="D172" s="821">
        <v>7.332E-3</v>
      </c>
      <c r="E172" s="819">
        <v>71842143</v>
      </c>
      <c r="F172" s="819">
        <f>VLOOKUP(A172,'TSERS Contributions FY 2018'!A:C,3)</f>
        <v>11234402</v>
      </c>
      <c r="G172" s="822"/>
      <c r="H172" s="819">
        <v>5243087</v>
      </c>
      <c r="I172" s="819">
        <v>6846569</v>
      </c>
      <c r="J172" s="819">
        <v>14416870</v>
      </c>
      <c r="K172" s="819">
        <v>0</v>
      </c>
      <c r="L172" s="822"/>
      <c r="M172" s="819">
        <v>720984</v>
      </c>
      <c r="N172" s="826"/>
      <c r="O172" s="819">
        <v>0</v>
      </c>
      <c r="P172" s="819">
        <v>1373292</v>
      </c>
      <c r="Q172" s="822"/>
      <c r="R172" s="819">
        <v>16454792</v>
      </c>
      <c r="S172" s="819">
        <v>-947462</v>
      </c>
      <c r="T172" s="819">
        <v>15507330</v>
      </c>
      <c r="U172" s="819">
        <f t="shared" si="3"/>
        <v>137015141</v>
      </c>
      <c r="V172" s="819">
        <v>17155542</v>
      </c>
    </row>
    <row r="173" spans="1:22" x14ac:dyDescent="0.25">
      <c r="A173" s="820">
        <v>34901</v>
      </c>
      <c r="B173" s="810" t="s">
        <v>1552</v>
      </c>
      <c r="C173" s="821">
        <v>1.9239999999999999E-4</v>
      </c>
      <c r="D173" s="821">
        <v>1.797E-4</v>
      </c>
      <c r="E173" s="819">
        <v>1915552</v>
      </c>
      <c r="F173" s="819">
        <f>VLOOKUP(A173,'TSERS Contributions FY 2018'!A:C,3)</f>
        <v>253722</v>
      </c>
      <c r="G173" s="822"/>
      <c r="H173" s="819">
        <v>139798</v>
      </c>
      <c r="I173" s="819">
        <v>182552</v>
      </c>
      <c r="J173" s="819">
        <v>384402</v>
      </c>
      <c r="K173" s="819">
        <v>14752</v>
      </c>
      <c r="L173" s="822"/>
      <c r="M173" s="819">
        <v>19224</v>
      </c>
      <c r="N173" s="826"/>
      <c r="O173" s="819">
        <v>0</v>
      </c>
      <c r="P173" s="819">
        <v>57627</v>
      </c>
      <c r="Q173" s="822"/>
      <c r="R173" s="819">
        <v>438740</v>
      </c>
      <c r="S173" s="819">
        <v>-34850</v>
      </c>
      <c r="T173" s="819">
        <v>403890</v>
      </c>
      <c r="U173" s="819">
        <f t="shared" si="3"/>
        <v>3653281</v>
      </c>
      <c r="V173" s="819">
        <v>457424</v>
      </c>
    </row>
    <row r="174" spans="1:22" x14ac:dyDescent="0.25">
      <c r="A174" s="820">
        <v>34903</v>
      </c>
      <c r="B174" s="810" t="s">
        <v>952</v>
      </c>
      <c r="C174" s="821">
        <v>8.3999999999999992E-6</v>
      </c>
      <c r="D174" s="821">
        <v>1.26E-5</v>
      </c>
      <c r="E174" s="819">
        <v>83631</v>
      </c>
      <c r="F174" s="819">
        <f>VLOOKUP(A174,'TSERS Contributions FY 2018'!A:C,3)</f>
        <v>25777</v>
      </c>
      <c r="G174" s="822"/>
      <c r="H174" s="819">
        <v>6103</v>
      </c>
      <c r="I174" s="819">
        <v>7970</v>
      </c>
      <c r="J174" s="819">
        <v>16783</v>
      </c>
      <c r="K174" s="819">
        <v>1835</v>
      </c>
      <c r="L174" s="822"/>
      <c r="M174" s="819">
        <v>839</v>
      </c>
      <c r="N174" s="826"/>
      <c r="O174" s="819">
        <v>0</v>
      </c>
      <c r="P174" s="819">
        <v>16565</v>
      </c>
      <c r="Q174" s="822"/>
      <c r="R174" s="819">
        <v>19155</v>
      </c>
      <c r="S174" s="819">
        <v>-8509</v>
      </c>
      <c r="T174" s="819">
        <v>10646</v>
      </c>
      <c r="U174" s="819">
        <f t="shared" si="3"/>
        <v>159499</v>
      </c>
      <c r="V174" s="819">
        <v>19971</v>
      </c>
    </row>
    <row r="175" spans="1:22" x14ac:dyDescent="0.25">
      <c r="A175" s="820">
        <v>34905</v>
      </c>
      <c r="B175" s="810" t="s">
        <v>953</v>
      </c>
      <c r="C175" s="821">
        <v>7.0069999999999996E-4</v>
      </c>
      <c r="D175" s="821">
        <v>7.3019999999999997E-4</v>
      </c>
      <c r="E175" s="819">
        <v>6976232</v>
      </c>
      <c r="F175" s="819">
        <f>VLOOKUP(A175,'TSERS Contributions FY 2018'!A:C,3)</f>
        <v>1117720</v>
      </c>
      <c r="G175" s="822"/>
      <c r="H175" s="819">
        <v>509130</v>
      </c>
      <c r="I175" s="819">
        <v>664836</v>
      </c>
      <c r="J175" s="819">
        <v>1399950</v>
      </c>
      <c r="K175" s="819">
        <v>14363</v>
      </c>
      <c r="L175" s="822"/>
      <c r="M175" s="819">
        <v>70011</v>
      </c>
      <c r="N175" s="826"/>
      <c r="O175" s="819">
        <v>0</v>
      </c>
      <c r="P175" s="819">
        <v>201455</v>
      </c>
      <c r="Q175" s="822"/>
      <c r="R175" s="819">
        <v>1597843</v>
      </c>
      <c r="S175" s="819">
        <v>-80583</v>
      </c>
      <c r="T175" s="819">
        <v>1517260</v>
      </c>
      <c r="U175" s="819">
        <f t="shared" si="3"/>
        <v>13304856</v>
      </c>
      <c r="V175" s="819">
        <v>1665889</v>
      </c>
    </row>
    <row r="176" spans="1:22" x14ac:dyDescent="0.25">
      <c r="A176" s="820">
        <v>34910</v>
      </c>
      <c r="B176" s="810" t="s">
        <v>954</v>
      </c>
      <c r="C176" s="821">
        <v>2.3126000000000002E-3</v>
      </c>
      <c r="D176" s="821">
        <v>2.2791E-3</v>
      </c>
      <c r="E176" s="819">
        <v>23024451</v>
      </c>
      <c r="F176" s="819">
        <f>VLOOKUP(A176,'TSERS Contributions FY 2018'!A:C,3)</f>
        <v>3408148</v>
      </c>
      <c r="G176" s="822"/>
      <c r="H176" s="819">
        <v>1680340</v>
      </c>
      <c r="I176" s="819">
        <v>2194234</v>
      </c>
      <c r="J176" s="819">
        <v>4620415</v>
      </c>
      <c r="K176" s="819">
        <v>134331</v>
      </c>
      <c r="L176" s="822"/>
      <c r="M176" s="819">
        <v>231066</v>
      </c>
      <c r="N176" s="826"/>
      <c r="O176" s="819">
        <v>0</v>
      </c>
      <c r="P176" s="819">
        <v>278190</v>
      </c>
      <c r="Q176" s="822"/>
      <c r="R176" s="819">
        <v>5273542</v>
      </c>
      <c r="S176" s="819">
        <v>36265</v>
      </c>
      <c r="T176" s="819">
        <v>5309807</v>
      </c>
      <c r="U176" s="819">
        <f t="shared" si="3"/>
        <v>43911531</v>
      </c>
      <c r="V176" s="819">
        <v>5498123</v>
      </c>
    </row>
    <row r="177" spans="1:22" x14ac:dyDescent="0.25">
      <c r="A177" s="820">
        <v>35000</v>
      </c>
      <c r="B177" s="810" t="s">
        <v>955</v>
      </c>
      <c r="C177" s="821">
        <v>1.4947000000000001E-3</v>
      </c>
      <c r="D177" s="821">
        <v>1.5081999999999999E-3</v>
      </c>
      <c r="E177" s="819">
        <v>14881366</v>
      </c>
      <c r="F177" s="819">
        <f>VLOOKUP(A177,'TSERS Contributions FY 2018'!A:C,3)</f>
        <v>2266860</v>
      </c>
      <c r="G177" s="822"/>
      <c r="H177" s="819">
        <v>1086052</v>
      </c>
      <c r="I177" s="819">
        <v>1418197</v>
      </c>
      <c r="J177" s="819">
        <v>2986307</v>
      </c>
      <c r="K177" s="819">
        <v>64204</v>
      </c>
      <c r="L177" s="822"/>
      <c r="M177" s="819">
        <v>149344</v>
      </c>
      <c r="N177" s="826"/>
      <c r="O177" s="819">
        <v>0</v>
      </c>
      <c r="P177" s="819">
        <v>322462</v>
      </c>
      <c r="Q177" s="822"/>
      <c r="R177" s="819">
        <v>3408442</v>
      </c>
      <c r="S177" s="819">
        <v>-56039</v>
      </c>
      <c r="T177" s="819">
        <v>3352403</v>
      </c>
      <c r="U177" s="819">
        <f t="shared" si="3"/>
        <v>28381287</v>
      </c>
      <c r="V177" s="819">
        <v>3553595</v>
      </c>
    </row>
    <row r="178" spans="1:22" x14ac:dyDescent="0.25">
      <c r="A178" s="820">
        <v>35005</v>
      </c>
      <c r="B178" s="810" t="s">
        <v>956</v>
      </c>
      <c r="C178" s="821">
        <v>7.0200000000000004E-4</v>
      </c>
      <c r="D178" s="821">
        <v>7.0140000000000003E-4</v>
      </c>
      <c r="E178" s="819">
        <v>6989174</v>
      </c>
      <c r="F178" s="819">
        <f>VLOOKUP(A178,'TSERS Contributions FY 2018'!A:C,3)</f>
        <v>1124944</v>
      </c>
      <c r="G178" s="822"/>
      <c r="H178" s="819">
        <v>510075</v>
      </c>
      <c r="I178" s="819">
        <v>666070</v>
      </c>
      <c r="J178" s="819">
        <v>1402548</v>
      </c>
      <c r="K178" s="819">
        <v>17372</v>
      </c>
      <c r="L178" s="822"/>
      <c r="M178" s="819">
        <v>70141</v>
      </c>
      <c r="N178" s="826"/>
      <c r="O178" s="819">
        <v>0</v>
      </c>
      <c r="P178" s="819">
        <v>23851</v>
      </c>
      <c r="Q178" s="822"/>
      <c r="R178" s="819">
        <v>1600807</v>
      </c>
      <c r="S178" s="819">
        <v>36628</v>
      </c>
      <c r="T178" s="819">
        <v>1637435</v>
      </c>
      <c r="U178" s="819">
        <f t="shared" si="3"/>
        <v>13329540</v>
      </c>
      <c r="V178" s="819">
        <v>1668980</v>
      </c>
    </row>
    <row r="179" spans="1:22" x14ac:dyDescent="0.25">
      <c r="A179" s="820">
        <v>35100</v>
      </c>
      <c r="B179" s="810" t="s">
        <v>957</v>
      </c>
      <c r="C179" s="821">
        <v>1.34999E-2</v>
      </c>
      <c r="D179" s="821">
        <v>1.3260600000000001E-2</v>
      </c>
      <c r="E179" s="819">
        <v>134406206</v>
      </c>
      <c r="F179" s="819">
        <f>VLOOKUP(A179,'TSERS Contributions FY 2018'!A:C,3)</f>
        <v>19760758</v>
      </c>
      <c r="G179" s="822"/>
      <c r="H179" s="819">
        <v>9809054</v>
      </c>
      <c r="I179" s="819">
        <v>12808935</v>
      </c>
      <c r="J179" s="819">
        <v>26971869</v>
      </c>
      <c r="K179" s="819">
        <v>155673</v>
      </c>
      <c r="L179" s="822"/>
      <c r="M179" s="819">
        <v>1348856</v>
      </c>
      <c r="N179" s="826"/>
      <c r="O179" s="819">
        <v>0</v>
      </c>
      <c r="P179" s="819">
        <v>875985</v>
      </c>
      <c r="Q179" s="822"/>
      <c r="R179" s="819">
        <v>30784524</v>
      </c>
      <c r="S179" s="819">
        <v>-876962</v>
      </c>
      <c r="T179" s="819">
        <v>29907562</v>
      </c>
      <c r="U179" s="819">
        <f t="shared" si="3"/>
        <v>256335413</v>
      </c>
      <c r="V179" s="819">
        <v>32095526</v>
      </c>
    </row>
    <row r="180" spans="1:22" x14ac:dyDescent="0.25">
      <c r="A180" s="820">
        <v>35105</v>
      </c>
      <c r="B180" s="810" t="s">
        <v>958</v>
      </c>
      <c r="C180" s="821">
        <v>1.1528E-3</v>
      </c>
      <c r="D180" s="821">
        <v>1.1609000000000001E-3</v>
      </c>
      <c r="E180" s="819">
        <v>11477379</v>
      </c>
      <c r="F180" s="819">
        <f>VLOOKUP(A180,'TSERS Contributions FY 2018'!A:C,3)</f>
        <v>1793028</v>
      </c>
      <c r="G180" s="822"/>
      <c r="H180" s="819">
        <v>837627</v>
      </c>
      <c r="I180" s="819">
        <v>1093796</v>
      </c>
      <c r="J180" s="819">
        <v>2303215</v>
      </c>
      <c r="K180" s="819">
        <v>0</v>
      </c>
      <c r="L180" s="822"/>
      <c r="M180" s="819">
        <v>115183</v>
      </c>
      <c r="N180" s="826"/>
      <c r="O180" s="819">
        <v>0</v>
      </c>
      <c r="P180" s="819">
        <v>200938</v>
      </c>
      <c r="Q180" s="822"/>
      <c r="R180" s="819">
        <v>2628790</v>
      </c>
      <c r="S180" s="819">
        <v>-74476</v>
      </c>
      <c r="T180" s="819">
        <v>2554314</v>
      </c>
      <c r="U180" s="819">
        <f t="shared" si="3"/>
        <v>21889308</v>
      </c>
      <c r="V180" s="819">
        <v>2740740</v>
      </c>
    </row>
    <row r="181" spans="1:22" x14ac:dyDescent="0.25">
      <c r="A181" s="820">
        <v>35106</v>
      </c>
      <c r="B181" s="810" t="s">
        <v>959</v>
      </c>
      <c r="C181" s="821">
        <v>2.944E-4</v>
      </c>
      <c r="D181" s="821">
        <v>2.8630000000000002E-4</v>
      </c>
      <c r="E181" s="819">
        <v>2931073</v>
      </c>
      <c r="F181" s="819">
        <f>VLOOKUP(A181,'TSERS Contributions FY 2018'!A:C,3)</f>
        <v>383389</v>
      </c>
      <c r="G181" s="822"/>
      <c r="H181" s="819">
        <v>213912</v>
      </c>
      <c r="I181" s="819">
        <v>279332</v>
      </c>
      <c r="J181" s="819">
        <v>588191</v>
      </c>
      <c r="K181" s="819">
        <v>50309</v>
      </c>
      <c r="L181" s="822"/>
      <c r="M181" s="819">
        <v>29415</v>
      </c>
      <c r="N181" s="826"/>
      <c r="O181" s="819">
        <v>0</v>
      </c>
      <c r="P181" s="819">
        <v>95484</v>
      </c>
      <c r="Q181" s="822"/>
      <c r="R181" s="819">
        <v>671336</v>
      </c>
      <c r="S181" s="819">
        <v>40060</v>
      </c>
      <c r="T181" s="819">
        <v>711396</v>
      </c>
      <c r="U181" s="819">
        <f t="shared" si="3"/>
        <v>5590052</v>
      </c>
      <c r="V181" s="819">
        <v>699925</v>
      </c>
    </row>
    <row r="182" spans="1:22" x14ac:dyDescent="0.25">
      <c r="A182" s="820">
        <v>35200</v>
      </c>
      <c r="B182" s="810" t="s">
        <v>960</v>
      </c>
      <c r="C182" s="821">
        <v>5.6030000000000001E-4</v>
      </c>
      <c r="D182" s="821">
        <v>5.6130000000000004E-4</v>
      </c>
      <c r="E182" s="819">
        <v>5578397</v>
      </c>
      <c r="F182" s="819">
        <f>VLOOKUP(A182,'TSERS Contributions FY 2018'!A:C,3)</f>
        <v>937937</v>
      </c>
      <c r="G182" s="822"/>
      <c r="H182" s="819">
        <v>407115</v>
      </c>
      <c r="I182" s="819">
        <v>531622</v>
      </c>
      <c r="J182" s="819">
        <v>1119441</v>
      </c>
      <c r="K182" s="819">
        <v>82071</v>
      </c>
      <c r="L182" s="822"/>
      <c r="M182" s="819">
        <v>55983</v>
      </c>
      <c r="N182" s="826"/>
      <c r="O182" s="819">
        <v>0</v>
      </c>
      <c r="P182" s="819">
        <v>24697</v>
      </c>
      <c r="Q182" s="822"/>
      <c r="R182" s="819">
        <v>1277681</v>
      </c>
      <c r="S182" s="819">
        <v>68747</v>
      </c>
      <c r="T182" s="819">
        <v>1346428</v>
      </c>
      <c r="U182" s="819">
        <f t="shared" si="3"/>
        <v>10638948</v>
      </c>
      <c r="V182" s="819">
        <v>1332093</v>
      </c>
    </row>
    <row r="183" spans="1:22" x14ac:dyDescent="0.25">
      <c r="A183" s="820">
        <v>35300</v>
      </c>
      <c r="B183" s="810" t="s">
        <v>1687</v>
      </c>
      <c r="C183" s="821">
        <v>4.1130999999999997E-3</v>
      </c>
      <c r="D183" s="821">
        <v>4.0270999999999996E-3</v>
      </c>
      <c r="E183" s="819">
        <v>40950390</v>
      </c>
      <c r="F183" s="819">
        <f>VLOOKUP(A183,'TSERS Contributions FY 2018'!A:C,3)</f>
        <v>5907846</v>
      </c>
      <c r="G183" s="822"/>
      <c r="H183" s="819">
        <v>2988587</v>
      </c>
      <c r="I183" s="819">
        <v>3902579</v>
      </c>
      <c r="J183" s="819">
        <v>8217690</v>
      </c>
      <c r="K183" s="819">
        <v>434899</v>
      </c>
      <c r="L183" s="822"/>
      <c r="M183" s="819">
        <v>410964</v>
      </c>
      <c r="N183" s="826"/>
      <c r="O183" s="819">
        <v>0</v>
      </c>
      <c r="P183" s="819">
        <v>114052</v>
      </c>
      <c r="Q183" s="822"/>
      <c r="R183" s="819">
        <v>9379316</v>
      </c>
      <c r="S183" s="819">
        <v>146511</v>
      </c>
      <c r="T183" s="819">
        <v>9525827</v>
      </c>
      <c r="U183" s="819">
        <f t="shared" si="3"/>
        <v>78099333</v>
      </c>
      <c r="V183" s="819">
        <v>9778747</v>
      </c>
    </row>
    <row r="184" spans="1:22" x14ac:dyDescent="0.25">
      <c r="A184" s="820">
        <v>35305</v>
      </c>
      <c r="B184" s="810" t="s">
        <v>962</v>
      </c>
      <c r="C184" s="821">
        <v>1.4621E-3</v>
      </c>
      <c r="D184" s="821">
        <v>1.4071000000000001E-3</v>
      </c>
      <c r="E184" s="819">
        <v>14556798</v>
      </c>
      <c r="F184" s="819">
        <f>VLOOKUP(A184,'TSERS Contributions FY 2018'!A:C,3)</f>
        <v>2334208</v>
      </c>
      <c r="G184" s="822"/>
      <c r="H184" s="819">
        <v>1062365</v>
      </c>
      <c r="I184" s="819">
        <v>1387265</v>
      </c>
      <c r="J184" s="819">
        <v>2921175</v>
      </c>
      <c r="K184" s="819">
        <v>454370</v>
      </c>
      <c r="L184" s="822"/>
      <c r="M184" s="819">
        <v>146087</v>
      </c>
      <c r="N184" s="826"/>
      <c r="O184" s="819">
        <v>0</v>
      </c>
      <c r="P184" s="819">
        <v>8378</v>
      </c>
      <c r="Q184" s="822"/>
      <c r="R184" s="819">
        <v>3334103</v>
      </c>
      <c r="S184" s="819">
        <v>328685</v>
      </c>
      <c r="T184" s="819">
        <v>3662788</v>
      </c>
      <c r="U184" s="819">
        <f t="shared" si="3"/>
        <v>27762280</v>
      </c>
      <c r="V184" s="819">
        <v>3476090</v>
      </c>
    </row>
    <row r="185" spans="1:22" x14ac:dyDescent="0.25">
      <c r="A185" s="820">
        <v>35400</v>
      </c>
      <c r="B185" s="810" t="s">
        <v>963</v>
      </c>
      <c r="C185" s="821">
        <v>2.9822E-3</v>
      </c>
      <c r="D185" s="821">
        <v>2.9510000000000001E-3</v>
      </c>
      <c r="E185" s="819">
        <v>29691049</v>
      </c>
      <c r="F185" s="819">
        <f>VLOOKUP(A185,'TSERS Contributions FY 2018'!A:C,3)</f>
        <v>4677849</v>
      </c>
      <c r="G185" s="822"/>
      <c r="H185" s="819">
        <v>2166872</v>
      </c>
      <c r="I185" s="819">
        <v>2829562</v>
      </c>
      <c r="J185" s="819">
        <v>5958230</v>
      </c>
      <c r="K185" s="819">
        <v>86790</v>
      </c>
      <c r="L185" s="822"/>
      <c r="M185" s="819">
        <v>297969</v>
      </c>
      <c r="N185" s="826"/>
      <c r="O185" s="819">
        <v>0</v>
      </c>
      <c r="P185" s="819">
        <v>393777</v>
      </c>
      <c r="Q185" s="822"/>
      <c r="R185" s="819">
        <v>6800466</v>
      </c>
      <c r="S185" s="819">
        <v>-196633</v>
      </c>
      <c r="T185" s="819">
        <v>6603833</v>
      </c>
      <c r="U185" s="819">
        <f t="shared" si="3"/>
        <v>56625862</v>
      </c>
      <c r="V185" s="819">
        <v>7090073</v>
      </c>
    </row>
    <row r="186" spans="1:22" x14ac:dyDescent="0.25">
      <c r="A186" s="820">
        <v>35401</v>
      </c>
      <c r="B186" s="810" t="s">
        <v>964</v>
      </c>
      <c r="C186" s="821">
        <v>3.2299999999999999E-5</v>
      </c>
      <c r="D186" s="821">
        <v>3.7200000000000003E-5</v>
      </c>
      <c r="E186" s="819">
        <v>321582</v>
      </c>
      <c r="F186" s="819">
        <f>VLOOKUP(A186,'TSERS Contributions FY 2018'!A:C,3)</f>
        <v>47884</v>
      </c>
      <c r="G186" s="822"/>
      <c r="H186" s="819">
        <v>23469</v>
      </c>
      <c r="I186" s="819">
        <v>30647</v>
      </c>
      <c r="J186" s="819">
        <v>64533</v>
      </c>
      <c r="K186" s="819">
        <v>25411</v>
      </c>
      <c r="L186" s="822"/>
      <c r="M186" s="819">
        <v>3227</v>
      </c>
      <c r="N186" s="826"/>
      <c r="O186" s="819">
        <v>0</v>
      </c>
      <c r="P186" s="819">
        <v>30546</v>
      </c>
      <c r="Q186" s="822"/>
      <c r="R186" s="819">
        <v>73655</v>
      </c>
      <c r="S186" s="819">
        <v>-1033</v>
      </c>
      <c r="T186" s="819">
        <v>72622</v>
      </c>
      <c r="U186" s="819">
        <f t="shared" si="3"/>
        <v>613311</v>
      </c>
      <c r="V186" s="819">
        <v>76792</v>
      </c>
    </row>
    <row r="187" spans="1:22" x14ac:dyDescent="0.25">
      <c r="A187" s="820">
        <v>35402</v>
      </c>
      <c r="B187" s="810" t="s">
        <v>1688</v>
      </c>
      <c r="C187" s="821">
        <v>0</v>
      </c>
      <c r="D187" s="821">
        <v>0</v>
      </c>
      <c r="E187" s="819">
        <v>0</v>
      </c>
      <c r="F187" s="819">
        <f>VLOOKUP(A187,'TSERS Contributions FY 2018'!A:C,3)</f>
        <v>0</v>
      </c>
      <c r="G187" s="822"/>
      <c r="H187" s="819">
        <v>0</v>
      </c>
      <c r="I187" s="819">
        <v>0</v>
      </c>
      <c r="J187" s="819">
        <v>0</v>
      </c>
      <c r="K187" s="819">
        <v>0</v>
      </c>
      <c r="L187" s="822"/>
      <c r="M187" s="819">
        <v>0</v>
      </c>
      <c r="N187" s="826"/>
      <c r="O187" s="819">
        <v>0</v>
      </c>
      <c r="P187" s="819">
        <v>0</v>
      </c>
      <c r="Q187" s="822"/>
      <c r="R187" s="819">
        <v>0</v>
      </c>
      <c r="S187" s="819">
        <v>-99127</v>
      </c>
      <c r="T187" s="819">
        <v>-99127</v>
      </c>
      <c r="U187" s="819">
        <f t="shared" si="3"/>
        <v>0</v>
      </c>
      <c r="V187" s="819">
        <v>0</v>
      </c>
    </row>
    <row r="188" spans="1:22" x14ac:dyDescent="0.25">
      <c r="A188" s="820">
        <v>35405</v>
      </c>
      <c r="B188" s="810" t="s">
        <v>966</v>
      </c>
      <c r="C188" s="821">
        <v>1.0081999999999999E-3</v>
      </c>
      <c r="D188" s="821">
        <v>1.0463E-3</v>
      </c>
      <c r="E188" s="819">
        <v>10037729</v>
      </c>
      <c r="F188" s="819">
        <f>VLOOKUP(A188,'TSERS Contributions FY 2018'!A:C,3)</f>
        <v>1562262</v>
      </c>
      <c r="G188" s="822"/>
      <c r="H188" s="819">
        <v>732560</v>
      </c>
      <c r="I188" s="819">
        <v>956597</v>
      </c>
      <c r="J188" s="819">
        <v>2014314</v>
      </c>
      <c r="K188" s="819">
        <v>16380</v>
      </c>
      <c r="L188" s="822"/>
      <c r="M188" s="819">
        <v>100735</v>
      </c>
      <c r="N188" s="826"/>
      <c r="O188" s="819">
        <v>0</v>
      </c>
      <c r="P188" s="819">
        <v>321798</v>
      </c>
      <c r="Q188" s="822"/>
      <c r="R188" s="819">
        <v>2299051</v>
      </c>
      <c r="S188" s="819">
        <v>-129951</v>
      </c>
      <c r="T188" s="819">
        <v>2169100</v>
      </c>
      <c r="U188" s="819">
        <f t="shared" si="3"/>
        <v>19143650</v>
      </c>
      <c r="V188" s="819">
        <v>2396959</v>
      </c>
    </row>
    <row r="189" spans="1:22" x14ac:dyDescent="0.25">
      <c r="A189" s="820">
        <v>35500</v>
      </c>
      <c r="B189" s="810" t="s">
        <v>967</v>
      </c>
      <c r="C189" s="821">
        <v>4.0768000000000002E-3</v>
      </c>
      <c r="D189" s="821">
        <v>4.1085999999999996E-3</v>
      </c>
      <c r="E189" s="819">
        <v>40588984</v>
      </c>
      <c r="F189" s="819">
        <f>VLOOKUP(A189,'TSERS Contributions FY 2018'!A:C,3)</f>
        <v>6138496</v>
      </c>
      <c r="G189" s="822"/>
      <c r="H189" s="819">
        <v>2962211</v>
      </c>
      <c r="I189" s="819">
        <v>3868137</v>
      </c>
      <c r="J189" s="819">
        <v>8145165</v>
      </c>
      <c r="K189" s="819">
        <v>56505</v>
      </c>
      <c r="L189" s="822"/>
      <c r="M189" s="819">
        <v>407338</v>
      </c>
      <c r="N189" s="826"/>
      <c r="O189" s="819">
        <v>0</v>
      </c>
      <c r="P189" s="819">
        <v>1233149</v>
      </c>
      <c r="Q189" s="822"/>
      <c r="R189" s="819">
        <v>9296539</v>
      </c>
      <c r="S189" s="819">
        <v>-580394</v>
      </c>
      <c r="T189" s="819">
        <v>8716145</v>
      </c>
      <c r="U189" s="819">
        <f t="shared" si="3"/>
        <v>77410070</v>
      </c>
      <c r="V189" s="819">
        <v>9692445</v>
      </c>
    </row>
    <row r="190" spans="1:22" x14ac:dyDescent="0.25">
      <c r="A190" s="820">
        <v>35600</v>
      </c>
      <c r="B190" s="810" t="s">
        <v>968</v>
      </c>
      <c r="C190" s="821">
        <v>1.7534E-3</v>
      </c>
      <c r="D190" s="821">
        <v>1.7339E-3</v>
      </c>
      <c r="E190" s="819">
        <v>17457006</v>
      </c>
      <c r="F190" s="819">
        <f>VLOOKUP(A190,'TSERS Contributions FY 2018'!A:C,3)</f>
        <v>2673806</v>
      </c>
      <c r="G190" s="822"/>
      <c r="H190" s="819">
        <v>1274024</v>
      </c>
      <c r="I190" s="819">
        <v>1663656</v>
      </c>
      <c r="J190" s="819">
        <v>3503172</v>
      </c>
      <c r="K190" s="819">
        <v>31290</v>
      </c>
      <c r="L190" s="822"/>
      <c r="M190" s="819">
        <v>175193</v>
      </c>
      <c r="N190" s="826"/>
      <c r="O190" s="819">
        <v>0</v>
      </c>
      <c r="P190" s="819">
        <v>17985</v>
      </c>
      <c r="Q190" s="822"/>
      <c r="R190" s="819">
        <v>3998369</v>
      </c>
      <c r="S190" s="819">
        <v>-57401</v>
      </c>
      <c r="T190" s="819">
        <v>3940968</v>
      </c>
      <c r="U190" s="819">
        <f t="shared" si="3"/>
        <v>33293470</v>
      </c>
      <c r="V190" s="819">
        <v>4168645</v>
      </c>
    </row>
    <row r="191" spans="1:22" x14ac:dyDescent="0.25">
      <c r="A191" s="820">
        <v>35700</v>
      </c>
      <c r="B191" s="810" t="s">
        <v>969</v>
      </c>
      <c r="C191" s="821">
        <v>9.4209999999999997E-4</v>
      </c>
      <c r="D191" s="821">
        <v>9.5529999999999996E-4</v>
      </c>
      <c r="E191" s="819">
        <v>9379631</v>
      </c>
      <c r="F191" s="819">
        <f>VLOOKUP(A191,'TSERS Contributions FY 2018'!A:C,3)</f>
        <v>1466531</v>
      </c>
      <c r="G191" s="822"/>
      <c r="H191" s="819">
        <v>684532</v>
      </c>
      <c r="I191" s="819">
        <v>893880</v>
      </c>
      <c r="J191" s="819">
        <v>1882251</v>
      </c>
      <c r="K191" s="819">
        <v>7662</v>
      </c>
      <c r="L191" s="822"/>
      <c r="M191" s="819">
        <v>94131</v>
      </c>
      <c r="N191" s="826"/>
      <c r="O191" s="819">
        <v>0</v>
      </c>
      <c r="P191" s="819">
        <v>199652</v>
      </c>
      <c r="Q191" s="822"/>
      <c r="R191" s="819">
        <v>2148320</v>
      </c>
      <c r="S191" s="819">
        <v>-112687</v>
      </c>
      <c r="T191" s="819">
        <v>2035633</v>
      </c>
      <c r="U191" s="819">
        <f t="shared" si="3"/>
        <v>17888547</v>
      </c>
      <c r="V191" s="819">
        <v>2239809</v>
      </c>
    </row>
    <row r="192" spans="1:22" x14ac:dyDescent="0.25">
      <c r="A192" s="820">
        <v>35800</v>
      </c>
      <c r="B192" s="810" t="s">
        <v>970</v>
      </c>
      <c r="C192" s="821">
        <v>1.2757999999999999E-3</v>
      </c>
      <c r="D192" s="821">
        <v>1.3487E-3</v>
      </c>
      <c r="E192" s="819">
        <v>12701978</v>
      </c>
      <c r="F192" s="819">
        <f>VLOOKUP(A192,'TSERS Contributions FY 2018'!A:C,3)</f>
        <v>2202777</v>
      </c>
      <c r="G192" s="822"/>
      <c r="H192" s="819">
        <v>926999</v>
      </c>
      <c r="I192" s="819">
        <v>1210501</v>
      </c>
      <c r="J192" s="819">
        <v>2548960</v>
      </c>
      <c r="K192" s="819">
        <v>0</v>
      </c>
      <c r="L192" s="822"/>
      <c r="M192" s="819">
        <v>127473</v>
      </c>
      <c r="N192" s="826"/>
      <c r="O192" s="819">
        <v>0</v>
      </c>
      <c r="P192" s="819">
        <v>317392</v>
      </c>
      <c r="Q192" s="822"/>
      <c r="R192" s="819">
        <v>2909273</v>
      </c>
      <c r="S192" s="819">
        <v>-169023</v>
      </c>
      <c r="T192" s="819">
        <v>2740250</v>
      </c>
      <c r="U192" s="819">
        <f t="shared" si="3"/>
        <v>24224825</v>
      </c>
      <c r="V192" s="819">
        <v>3033169</v>
      </c>
    </row>
    <row r="193" spans="1:22" x14ac:dyDescent="0.25">
      <c r="A193" s="820">
        <v>35805</v>
      </c>
      <c r="B193" s="810" t="s">
        <v>971</v>
      </c>
      <c r="C193" s="821">
        <v>2.433E-4</v>
      </c>
      <c r="D193" s="821">
        <v>2.3470000000000001E-4</v>
      </c>
      <c r="E193" s="819">
        <v>2422316</v>
      </c>
      <c r="F193" s="819">
        <f>VLOOKUP(A193,'TSERS Contributions FY 2018'!A:C,3)</f>
        <v>460898</v>
      </c>
      <c r="G193" s="822"/>
      <c r="H193" s="819">
        <v>176782</v>
      </c>
      <c r="I193" s="819">
        <v>230847</v>
      </c>
      <c r="J193" s="819">
        <v>486097</v>
      </c>
      <c r="K193" s="819">
        <v>234924</v>
      </c>
      <c r="L193" s="822"/>
      <c r="M193" s="819">
        <v>24310</v>
      </c>
      <c r="N193" s="826"/>
      <c r="O193" s="819">
        <v>0</v>
      </c>
      <c r="P193" s="819">
        <v>8308</v>
      </c>
      <c r="Q193" s="822"/>
      <c r="R193" s="819">
        <v>554810</v>
      </c>
      <c r="S193" s="819">
        <v>97932</v>
      </c>
      <c r="T193" s="819">
        <v>652742</v>
      </c>
      <c r="U193" s="819">
        <f t="shared" si="3"/>
        <v>4619768</v>
      </c>
      <c r="V193" s="819">
        <v>578437</v>
      </c>
    </row>
    <row r="194" spans="1:22" x14ac:dyDescent="0.25">
      <c r="A194" s="820">
        <v>35900</v>
      </c>
      <c r="B194" s="810" t="s">
        <v>972</v>
      </c>
      <c r="C194" s="821">
        <v>2.4933999999999998E-3</v>
      </c>
      <c r="D194" s="821">
        <v>2.4949E-3</v>
      </c>
      <c r="E194" s="819">
        <v>24824512</v>
      </c>
      <c r="F194" s="819">
        <f>VLOOKUP(A194,'TSERS Contributions FY 2018'!A:C,3)</f>
        <v>3824353</v>
      </c>
      <c r="G194" s="822"/>
      <c r="H194" s="819">
        <v>1811709</v>
      </c>
      <c r="I194" s="819">
        <v>2365780</v>
      </c>
      <c r="J194" s="819">
        <v>4981641</v>
      </c>
      <c r="K194" s="819">
        <v>0</v>
      </c>
      <c r="L194" s="822"/>
      <c r="M194" s="819">
        <v>249131</v>
      </c>
      <c r="N194" s="826"/>
      <c r="O194" s="819">
        <v>0</v>
      </c>
      <c r="P194" s="819">
        <v>456512</v>
      </c>
      <c r="Q194" s="822"/>
      <c r="R194" s="819">
        <v>5685830</v>
      </c>
      <c r="S194" s="819">
        <v>-348353</v>
      </c>
      <c r="T194" s="819">
        <v>5337477</v>
      </c>
      <c r="U194" s="819">
        <f t="shared" si="3"/>
        <v>47344552</v>
      </c>
      <c r="V194" s="819">
        <v>5927969</v>
      </c>
    </row>
    <row r="195" spans="1:22" x14ac:dyDescent="0.25">
      <c r="A195" s="820">
        <v>35905</v>
      </c>
      <c r="B195" s="810" t="s">
        <v>973</v>
      </c>
      <c r="C195" s="821">
        <v>3.1530000000000002E-4</v>
      </c>
      <c r="D195" s="821">
        <v>3.5080000000000002E-4</v>
      </c>
      <c r="E195" s="819">
        <v>3139155</v>
      </c>
      <c r="F195" s="819">
        <f>VLOOKUP(A195,'TSERS Contributions FY 2018'!A:C,3)</f>
        <v>609743</v>
      </c>
      <c r="G195" s="822"/>
      <c r="H195" s="819">
        <v>229098</v>
      </c>
      <c r="I195" s="819">
        <v>299162</v>
      </c>
      <c r="J195" s="819">
        <v>629948</v>
      </c>
      <c r="K195" s="819">
        <v>46166</v>
      </c>
      <c r="L195" s="822"/>
      <c r="M195" s="819">
        <v>31504</v>
      </c>
      <c r="N195" s="826"/>
      <c r="O195" s="819">
        <v>0</v>
      </c>
      <c r="P195" s="819">
        <v>70873</v>
      </c>
      <c r="Q195" s="822"/>
      <c r="R195" s="819">
        <v>718995</v>
      </c>
      <c r="S195" s="819">
        <v>7224</v>
      </c>
      <c r="T195" s="819">
        <v>726219</v>
      </c>
      <c r="U195" s="819">
        <f t="shared" si="3"/>
        <v>5986900</v>
      </c>
      <c r="V195" s="819">
        <v>749614</v>
      </c>
    </row>
    <row r="196" spans="1:22" x14ac:dyDescent="0.25">
      <c r="A196" s="820">
        <v>36000</v>
      </c>
      <c r="B196" s="810" t="s">
        <v>974</v>
      </c>
      <c r="C196" s="821">
        <v>6.0296500000000003E-2</v>
      </c>
      <c r="D196" s="821">
        <v>5.97805E-2</v>
      </c>
      <c r="E196" s="819">
        <v>600317320</v>
      </c>
      <c r="F196" s="819">
        <f>VLOOKUP(A196,'TSERS Contributions FY 2018'!A:C,3)</f>
        <v>87146346</v>
      </c>
      <c r="G196" s="822"/>
      <c r="H196" s="819">
        <v>43811557</v>
      </c>
      <c r="I196" s="819">
        <v>57210344</v>
      </c>
      <c r="J196" s="819">
        <v>120468247</v>
      </c>
      <c r="K196" s="819">
        <v>549068</v>
      </c>
      <c r="L196" s="822"/>
      <c r="M196" s="819">
        <v>6024585</v>
      </c>
      <c r="N196" s="826"/>
      <c r="O196" s="819">
        <v>0</v>
      </c>
      <c r="P196" s="819">
        <v>6410872</v>
      </c>
      <c r="Q196" s="822"/>
      <c r="R196" s="819">
        <v>137497244</v>
      </c>
      <c r="S196" s="819">
        <v>-3849334</v>
      </c>
      <c r="T196" s="819">
        <v>133647910</v>
      </c>
      <c r="U196" s="819">
        <f t="shared" si="3"/>
        <v>1144906867</v>
      </c>
      <c r="V196" s="819">
        <v>143352758</v>
      </c>
    </row>
    <row r="197" spans="1:22" x14ac:dyDescent="0.25">
      <c r="A197" s="820">
        <v>36001</v>
      </c>
      <c r="B197" s="810" t="s">
        <v>975</v>
      </c>
      <c r="C197" s="821">
        <v>0</v>
      </c>
      <c r="D197" s="821">
        <v>2.8799999999999999E-5</v>
      </c>
      <c r="E197" s="819">
        <v>0</v>
      </c>
      <c r="F197" s="819">
        <f>VLOOKUP(A197,'TSERS Contributions FY 2018'!A:C,3)</f>
        <v>0</v>
      </c>
      <c r="G197" s="822"/>
      <c r="H197" s="819">
        <v>0</v>
      </c>
      <c r="I197" s="819">
        <v>0</v>
      </c>
      <c r="J197" s="819">
        <v>0</v>
      </c>
      <c r="K197" s="819">
        <v>0</v>
      </c>
      <c r="L197" s="822"/>
      <c r="M197" s="819">
        <v>0</v>
      </c>
      <c r="N197" s="826"/>
      <c r="O197" s="819">
        <v>0</v>
      </c>
      <c r="P197" s="819">
        <v>150032</v>
      </c>
      <c r="Q197" s="822"/>
      <c r="R197" s="819">
        <v>0</v>
      </c>
      <c r="S197" s="819">
        <v>-79676</v>
      </c>
      <c r="T197" s="819">
        <v>-79676</v>
      </c>
      <c r="U197" s="819">
        <f t="shared" si="3"/>
        <v>0</v>
      </c>
      <c r="V197" s="819">
        <v>0</v>
      </c>
    </row>
    <row r="198" spans="1:22" x14ac:dyDescent="0.25">
      <c r="A198" s="820">
        <v>36002</v>
      </c>
      <c r="B198" s="810" t="s">
        <v>1689</v>
      </c>
      <c r="C198" s="821">
        <v>0</v>
      </c>
      <c r="D198" s="821">
        <v>0</v>
      </c>
      <c r="E198" s="819">
        <v>0</v>
      </c>
      <c r="F198" s="819">
        <f>VLOOKUP(A198,'TSERS Contributions FY 2018'!A:C,3)</f>
        <v>0</v>
      </c>
      <c r="G198" s="822"/>
      <c r="H198" s="819">
        <v>0</v>
      </c>
      <c r="I198" s="819">
        <v>0</v>
      </c>
      <c r="J198" s="819">
        <v>0</v>
      </c>
      <c r="K198" s="819">
        <v>0</v>
      </c>
      <c r="L198" s="822"/>
      <c r="M198" s="819">
        <v>0</v>
      </c>
      <c r="N198" s="826"/>
      <c r="O198" s="819">
        <v>0</v>
      </c>
      <c r="P198" s="819">
        <v>512087</v>
      </c>
      <c r="Q198" s="822"/>
      <c r="R198" s="819">
        <v>0</v>
      </c>
      <c r="S198" s="819">
        <v>-263163</v>
      </c>
      <c r="T198" s="819">
        <v>-263163</v>
      </c>
      <c r="U198" s="819">
        <f t="shared" ref="U198:U261" si="4">C198*18987949000</f>
        <v>0</v>
      </c>
      <c r="V198" s="819">
        <v>0</v>
      </c>
    </row>
    <row r="199" spans="1:22" x14ac:dyDescent="0.25">
      <c r="A199" s="820">
        <v>36003</v>
      </c>
      <c r="B199" s="810" t="s">
        <v>977</v>
      </c>
      <c r="C199" s="821">
        <v>4.281E-4</v>
      </c>
      <c r="D199" s="821">
        <v>4.3980000000000001E-4</v>
      </c>
      <c r="E199" s="819">
        <v>4262202</v>
      </c>
      <c r="F199" s="819">
        <f>VLOOKUP(A199,'TSERS Contributions FY 2018'!A:C,3)</f>
        <v>575866</v>
      </c>
      <c r="G199" s="822"/>
      <c r="H199" s="819">
        <v>311058</v>
      </c>
      <c r="I199" s="819">
        <v>406189</v>
      </c>
      <c r="J199" s="819">
        <v>855314</v>
      </c>
      <c r="K199" s="819">
        <v>0</v>
      </c>
      <c r="L199" s="822"/>
      <c r="M199" s="819">
        <v>42774</v>
      </c>
      <c r="N199" s="826"/>
      <c r="O199" s="819">
        <v>0</v>
      </c>
      <c r="P199" s="819">
        <v>250957</v>
      </c>
      <c r="Q199" s="822"/>
      <c r="R199" s="819">
        <v>976219</v>
      </c>
      <c r="S199" s="819">
        <v>-116224</v>
      </c>
      <c r="T199" s="819">
        <v>859995</v>
      </c>
      <c r="U199" s="819">
        <f t="shared" si="4"/>
        <v>8128741</v>
      </c>
      <c r="V199" s="819">
        <v>1017792</v>
      </c>
    </row>
    <row r="200" spans="1:22" x14ac:dyDescent="0.25">
      <c r="A200" s="820">
        <v>36004</v>
      </c>
      <c r="B200" s="810" t="s">
        <v>1554</v>
      </c>
      <c r="C200" s="821">
        <v>2.541E-4</v>
      </c>
      <c r="D200" s="821">
        <v>2.397E-4</v>
      </c>
      <c r="E200" s="819">
        <v>2529842</v>
      </c>
      <c r="F200" s="819">
        <f>VLOOKUP(A200,'TSERS Contributions FY 2018'!A:C,3)</f>
        <v>330600</v>
      </c>
      <c r="G200" s="822"/>
      <c r="H200" s="819">
        <v>184630</v>
      </c>
      <c r="I200" s="819">
        <v>241094</v>
      </c>
      <c r="J200" s="819">
        <v>507674</v>
      </c>
      <c r="K200" s="819">
        <v>140785</v>
      </c>
      <c r="L200" s="822"/>
      <c r="M200" s="819">
        <v>25389</v>
      </c>
      <c r="N200" s="826"/>
      <c r="O200" s="819">
        <v>0</v>
      </c>
      <c r="P200" s="819">
        <v>0</v>
      </c>
      <c r="Q200" s="822"/>
      <c r="R200" s="819">
        <v>579437</v>
      </c>
      <c r="S200" s="819">
        <v>224991</v>
      </c>
      <c r="T200" s="819">
        <v>804428</v>
      </c>
      <c r="U200" s="819">
        <f t="shared" si="4"/>
        <v>4824838</v>
      </c>
      <c r="V200" s="819">
        <v>604114</v>
      </c>
    </row>
    <row r="201" spans="1:22" x14ac:dyDescent="0.25">
      <c r="A201" s="820">
        <v>36005</v>
      </c>
      <c r="B201" s="810" t="s">
        <v>979</v>
      </c>
      <c r="C201" s="821">
        <v>5.0277999999999998E-3</v>
      </c>
      <c r="D201" s="821">
        <v>5.0964000000000001E-3</v>
      </c>
      <c r="E201" s="819">
        <v>50057224</v>
      </c>
      <c r="F201" s="819">
        <f>VLOOKUP(A201,'TSERS Contributions FY 2018'!A:C,3)</f>
        <v>8048714</v>
      </c>
      <c r="G201" s="822"/>
      <c r="H201" s="819">
        <v>3653210</v>
      </c>
      <c r="I201" s="819">
        <v>4770462</v>
      </c>
      <c r="J201" s="819">
        <v>10045197</v>
      </c>
      <c r="K201" s="819">
        <v>564702</v>
      </c>
      <c r="L201" s="822"/>
      <c r="M201" s="819">
        <v>502358</v>
      </c>
      <c r="N201" s="826"/>
      <c r="O201" s="819">
        <v>0</v>
      </c>
      <c r="P201" s="819">
        <v>261119</v>
      </c>
      <c r="Q201" s="822"/>
      <c r="R201" s="819">
        <v>11465154</v>
      </c>
      <c r="S201" s="819">
        <v>722717</v>
      </c>
      <c r="T201" s="819">
        <v>12187871</v>
      </c>
      <c r="U201" s="819">
        <f t="shared" si="4"/>
        <v>95467610</v>
      </c>
      <c r="V201" s="819">
        <v>11953413</v>
      </c>
    </row>
    <row r="202" spans="1:22" x14ac:dyDescent="0.25">
      <c r="A202" s="820">
        <v>36006</v>
      </c>
      <c r="B202" s="810" t="s">
        <v>980</v>
      </c>
      <c r="C202" s="821">
        <v>6.4610000000000004E-4</v>
      </c>
      <c r="D202" s="821">
        <v>5.5060000000000005E-4</v>
      </c>
      <c r="E202" s="819">
        <v>6432629</v>
      </c>
      <c r="F202" s="819">
        <f>VLOOKUP(A202,'TSERS Contributions FY 2018'!A:C,3)</f>
        <v>853686</v>
      </c>
      <c r="G202" s="822"/>
      <c r="H202" s="819">
        <v>469458</v>
      </c>
      <c r="I202" s="819">
        <v>613031</v>
      </c>
      <c r="J202" s="819">
        <v>1290863</v>
      </c>
      <c r="K202" s="819">
        <v>276514</v>
      </c>
      <c r="L202" s="822"/>
      <c r="M202" s="819">
        <v>64556</v>
      </c>
      <c r="N202" s="826"/>
      <c r="O202" s="819">
        <v>0</v>
      </c>
      <c r="P202" s="819">
        <v>80566</v>
      </c>
      <c r="Q202" s="822"/>
      <c r="R202" s="819">
        <v>1473335</v>
      </c>
      <c r="S202" s="819">
        <v>43039</v>
      </c>
      <c r="T202" s="819">
        <v>1516374</v>
      </c>
      <c r="U202" s="819">
        <f t="shared" si="4"/>
        <v>12268114</v>
      </c>
      <c r="V202" s="819">
        <v>1536079</v>
      </c>
    </row>
    <row r="203" spans="1:22" x14ac:dyDescent="0.25">
      <c r="A203" s="820">
        <v>36007</v>
      </c>
      <c r="B203" s="810" t="s">
        <v>981</v>
      </c>
      <c r="C203" s="821">
        <v>2.028E-4</v>
      </c>
      <c r="D203" s="821">
        <v>1.94E-4</v>
      </c>
      <c r="E203" s="819">
        <v>2019095</v>
      </c>
      <c r="F203" s="819">
        <f>VLOOKUP(A203,'TSERS Contributions FY 2018'!A:C,3)</f>
        <v>286685</v>
      </c>
      <c r="G203" s="822"/>
      <c r="H203" s="819">
        <v>147355</v>
      </c>
      <c r="I203" s="819">
        <v>192420</v>
      </c>
      <c r="J203" s="819">
        <v>405180</v>
      </c>
      <c r="K203" s="819">
        <v>38417</v>
      </c>
      <c r="L203" s="822"/>
      <c r="M203" s="819">
        <v>20263</v>
      </c>
      <c r="N203" s="826"/>
      <c r="O203" s="819">
        <v>0</v>
      </c>
      <c r="P203" s="819">
        <v>25645</v>
      </c>
      <c r="Q203" s="822"/>
      <c r="R203" s="819">
        <v>462455</v>
      </c>
      <c r="S203" s="819">
        <v>7465</v>
      </c>
      <c r="T203" s="819">
        <v>469920</v>
      </c>
      <c r="U203" s="819">
        <f t="shared" si="4"/>
        <v>3850756</v>
      </c>
      <c r="V203" s="819">
        <v>482150</v>
      </c>
    </row>
    <row r="204" spans="1:22" x14ac:dyDescent="0.25">
      <c r="A204" s="820">
        <v>36008</v>
      </c>
      <c r="B204" s="810" t="s">
        <v>982</v>
      </c>
      <c r="C204" s="821">
        <v>5.7669999999999998E-4</v>
      </c>
      <c r="D204" s="821">
        <v>6.1220000000000003E-4</v>
      </c>
      <c r="E204" s="819">
        <v>5741677</v>
      </c>
      <c r="F204" s="819">
        <f>VLOOKUP(A204,'TSERS Contributions FY 2018'!A:C,3)</f>
        <v>740640</v>
      </c>
      <c r="G204" s="822"/>
      <c r="H204" s="819">
        <v>419031</v>
      </c>
      <c r="I204" s="819">
        <v>547183</v>
      </c>
      <c r="J204" s="819">
        <v>1152207</v>
      </c>
      <c r="K204" s="819">
        <v>75246</v>
      </c>
      <c r="L204" s="822"/>
      <c r="M204" s="819">
        <v>57622</v>
      </c>
      <c r="N204" s="826"/>
      <c r="O204" s="819">
        <v>0</v>
      </c>
      <c r="P204" s="819">
        <v>336759</v>
      </c>
      <c r="Q204" s="822"/>
      <c r="R204" s="819">
        <v>1315079</v>
      </c>
      <c r="S204" s="819">
        <v>-78891</v>
      </c>
      <c r="T204" s="819">
        <v>1236188</v>
      </c>
      <c r="U204" s="819">
        <f t="shared" si="4"/>
        <v>10950350</v>
      </c>
      <c r="V204" s="819">
        <v>1371083</v>
      </c>
    </row>
    <row r="205" spans="1:22" x14ac:dyDescent="0.25">
      <c r="A205" s="820">
        <v>36009</v>
      </c>
      <c r="B205" s="810" t="s">
        <v>983</v>
      </c>
      <c r="C205" s="821">
        <v>1.292E-4</v>
      </c>
      <c r="D205" s="821">
        <v>1.416E-4</v>
      </c>
      <c r="E205" s="819">
        <v>1286327</v>
      </c>
      <c r="F205" s="819">
        <f>VLOOKUP(A205,'TSERS Contributions FY 2018'!A:C,3)</f>
        <v>163065</v>
      </c>
      <c r="G205" s="822"/>
      <c r="H205" s="819">
        <v>93877</v>
      </c>
      <c r="I205" s="819">
        <v>122587</v>
      </c>
      <c r="J205" s="819">
        <v>258133</v>
      </c>
      <c r="K205" s="819">
        <v>51545</v>
      </c>
      <c r="L205" s="822"/>
      <c r="M205" s="819">
        <v>12909</v>
      </c>
      <c r="N205" s="826"/>
      <c r="O205" s="819">
        <v>0</v>
      </c>
      <c r="P205" s="819">
        <v>195050</v>
      </c>
      <c r="Q205" s="822"/>
      <c r="R205" s="819">
        <v>294621</v>
      </c>
      <c r="S205" s="819">
        <v>-1080</v>
      </c>
      <c r="T205" s="819">
        <v>293541</v>
      </c>
      <c r="U205" s="819">
        <f t="shared" si="4"/>
        <v>2453243</v>
      </c>
      <c r="V205" s="819">
        <v>307168</v>
      </c>
    </row>
    <row r="206" spans="1:22" x14ac:dyDescent="0.25">
      <c r="A206" s="820">
        <v>36100</v>
      </c>
      <c r="B206" s="810" t="s">
        <v>984</v>
      </c>
      <c r="C206" s="821">
        <v>7.3010000000000002E-4</v>
      </c>
      <c r="D206" s="821">
        <v>7.4960000000000001E-4</v>
      </c>
      <c r="E206" s="819">
        <v>7268941</v>
      </c>
      <c r="F206" s="819">
        <f>VLOOKUP(A206,'TSERS Contributions FY 2018'!A:C,3)</f>
        <v>1215863</v>
      </c>
      <c r="G206" s="822"/>
      <c r="H206" s="819">
        <v>530492</v>
      </c>
      <c r="I206" s="819">
        <v>692731</v>
      </c>
      <c r="J206" s="819">
        <v>1458689</v>
      </c>
      <c r="K206" s="819">
        <v>2071</v>
      </c>
      <c r="L206" s="822"/>
      <c r="M206" s="819">
        <v>72949</v>
      </c>
      <c r="N206" s="826"/>
      <c r="O206" s="819">
        <v>0</v>
      </c>
      <c r="P206" s="819">
        <v>81260</v>
      </c>
      <c r="Q206" s="822"/>
      <c r="R206" s="819">
        <v>1664885</v>
      </c>
      <c r="S206" s="819">
        <v>-64100</v>
      </c>
      <c r="T206" s="819">
        <v>1600785</v>
      </c>
      <c r="U206" s="819">
        <f t="shared" si="4"/>
        <v>13863102</v>
      </c>
      <c r="V206" s="819">
        <v>1735786</v>
      </c>
    </row>
    <row r="207" spans="1:22" x14ac:dyDescent="0.25">
      <c r="A207" s="820">
        <v>36102</v>
      </c>
      <c r="B207" s="810" t="s">
        <v>985</v>
      </c>
      <c r="C207" s="821">
        <v>2.6370000000000001E-4</v>
      </c>
      <c r="D207" s="821">
        <v>2.1670000000000001E-4</v>
      </c>
      <c r="E207" s="819">
        <v>2625421</v>
      </c>
      <c r="F207" s="819">
        <f>VLOOKUP(A207,'TSERS Contributions FY 2018'!A:C,3)</f>
        <v>328151</v>
      </c>
      <c r="G207" s="822"/>
      <c r="H207" s="819">
        <v>191605</v>
      </c>
      <c r="I207" s="819">
        <v>250203</v>
      </c>
      <c r="J207" s="819">
        <v>526854</v>
      </c>
      <c r="K207" s="819">
        <v>283604</v>
      </c>
      <c r="L207" s="822"/>
      <c r="M207" s="819">
        <v>26348</v>
      </c>
      <c r="N207" s="826"/>
      <c r="O207" s="819">
        <v>0</v>
      </c>
      <c r="P207" s="819">
        <v>34566</v>
      </c>
      <c r="Q207" s="822"/>
      <c r="R207" s="819">
        <v>601329</v>
      </c>
      <c r="S207" s="819">
        <v>64172</v>
      </c>
      <c r="T207" s="819">
        <v>665501</v>
      </c>
      <c r="U207" s="819">
        <f t="shared" si="4"/>
        <v>5007122</v>
      </c>
      <c r="V207" s="819">
        <v>626937</v>
      </c>
    </row>
    <row r="208" spans="1:22" x14ac:dyDescent="0.25">
      <c r="A208" s="820">
        <v>36105</v>
      </c>
      <c r="B208" s="810" t="s">
        <v>986</v>
      </c>
      <c r="C208" s="821">
        <v>3.968E-4</v>
      </c>
      <c r="D208" s="821">
        <v>4.148E-4</v>
      </c>
      <c r="E208" s="819">
        <v>3950576</v>
      </c>
      <c r="F208" s="819">
        <f>VLOOKUP(A208,'TSERS Contributions FY 2018'!A:C,3)</f>
        <v>661799</v>
      </c>
      <c r="G208" s="822"/>
      <c r="H208" s="819">
        <v>288316</v>
      </c>
      <c r="I208" s="819">
        <v>376491</v>
      </c>
      <c r="J208" s="819">
        <v>792779</v>
      </c>
      <c r="K208" s="819">
        <v>45565</v>
      </c>
      <c r="L208" s="822"/>
      <c r="M208" s="819">
        <v>39647</v>
      </c>
      <c r="N208" s="826"/>
      <c r="O208" s="819">
        <v>0</v>
      </c>
      <c r="P208" s="819">
        <v>54918</v>
      </c>
      <c r="Q208" s="822"/>
      <c r="R208" s="819">
        <v>904844</v>
      </c>
      <c r="S208" s="819">
        <v>-3999</v>
      </c>
      <c r="T208" s="819">
        <v>900845</v>
      </c>
      <c r="U208" s="819">
        <f t="shared" si="4"/>
        <v>7534418</v>
      </c>
      <c r="V208" s="819">
        <v>943378</v>
      </c>
    </row>
    <row r="209" spans="1:22" x14ac:dyDescent="0.25">
      <c r="A209" s="820">
        <v>36200</v>
      </c>
      <c r="B209" s="810" t="s">
        <v>987</v>
      </c>
      <c r="C209" s="821">
        <v>1.5866999999999999E-3</v>
      </c>
      <c r="D209" s="821">
        <v>1.593E-3</v>
      </c>
      <c r="E209" s="819">
        <v>15797326</v>
      </c>
      <c r="F209" s="819">
        <f>VLOOKUP(A209,'TSERS Contributions FY 2018'!A:C,3)</f>
        <v>2541608</v>
      </c>
      <c r="G209" s="822"/>
      <c r="H209" s="819">
        <v>1152899</v>
      </c>
      <c r="I209" s="819">
        <v>1505488</v>
      </c>
      <c r="J209" s="819">
        <v>3170117</v>
      </c>
      <c r="K209" s="819">
        <v>79371</v>
      </c>
      <c r="L209" s="822"/>
      <c r="M209" s="819">
        <v>158537</v>
      </c>
      <c r="N209" s="826"/>
      <c r="O209" s="819">
        <v>0</v>
      </c>
      <c r="P209" s="819">
        <v>106336</v>
      </c>
      <c r="Q209" s="822"/>
      <c r="R209" s="819">
        <v>3618235</v>
      </c>
      <c r="S209" s="819">
        <v>-3897</v>
      </c>
      <c r="T209" s="819">
        <v>3614338</v>
      </c>
      <c r="U209" s="819">
        <f t="shared" si="4"/>
        <v>30128179</v>
      </c>
      <c r="V209" s="819">
        <v>3772322</v>
      </c>
    </row>
    <row r="210" spans="1:22" x14ac:dyDescent="0.25">
      <c r="A210" s="820">
        <v>36205</v>
      </c>
      <c r="B210" s="810" t="s">
        <v>988</v>
      </c>
      <c r="C210" s="821">
        <v>2.9270000000000001E-4</v>
      </c>
      <c r="D210" s="821">
        <v>2.875E-4</v>
      </c>
      <c r="E210" s="819">
        <v>2914147</v>
      </c>
      <c r="F210" s="819">
        <f>VLOOKUP(A210,'TSERS Contributions FY 2018'!A:C,3)</f>
        <v>442007</v>
      </c>
      <c r="G210" s="822"/>
      <c r="H210" s="819">
        <v>212676</v>
      </c>
      <c r="I210" s="819">
        <v>277719</v>
      </c>
      <c r="J210" s="819">
        <v>584794</v>
      </c>
      <c r="K210" s="819">
        <v>56342</v>
      </c>
      <c r="L210" s="822"/>
      <c r="M210" s="819">
        <v>29245</v>
      </c>
      <c r="N210" s="826"/>
      <c r="O210" s="819">
        <v>0</v>
      </c>
      <c r="P210" s="819">
        <v>0</v>
      </c>
      <c r="Q210" s="822"/>
      <c r="R210" s="819">
        <v>667459</v>
      </c>
      <c r="S210" s="819">
        <v>49722</v>
      </c>
      <c r="T210" s="819">
        <v>717181</v>
      </c>
      <c r="U210" s="819">
        <f t="shared" si="4"/>
        <v>5557773</v>
      </c>
      <c r="V210" s="819">
        <v>695884</v>
      </c>
    </row>
    <row r="211" spans="1:22" x14ac:dyDescent="0.25">
      <c r="A211" s="820">
        <v>36300</v>
      </c>
      <c r="B211" s="810" t="s">
        <v>989</v>
      </c>
      <c r="C211" s="821">
        <v>4.9592000000000004E-3</v>
      </c>
      <c r="D211" s="821">
        <v>5.0737999999999998E-3</v>
      </c>
      <c r="E211" s="819">
        <v>49374237</v>
      </c>
      <c r="F211" s="819">
        <f>VLOOKUP(A211,'TSERS Contributions FY 2018'!A:C,3)</f>
        <v>7652318</v>
      </c>
      <c r="G211" s="822"/>
      <c r="H211" s="819">
        <v>3603365</v>
      </c>
      <c r="I211" s="819">
        <v>4705373</v>
      </c>
      <c r="J211" s="819">
        <v>9908139</v>
      </c>
      <c r="K211" s="819">
        <v>244056</v>
      </c>
      <c r="L211" s="822"/>
      <c r="M211" s="819">
        <v>495503</v>
      </c>
      <c r="N211" s="826"/>
      <c r="O211" s="819">
        <v>0</v>
      </c>
      <c r="P211" s="819">
        <v>852989</v>
      </c>
      <c r="Q211" s="822"/>
      <c r="R211" s="819">
        <v>11308722</v>
      </c>
      <c r="S211" s="819">
        <v>-185902</v>
      </c>
      <c r="T211" s="819">
        <v>11122820</v>
      </c>
      <c r="U211" s="819">
        <f t="shared" si="4"/>
        <v>94165037</v>
      </c>
      <c r="V211" s="819">
        <v>11790319</v>
      </c>
    </row>
    <row r="212" spans="1:22" x14ac:dyDescent="0.25">
      <c r="A212" s="820">
        <v>36301</v>
      </c>
      <c r="B212" s="810" t="s">
        <v>990</v>
      </c>
      <c r="C212" s="821">
        <v>8.3900000000000006E-5</v>
      </c>
      <c r="D212" s="821">
        <v>7.8100000000000001E-5</v>
      </c>
      <c r="E212" s="819">
        <v>835316</v>
      </c>
      <c r="F212" s="819">
        <f>VLOOKUP(A212,'TSERS Contributions FY 2018'!A:C,3)</f>
        <v>116225</v>
      </c>
      <c r="G212" s="822"/>
      <c r="H212" s="819">
        <v>60962</v>
      </c>
      <c r="I212" s="819">
        <v>79606</v>
      </c>
      <c r="J212" s="819">
        <v>167626</v>
      </c>
      <c r="K212" s="819">
        <v>52525</v>
      </c>
      <c r="L212" s="822"/>
      <c r="M212" s="819">
        <v>8383</v>
      </c>
      <c r="N212" s="826"/>
      <c r="O212" s="819">
        <v>0</v>
      </c>
      <c r="P212" s="819">
        <v>0</v>
      </c>
      <c r="Q212" s="822"/>
      <c r="R212" s="819">
        <v>191322</v>
      </c>
      <c r="S212" s="819">
        <v>29256</v>
      </c>
      <c r="T212" s="819">
        <v>220578</v>
      </c>
      <c r="U212" s="819">
        <f t="shared" si="4"/>
        <v>1593089</v>
      </c>
      <c r="V212" s="819">
        <v>199469</v>
      </c>
    </row>
    <row r="213" spans="1:22" x14ac:dyDescent="0.25">
      <c r="A213" s="820">
        <v>36302</v>
      </c>
      <c r="B213" s="810" t="s">
        <v>991</v>
      </c>
      <c r="C213" s="821">
        <v>1.2640000000000001E-4</v>
      </c>
      <c r="D213" s="821">
        <v>1.194E-4</v>
      </c>
      <c r="E213" s="819">
        <v>1258450</v>
      </c>
      <c r="F213" s="819">
        <f>VLOOKUP(A213,'TSERS Contributions FY 2018'!A:C,3)</f>
        <v>177416</v>
      </c>
      <c r="G213" s="822"/>
      <c r="H213" s="819">
        <v>91842</v>
      </c>
      <c r="I213" s="819">
        <v>119930</v>
      </c>
      <c r="J213" s="819">
        <v>252538</v>
      </c>
      <c r="K213" s="819">
        <v>23469</v>
      </c>
      <c r="L213" s="822"/>
      <c r="M213" s="819">
        <v>12629</v>
      </c>
      <c r="N213" s="826"/>
      <c r="O213" s="819">
        <v>0</v>
      </c>
      <c r="P213" s="819">
        <v>38171</v>
      </c>
      <c r="Q213" s="822"/>
      <c r="R213" s="819">
        <v>288236</v>
      </c>
      <c r="S213" s="819">
        <v>9737</v>
      </c>
      <c r="T213" s="819">
        <v>297973</v>
      </c>
      <c r="U213" s="819">
        <f t="shared" si="4"/>
        <v>2400077</v>
      </c>
      <c r="V213" s="819">
        <v>300511</v>
      </c>
    </row>
    <row r="214" spans="1:22" x14ac:dyDescent="0.25">
      <c r="A214" s="820">
        <v>36303</v>
      </c>
      <c r="B214" s="810" t="s">
        <v>1667</v>
      </c>
      <c r="C214" s="821">
        <v>1.751E-4</v>
      </c>
      <c r="D214" s="821">
        <v>0</v>
      </c>
      <c r="E214" s="819">
        <v>1743311</v>
      </c>
      <c r="F214" s="819">
        <f>VLOOKUP(A214,'TSERS Contributions FY 2018'!A:C,3)</f>
        <v>219525</v>
      </c>
      <c r="G214" s="822"/>
      <c r="H214" s="819">
        <v>127228</v>
      </c>
      <c r="I214" s="819">
        <v>166138</v>
      </c>
      <c r="J214" s="819">
        <v>349838</v>
      </c>
      <c r="K214" s="819">
        <v>703379</v>
      </c>
      <c r="L214" s="822"/>
      <c r="M214" s="819">
        <v>17495</v>
      </c>
      <c r="N214" s="826"/>
      <c r="O214" s="819">
        <v>0</v>
      </c>
      <c r="P214" s="819">
        <v>0</v>
      </c>
      <c r="Q214" s="822"/>
      <c r="R214" s="819">
        <v>399290</v>
      </c>
      <c r="S214" s="819">
        <v>234460</v>
      </c>
      <c r="T214" s="819">
        <v>633750</v>
      </c>
      <c r="U214" s="819">
        <f t="shared" si="4"/>
        <v>3324790</v>
      </c>
      <c r="V214" s="819">
        <v>416294</v>
      </c>
    </row>
    <row r="215" spans="1:22" x14ac:dyDescent="0.25">
      <c r="A215" s="820">
        <v>36305</v>
      </c>
      <c r="B215" s="810" t="s">
        <v>992</v>
      </c>
      <c r="C215" s="821">
        <v>9.502E-4</v>
      </c>
      <c r="D215" s="821">
        <v>9.5120000000000003E-4</v>
      </c>
      <c r="E215" s="819">
        <v>9460276</v>
      </c>
      <c r="F215" s="819">
        <f>VLOOKUP(A215,'TSERS Contributions FY 2018'!A:C,3)</f>
        <v>1658202</v>
      </c>
      <c r="G215" s="822"/>
      <c r="H215" s="819">
        <v>690417</v>
      </c>
      <c r="I215" s="819">
        <v>901566</v>
      </c>
      <c r="J215" s="819">
        <v>1898434</v>
      </c>
      <c r="K215" s="819">
        <v>203694</v>
      </c>
      <c r="L215" s="822"/>
      <c r="M215" s="819">
        <v>94940</v>
      </c>
      <c r="N215" s="826"/>
      <c r="O215" s="819">
        <v>0</v>
      </c>
      <c r="P215" s="819">
        <v>33405</v>
      </c>
      <c r="Q215" s="822"/>
      <c r="R215" s="819">
        <v>2166790</v>
      </c>
      <c r="S215" s="819">
        <v>81103</v>
      </c>
      <c r="T215" s="819">
        <v>2247893</v>
      </c>
      <c r="U215" s="819">
        <f t="shared" si="4"/>
        <v>18042349</v>
      </c>
      <c r="V215" s="819">
        <v>2259066</v>
      </c>
    </row>
    <row r="216" spans="1:22" x14ac:dyDescent="0.25">
      <c r="A216" s="820">
        <v>36310</v>
      </c>
      <c r="B216" s="810" t="s">
        <v>1555</v>
      </c>
      <c r="C216" s="821">
        <v>0</v>
      </c>
      <c r="D216" s="821">
        <v>3.8000000000000002E-5</v>
      </c>
      <c r="E216" s="819">
        <v>0</v>
      </c>
      <c r="F216" s="819">
        <f>VLOOKUP(A216,'TSERS Contributions FY 2018'!A:C,3)</f>
        <v>4821</v>
      </c>
      <c r="G216" s="822"/>
      <c r="H216" s="819">
        <v>0</v>
      </c>
      <c r="I216" s="819">
        <v>0</v>
      </c>
      <c r="J216" s="819">
        <v>0</v>
      </c>
      <c r="K216" s="819">
        <v>92182</v>
      </c>
      <c r="L216" s="822"/>
      <c r="M216" s="819">
        <v>0</v>
      </c>
      <c r="N216" s="826"/>
      <c r="O216" s="819">
        <v>0</v>
      </c>
      <c r="P216" s="819">
        <v>158683</v>
      </c>
      <c r="Q216" s="822"/>
      <c r="R216" s="819">
        <v>0</v>
      </c>
      <c r="S216" s="819">
        <v>-6804</v>
      </c>
      <c r="T216" s="819">
        <v>-6804</v>
      </c>
      <c r="U216" s="819">
        <f t="shared" si="4"/>
        <v>0</v>
      </c>
      <c r="V216" s="819">
        <v>0</v>
      </c>
    </row>
    <row r="217" spans="1:22" x14ac:dyDescent="0.25">
      <c r="A217" s="820">
        <v>36400</v>
      </c>
      <c r="B217" s="810" t="s">
        <v>993</v>
      </c>
      <c r="C217" s="821">
        <v>5.5005000000000002E-3</v>
      </c>
      <c r="D217" s="821">
        <v>5.6394000000000001E-3</v>
      </c>
      <c r="E217" s="819">
        <v>54763468</v>
      </c>
      <c r="F217" s="819">
        <f>VLOOKUP(A217,'TSERS Contributions FY 2018'!A:C,3)</f>
        <v>8735379</v>
      </c>
      <c r="G217" s="822"/>
      <c r="H217" s="819">
        <v>3996674</v>
      </c>
      <c r="I217" s="819">
        <v>5218968</v>
      </c>
      <c r="J217" s="819">
        <v>10989619</v>
      </c>
      <c r="K217" s="819">
        <v>479132</v>
      </c>
      <c r="L217" s="822"/>
      <c r="M217" s="819">
        <v>549588</v>
      </c>
      <c r="N217" s="826"/>
      <c r="O217" s="819">
        <v>0</v>
      </c>
      <c r="P217" s="819">
        <v>656448</v>
      </c>
      <c r="Q217" s="822"/>
      <c r="R217" s="819">
        <v>12543076</v>
      </c>
      <c r="S217" s="819">
        <v>-516551</v>
      </c>
      <c r="T217" s="819">
        <v>12026525</v>
      </c>
      <c r="U217" s="819">
        <f t="shared" si="4"/>
        <v>104443213</v>
      </c>
      <c r="V217" s="819">
        <v>13077241</v>
      </c>
    </row>
    <row r="218" spans="1:22" x14ac:dyDescent="0.25">
      <c r="A218" s="820">
        <v>36405</v>
      </c>
      <c r="B218" s="810" t="s">
        <v>1556</v>
      </c>
      <c r="C218" s="821">
        <v>9.0129999999999995E-4</v>
      </c>
      <c r="D218" s="821">
        <v>9.7380000000000003E-4</v>
      </c>
      <c r="E218" s="819">
        <v>8973423</v>
      </c>
      <c r="F218" s="819">
        <f>VLOOKUP(A218,'TSERS Contributions FY 2018'!A:C,3)</f>
        <v>1406239</v>
      </c>
      <c r="G218" s="822"/>
      <c r="H218" s="819">
        <v>654886</v>
      </c>
      <c r="I218" s="819">
        <v>855169</v>
      </c>
      <c r="J218" s="819">
        <v>1800735</v>
      </c>
      <c r="K218" s="819">
        <v>111121</v>
      </c>
      <c r="L218" s="822"/>
      <c r="M218" s="819">
        <v>90054</v>
      </c>
      <c r="N218" s="826"/>
      <c r="O218" s="819">
        <v>0</v>
      </c>
      <c r="P218" s="819">
        <v>331386</v>
      </c>
      <c r="Q218" s="822"/>
      <c r="R218" s="819">
        <v>2055281</v>
      </c>
      <c r="S218" s="819">
        <v>31839</v>
      </c>
      <c r="T218" s="819">
        <v>2087120</v>
      </c>
      <c r="U218" s="819">
        <f t="shared" si="4"/>
        <v>17113838</v>
      </c>
      <c r="V218" s="819">
        <v>2142808</v>
      </c>
    </row>
    <row r="219" spans="1:22" x14ac:dyDescent="0.25">
      <c r="A219" s="820">
        <v>36500</v>
      </c>
      <c r="B219" s="810" t="s">
        <v>995</v>
      </c>
      <c r="C219" s="821">
        <v>1.10864E-2</v>
      </c>
      <c r="D219" s="821">
        <v>1.0977199999999999E-2</v>
      </c>
      <c r="E219" s="819">
        <v>110377185</v>
      </c>
      <c r="F219" s="819">
        <f>VLOOKUP(A219,'TSERS Contributions FY 2018'!A:C,3)</f>
        <v>16750008</v>
      </c>
      <c r="G219" s="822"/>
      <c r="H219" s="819">
        <v>8055400</v>
      </c>
      <c r="I219" s="819">
        <v>10518965</v>
      </c>
      <c r="J219" s="819">
        <v>22149862</v>
      </c>
      <c r="K219" s="819">
        <v>541864</v>
      </c>
      <c r="L219" s="822"/>
      <c r="M219" s="819">
        <v>1107709</v>
      </c>
      <c r="N219" s="826"/>
      <c r="O219" s="819">
        <v>0</v>
      </c>
      <c r="P219" s="819">
        <v>211502</v>
      </c>
      <c r="Q219" s="822"/>
      <c r="R219" s="819">
        <v>25280894</v>
      </c>
      <c r="S219" s="819">
        <v>610429</v>
      </c>
      <c r="T219" s="819">
        <v>25891323</v>
      </c>
      <c r="U219" s="819">
        <f t="shared" si="4"/>
        <v>210507998</v>
      </c>
      <c r="V219" s="819">
        <v>26357517</v>
      </c>
    </row>
    <row r="220" spans="1:22" x14ac:dyDescent="0.25">
      <c r="A220" s="820">
        <v>36501</v>
      </c>
      <c r="B220" s="810" t="s">
        <v>996</v>
      </c>
      <c r="C220" s="821">
        <v>1.4410000000000001E-4</v>
      </c>
      <c r="D220" s="821">
        <v>1.429E-4</v>
      </c>
      <c r="E220" s="819">
        <v>1434672</v>
      </c>
      <c r="F220" s="819">
        <f>VLOOKUP(A220,'TSERS Contributions FY 2018'!A:C,3)</f>
        <v>194457</v>
      </c>
      <c r="G220" s="822"/>
      <c r="H220" s="819">
        <v>104703</v>
      </c>
      <c r="I220" s="819">
        <v>136725</v>
      </c>
      <c r="J220" s="819">
        <v>287902</v>
      </c>
      <c r="K220" s="819">
        <v>43596</v>
      </c>
      <c r="L220" s="822"/>
      <c r="M220" s="819">
        <v>14398</v>
      </c>
      <c r="N220" s="826"/>
      <c r="O220" s="819">
        <v>0</v>
      </c>
      <c r="P220" s="819">
        <v>23203</v>
      </c>
      <c r="Q220" s="822"/>
      <c r="R220" s="819">
        <v>328599</v>
      </c>
      <c r="S220" s="819">
        <v>20074</v>
      </c>
      <c r="T220" s="819">
        <v>348673</v>
      </c>
      <c r="U220" s="819">
        <f t="shared" si="4"/>
        <v>2736163</v>
      </c>
      <c r="V220" s="819">
        <v>342593</v>
      </c>
    </row>
    <row r="221" spans="1:22" x14ac:dyDescent="0.25">
      <c r="A221" s="820">
        <v>36502</v>
      </c>
      <c r="B221" s="810" t="s">
        <v>997</v>
      </c>
      <c r="C221" s="821">
        <v>5.1100000000000002E-5</v>
      </c>
      <c r="D221" s="821">
        <v>4.9200000000000003E-5</v>
      </c>
      <c r="E221" s="819">
        <v>508756</v>
      </c>
      <c r="F221" s="819">
        <f>VLOOKUP(A221,'TSERS Contributions FY 2018'!A:C,3)</f>
        <v>67430</v>
      </c>
      <c r="G221" s="822"/>
      <c r="H221" s="819">
        <v>37129</v>
      </c>
      <c r="I221" s="819">
        <v>48485</v>
      </c>
      <c r="J221" s="819">
        <v>102094</v>
      </c>
      <c r="K221" s="819">
        <v>7247</v>
      </c>
      <c r="L221" s="822"/>
      <c r="M221" s="819">
        <v>5106</v>
      </c>
      <c r="N221" s="826"/>
      <c r="O221" s="819">
        <v>0</v>
      </c>
      <c r="P221" s="819">
        <v>15111</v>
      </c>
      <c r="Q221" s="822"/>
      <c r="R221" s="819">
        <v>116526</v>
      </c>
      <c r="S221" s="819">
        <v>556</v>
      </c>
      <c r="T221" s="819">
        <v>117082</v>
      </c>
      <c r="U221" s="819">
        <f t="shared" si="4"/>
        <v>970284</v>
      </c>
      <c r="V221" s="819">
        <v>121488</v>
      </c>
    </row>
    <row r="222" spans="1:22" x14ac:dyDescent="0.25">
      <c r="A222" s="820">
        <v>36505</v>
      </c>
      <c r="B222" s="810" t="s">
        <v>998</v>
      </c>
      <c r="C222" s="821">
        <v>2.1537000000000001E-3</v>
      </c>
      <c r="D222" s="821">
        <v>2.2230000000000001E-3</v>
      </c>
      <c r="E222" s="819">
        <v>21442429</v>
      </c>
      <c r="F222" s="819">
        <f>VLOOKUP(A222,'TSERS Contributions FY 2018'!A:C,3)</f>
        <v>3498740</v>
      </c>
      <c r="G222" s="822"/>
      <c r="H222" s="819">
        <v>1564883</v>
      </c>
      <c r="I222" s="819">
        <v>2043467</v>
      </c>
      <c r="J222" s="819">
        <v>4302944</v>
      </c>
      <c r="K222" s="819">
        <v>343058</v>
      </c>
      <c r="L222" s="822"/>
      <c r="M222" s="819">
        <v>215189</v>
      </c>
      <c r="N222" s="826"/>
      <c r="O222" s="819">
        <v>0</v>
      </c>
      <c r="P222" s="819">
        <v>288851</v>
      </c>
      <c r="Q222" s="822"/>
      <c r="R222" s="819">
        <v>4911194</v>
      </c>
      <c r="S222" s="819">
        <v>141250</v>
      </c>
      <c r="T222" s="819">
        <v>5052444</v>
      </c>
      <c r="U222" s="819">
        <f t="shared" si="4"/>
        <v>40894346</v>
      </c>
      <c r="V222" s="819">
        <v>5120344</v>
      </c>
    </row>
    <row r="223" spans="1:22" x14ac:dyDescent="0.25">
      <c r="A223" s="820">
        <v>36600</v>
      </c>
      <c r="B223" s="810" t="s">
        <v>999</v>
      </c>
      <c r="C223" s="821">
        <v>7.672E-4</v>
      </c>
      <c r="D223" s="821">
        <v>7.8490000000000005E-4</v>
      </c>
      <c r="E223" s="819">
        <v>7638311</v>
      </c>
      <c r="F223" s="819">
        <f>VLOOKUP(A223,'TSERS Contributions FY 2018'!A:C,3)</f>
        <v>1302700</v>
      </c>
      <c r="G223" s="822"/>
      <c r="H223" s="819">
        <v>557449</v>
      </c>
      <c r="I223" s="819">
        <v>727932</v>
      </c>
      <c r="J223" s="819">
        <v>1532813</v>
      </c>
      <c r="K223" s="819">
        <v>32979</v>
      </c>
      <c r="L223" s="822"/>
      <c r="M223" s="819">
        <v>76656</v>
      </c>
      <c r="N223" s="826"/>
      <c r="O223" s="819">
        <v>0</v>
      </c>
      <c r="P223" s="819">
        <v>68111</v>
      </c>
      <c r="Q223" s="822"/>
      <c r="R223" s="819">
        <v>1749486</v>
      </c>
      <c r="S223" s="819">
        <v>-76667</v>
      </c>
      <c r="T223" s="819">
        <v>1672819</v>
      </c>
      <c r="U223" s="819">
        <f t="shared" si="4"/>
        <v>14567554</v>
      </c>
      <c r="V223" s="819">
        <v>1823990</v>
      </c>
    </row>
    <row r="224" spans="1:22" x14ac:dyDescent="0.25">
      <c r="A224" s="820">
        <v>36601</v>
      </c>
      <c r="B224" s="810" t="s">
        <v>1000</v>
      </c>
      <c r="C224" s="821">
        <v>4.7469999999999999E-4</v>
      </c>
      <c r="D224" s="821">
        <v>4.5150000000000002E-4</v>
      </c>
      <c r="E224" s="819">
        <v>4726155</v>
      </c>
      <c r="F224" s="819">
        <f>VLOOKUP(A224,'TSERS Contributions FY 2018'!A:C,3)</f>
        <v>599872</v>
      </c>
      <c r="G224" s="822"/>
      <c r="H224" s="819">
        <v>344918</v>
      </c>
      <c r="I224" s="819">
        <v>450403</v>
      </c>
      <c r="J224" s="819">
        <v>948418</v>
      </c>
      <c r="K224" s="819">
        <v>124219</v>
      </c>
      <c r="L224" s="822"/>
      <c r="M224" s="819">
        <v>47430</v>
      </c>
      <c r="N224" s="826"/>
      <c r="O224" s="819">
        <v>0</v>
      </c>
      <c r="P224" s="819">
        <v>17939</v>
      </c>
      <c r="Q224" s="822"/>
      <c r="R224" s="819">
        <v>1082483</v>
      </c>
      <c r="S224" s="819">
        <v>115356</v>
      </c>
      <c r="T224" s="819">
        <v>1197839</v>
      </c>
      <c r="U224" s="819">
        <f t="shared" si="4"/>
        <v>9013579</v>
      </c>
      <c r="V224" s="819">
        <v>1128582</v>
      </c>
    </row>
    <row r="225" spans="1:22" x14ac:dyDescent="0.25">
      <c r="A225" s="820">
        <v>36700</v>
      </c>
      <c r="B225" s="810" t="s">
        <v>1001</v>
      </c>
      <c r="C225" s="821">
        <v>9.4205999999999995E-3</v>
      </c>
      <c r="D225" s="821">
        <v>9.1883999999999993E-3</v>
      </c>
      <c r="E225" s="819">
        <v>93792332</v>
      </c>
      <c r="F225" s="819">
        <f>VLOOKUP(A225,'TSERS Contributions FY 2018'!A:C,3)</f>
        <v>14210071</v>
      </c>
      <c r="G225" s="822"/>
      <c r="H225" s="819">
        <v>6845027</v>
      </c>
      <c r="I225" s="819">
        <v>8938425</v>
      </c>
      <c r="J225" s="819">
        <v>18821709</v>
      </c>
      <c r="K225" s="819">
        <v>590618</v>
      </c>
      <c r="L225" s="822"/>
      <c r="M225" s="819">
        <v>941269</v>
      </c>
      <c r="N225" s="826"/>
      <c r="O225" s="819">
        <v>0</v>
      </c>
      <c r="P225" s="819">
        <v>882970</v>
      </c>
      <c r="Q225" s="822"/>
      <c r="R225" s="819">
        <v>21482284</v>
      </c>
      <c r="S225" s="819">
        <v>26721</v>
      </c>
      <c r="T225" s="819">
        <v>21509005</v>
      </c>
      <c r="U225" s="819">
        <f t="shared" si="4"/>
        <v>178877872</v>
      </c>
      <c r="V225" s="819">
        <v>22397137</v>
      </c>
    </row>
    <row r="226" spans="1:22" x14ac:dyDescent="0.25">
      <c r="A226" s="820">
        <v>36701</v>
      </c>
      <c r="B226" s="810" t="s">
        <v>1002</v>
      </c>
      <c r="C226" s="821">
        <v>3.3099999999999998E-5</v>
      </c>
      <c r="D226" s="821">
        <v>3.2400000000000001E-5</v>
      </c>
      <c r="E226" s="819">
        <v>329547</v>
      </c>
      <c r="F226" s="819">
        <f>VLOOKUP(A226,'TSERS Contributions FY 2018'!A:C,3)</f>
        <v>50139</v>
      </c>
      <c r="G226" s="822"/>
      <c r="H226" s="819">
        <v>24051</v>
      </c>
      <c r="I226" s="819">
        <v>31406</v>
      </c>
      <c r="J226" s="819">
        <v>66132</v>
      </c>
      <c r="K226" s="819">
        <v>22510</v>
      </c>
      <c r="L226" s="822"/>
      <c r="M226" s="819">
        <v>3307</v>
      </c>
      <c r="N226" s="826"/>
      <c r="O226" s="819">
        <v>0</v>
      </c>
      <c r="P226" s="819">
        <v>40636</v>
      </c>
      <c r="Q226" s="822"/>
      <c r="R226" s="819">
        <v>75480</v>
      </c>
      <c r="S226" s="819">
        <v>23667</v>
      </c>
      <c r="T226" s="819">
        <v>99147</v>
      </c>
      <c r="U226" s="819">
        <f t="shared" si="4"/>
        <v>628501</v>
      </c>
      <c r="V226" s="819">
        <v>78694</v>
      </c>
    </row>
    <row r="227" spans="1:22" x14ac:dyDescent="0.25">
      <c r="A227" s="820">
        <v>36705</v>
      </c>
      <c r="B227" s="810" t="s">
        <v>1003</v>
      </c>
      <c r="C227" s="821">
        <v>1.1186E-3</v>
      </c>
      <c r="D227" s="821">
        <v>1.0859000000000001E-3</v>
      </c>
      <c r="E227" s="819">
        <v>11136881</v>
      </c>
      <c r="F227" s="819">
        <f>VLOOKUP(A227,'TSERS Contributions FY 2018'!A:C,3)</f>
        <v>1747676</v>
      </c>
      <c r="G227" s="822"/>
      <c r="H227" s="819">
        <v>812777</v>
      </c>
      <c r="I227" s="819">
        <v>1061347</v>
      </c>
      <c r="J227" s="819">
        <v>2234886</v>
      </c>
      <c r="K227" s="819">
        <v>279542</v>
      </c>
      <c r="L227" s="822"/>
      <c r="M227" s="819">
        <v>111766</v>
      </c>
      <c r="N227" s="826"/>
      <c r="O227" s="819">
        <v>0</v>
      </c>
      <c r="P227" s="819">
        <v>0</v>
      </c>
      <c r="Q227" s="822"/>
      <c r="R227" s="819">
        <v>2550802</v>
      </c>
      <c r="S227" s="819">
        <v>108569</v>
      </c>
      <c r="T227" s="819">
        <v>2659371</v>
      </c>
      <c r="U227" s="819">
        <f t="shared" si="4"/>
        <v>21239920</v>
      </c>
      <c r="V227" s="819">
        <v>2659431</v>
      </c>
    </row>
    <row r="228" spans="1:22" x14ac:dyDescent="0.25">
      <c r="A228" s="820">
        <v>36800</v>
      </c>
      <c r="B228" s="810" t="s">
        <v>1004</v>
      </c>
      <c r="C228" s="821">
        <v>3.5387000000000001E-3</v>
      </c>
      <c r="D228" s="821">
        <v>3.5022999999999999E-3</v>
      </c>
      <c r="E228" s="819">
        <v>35231612</v>
      </c>
      <c r="F228" s="819">
        <f>VLOOKUP(A228,'TSERS Contributions FY 2018'!A:C,3)</f>
        <v>5484591</v>
      </c>
      <c r="G228" s="822"/>
      <c r="H228" s="819">
        <v>2571226</v>
      </c>
      <c r="I228" s="819">
        <v>3357579</v>
      </c>
      <c r="J228" s="819">
        <v>7070078</v>
      </c>
      <c r="K228" s="819">
        <v>377410</v>
      </c>
      <c r="L228" s="822"/>
      <c r="M228" s="819">
        <v>353573</v>
      </c>
      <c r="N228" s="826"/>
      <c r="O228" s="819">
        <v>0</v>
      </c>
      <c r="P228" s="819">
        <v>0</v>
      </c>
      <c r="Q228" s="822"/>
      <c r="R228" s="819">
        <v>8069482</v>
      </c>
      <c r="S228" s="819">
        <v>218019</v>
      </c>
      <c r="T228" s="819">
        <v>8287501</v>
      </c>
      <c r="U228" s="819">
        <f t="shared" si="4"/>
        <v>67192655</v>
      </c>
      <c r="V228" s="819">
        <v>8413132</v>
      </c>
    </row>
    <row r="229" spans="1:22" x14ac:dyDescent="0.25">
      <c r="A229" s="820">
        <v>36801</v>
      </c>
      <c r="B229" s="810" t="s">
        <v>1690</v>
      </c>
      <c r="C229" s="821">
        <v>0</v>
      </c>
      <c r="D229" s="821">
        <v>0</v>
      </c>
      <c r="E229" s="819">
        <v>0</v>
      </c>
      <c r="F229" s="819">
        <f>VLOOKUP(A229,'TSERS Contributions FY 2018'!A:C,3)</f>
        <v>0</v>
      </c>
      <c r="G229" s="822"/>
      <c r="H229" s="819">
        <v>0</v>
      </c>
      <c r="I229" s="819">
        <v>0</v>
      </c>
      <c r="J229" s="819">
        <v>0</v>
      </c>
      <c r="K229" s="819">
        <v>0</v>
      </c>
      <c r="L229" s="822"/>
      <c r="M229" s="819">
        <v>0</v>
      </c>
      <c r="N229" s="826"/>
      <c r="O229" s="819">
        <v>0</v>
      </c>
      <c r="P229" s="819">
        <v>92668</v>
      </c>
      <c r="Q229" s="822"/>
      <c r="R229" s="819">
        <v>0</v>
      </c>
      <c r="S229" s="819">
        <v>-69991</v>
      </c>
      <c r="T229" s="819">
        <v>-69991</v>
      </c>
      <c r="U229" s="819">
        <f t="shared" si="4"/>
        <v>0</v>
      </c>
      <c r="V229" s="819">
        <v>0</v>
      </c>
    </row>
    <row r="230" spans="1:22" x14ac:dyDescent="0.25">
      <c r="A230" s="820">
        <v>36802</v>
      </c>
      <c r="B230" s="810" t="s">
        <v>1006</v>
      </c>
      <c r="C230" s="821">
        <v>2.0110000000000001E-4</v>
      </c>
      <c r="D230" s="821">
        <v>1.2549999999999999E-4</v>
      </c>
      <c r="E230" s="819">
        <v>2002169</v>
      </c>
      <c r="F230" s="819">
        <f>VLOOKUP(A230,'TSERS Contributions FY 2018'!A:C,3)</f>
        <v>260280</v>
      </c>
      <c r="G230" s="822"/>
      <c r="H230" s="819">
        <v>146120</v>
      </c>
      <c r="I230" s="819">
        <v>190807</v>
      </c>
      <c r="J230" s="819">
        <v>401784</v>
      </c>
      <c r="K230" s="819">
        <v>345952</v>
      </c>
      <c r="L230" s="822"/>
      <c r="M230" s="819">
        <v>20093</v>
      </c>
      <c r="N230" s="826"/>
      <c r="O230" s="819">
        <v>0</v>
      </c>
      <c r="P230" s="819">
        <v>4541</v>
      </c>
      <c r="Q230" s="822"/>
      <c r="R230" s="819">
        <v>458579</v>
      </c>
      <c r="S230" s="819">
        <v>108507</v>
      </c>
      <c r="T230" s="819">
        <v>567086</v>
      </c>
      <c r="U230" s="819">
        <f t="shared" si="4"/>
        <v>3818477</v>
      </c>
      <c r="V230" s="819">
        <v>478108</v>
      </c>
    </row>
    <row r="231" spans="1:22" x14ac:dyDescent="0.25">
      <c r="A231" s="820">
        <v>36810</v>
      </c>
      <c r="B231" s="810" t="s">
        <v>1557</v>
      </c>
      <c r="C231" s="821">
        <v>6.6909999999999999E-3</v>
      </c>
      <c r="D231" s="821">
        <v>6.5713000000000004E-3</v>
      </c>
      <c r="E231" s="819">
        <v>66616191</v>
      </c>
      <c r="F231" s="819">
        <f>VLOOKUP(A231,'TSERS Contributions FY 2018'!A:C,3)</f>
        <v>9941225</v>
      </c>
      <c r="G231" s="822"/>
      <c r="H231" s="819">
        <v>4861694</v>
      </c>
      <c r="I231" s="819">
        <v>6348535</v>
      </c>
      <c r="J231" s="819">
        <v>13368156</v>
      </c>
      <c r="K231" s="819">
        <v>128997</v>
      </c>
      <c r="L231" s="822"/>
      <c r="M231" s="819">
        <v>668538</v>
      </c>
      <c r="N231" s="826"/>
      <c r="O231" s="819">
        <v>0</v>
      </c>
      <c r="P231" s="819">
        <v>418373</v>
      </c>
      <c r="Q231" s="822"/>
      <c r="R231" s="819">
        <v>15257835</v>
      </c>
      <c r="S231" s="819">
        <v>-16843</v>
      </c>
      <c r="T231" s="819">
        <v>15240992</v>
      </c>
      <c r="U231" s="819">
        <f t="shared" si="4"/>
        <v>127048367</v>
      </c>
      <c r="V231" s="819">
        <v>15907612</v>
      </c>
    </row>
    <row r="232" spans="1:22" x14ac:dyDescent="0.25">
      <c r="A232" s="820">
        <v>36900</v>
      </c>
      <c r="B232" s="810" t="s">
        <v>1008</v>
      </c>
      <c r="C232" s="821">
        <v>6.3949999999999999E-4</v>
      </c>
      <c r="D232" s="821">
        <v>6.4899999999999995E-4</v>
      </c>
      <c r="E232" s="819">
        <v>6366919</v>
      </c>
      <c r="F232" s="819">
        <f>VLOOKUP(A232,'TSERS Contributions FY 2018'!A:C,3)</f>
        <v>1024218</v>
      </c>
      <c r="G232" s="822"/>
      <c r="H232" s="819">
        <v>464662</v>
      </c>
      <c r="I232" s="819">
        <v>606768</v>
      </c>
      <c r="J232" s="819">
        <v>1277677</v>
      </c>
      <c r="K232" s="819">
        <v>26829</v>
      </c>
      <c r="L232" s="822"/>
      <c r="M232" s="819">
        <v>63896</v>
      </c>
      <c r="N232" s="826"/>
      <c r="O232" s="819">
        <v>0</v>
      </c>
      <c r="P232" s="819">
        <v>53280</v>
      </c>
      <c r="Q232" s="822"/>
      <c r="R232" s="819">
        <v>1458285</v>
      </c>
      <c r="S232" s="819">
        <v>1028</v>
      </c>
      <c r="T232" s="819">
        <v>1459313</v>
      </c>
      <c r="U232" s="819">
        <f t="shared" si="4"/>
        <v>12142793</v>
      </c>
      <c r="V232" s="819">
        <v>1520388</v>
      </c>
    </row>
    <row r="233" spans="1:22" x14ac:dyDescent="0.25">
      <c r="A233" s="820">
        <v>36901</v>
      </c>
      <c r="B233" s="810" t="s">
        <v>1009</v>
      </c>
      <c r="C233" s="821">
        <v>2.377E-4</v>
      </c>
      <c r="D233" s="821">
        <v>2.232E-4</v>
      </c>
      <c r="E233" s="819">
        <v>2366562</v>
      </c>
      <c r="F233" s="819">
        <f>VLOOKUP(A233,'TSERS Contributions FY 2018'!A:C,3)</f>
        <v>364551</v>
      </c>
      <c r="G233" s="822"/>
      <c r="H233" s="819">
        <v>172713</v>
      </c>
      <c r="I233" s="819">
        <v>225534</v>
      </c>
      <c r="J233" s="819">
        <v>474908</v>
      </c>
      <c r="K233" s="819">
        <v>98999</v>
      </c>
      <c r="L233" s="822"/>
      <c r="M233" s="819">
        <v>23750</v>
      </c>
      <c r="N233" s="826"/>
      <c r="O233" s="819">
        <v>0</v>
      </c>
      <c r="P233" s="819">
        <v>0</v>
      </c>
      <c r="Q233" s="822"/>
      <c r="R233" s="819">
        <v>542040</v>
      </c>
      <c r="S233" s="819">
        <v>53900</v>
      </c>
      <c r="T233" s="819">
        <v>595940</v>
      </c>
      <c r="U233" s="819">
        <f t="shared" si="4"/>
        <v>4513435</v>
      </c>
      <c r="V233" s="819">
        <v>565123</v>
      </c>
    </row>
    <row r="234" spans="1:22" x14ac:dyDescent="0.25">
      <c r="A234" s="820">
        <v>36905</v>
      </c>
      <c r="B234" s="810" t="s">
        <v>1010</v>
      </c>
      <c r="C234" s="821">
        <v>2.2570000000000001E-4</v>
      </c>
      <c r="D234" s="821">
        <v>2.2240000000000001E-4</v>
      </c>
      <c r="E234" s="819">
        <v>2247089</v>
      </c>
      <c r="F234" s="819">
        <f>VLOOKUP(A234,'TSERS Contributions FY 2018'!A:C,3)</f>
        <v>401382</v>
      </c>
      <c r="G234" s="822"/>
      <c r="H234" s="819">
        <v>163994</v>
      </c>
      <c r="I234" s="819">
        <v>214148</v>
      </c>
      <c r="J234" s="819">
        <v>450933</v>
      </c>
      <c r="K234" s="819">
        <v>125002</v>
      </c>
      <c r="L234" s="822"/>
      <c r="M234" s="819">
        <v>22551</v>
      </c>
      <c r="N234" s="826"/>
      <c r="O234" s="819">
        <v>0</v>
      </c>
      <c r="P234" s="819">
        <v>132</v>
      </c>
      <c r="Q234" s="822"/>
      <c r="R234" s="819">
        <v>514675</v>
      </c>
      <c r="S234" s="819">
        <v>67499</v>
      </c>
      <c r="T234" s="819">
        <v>582174</v>
      </c>
      <c r="U234" s="819">
        <f t="shared" si="4"/>
        <v>4285580</v>
      </c>
      <c r="V234" s="819">
        <v>536594</v>
      </c>
    </row>
    <row r="235" spans="1:22" x14ac:dyDescent="0.25">
      <c r="A235" s="820">
        <v>37000</v>
      </c>
      <c r="B235" s="810" t="s">
        <v>1011</v>
      </c>
      <c r="C235" s="821">
        <v>2.1862000000000001E-3</v>
      </c>
      <c r="D235" s="821">
        <v>2.1825E-3</v>
      </c>
      <c r="E235" s="819">
        <v>21766002</v>
      </c>
      <c r="F235" s="819">
        <f>VLOOKUP(A235,'TSERS Contributions FY 2018'!A:C,3)</f>
        <v>3342654</v>
      </c>
      <c r="G235" s="822"/>
      <c r="H235" s="819">
        <v>1588497</v>
      </c>
      <c r="I235" s="819">
        <v>2074304</v>
      </c>
      <c r="J235" s="819">
        <v>4367877</v>
      </c>
      <c r="K235" s="819">
        <v>187844</v>
      </c>
      <c r="L235" s="822"/>
      <c r="M235" s="819">
        <v>218436</v>
      </c>
      <c r="N235" s="826"/>
      <c r="O235" s="819">
        <v>0</v>
      </c>
      <c r="P235" s="819">
        <v>397677</v>
      </c>
      <c r="Q235" s="822"/>
      <c r="R235" s="819">
        <v>4985306</v>
      </c>
      <c r="S235" s="819">
        <v>-101874</v>
      </c>
      <c r="T235" s="819">
        <v>4883432</v>
      </c>
      <c r="U235" s="819">
        <f t="shared" si="4"/>
        <v>41511454</v>
      </c>
      <c r="V235" s="819">
        <v>5197612</v>
      </c>
    </row>
    <row r="236" spans="1:22" x14ac:dyDescent="0.25">
      <c r="A236" s="820">
        <v>37001</v>
      </c>
      <c r="B236" s="810" t="s">
        <v>1168</v>
      </c>
      <c r="C236" s="821">
        <v>1.119E-4</v>
      </c>
      <c r="D236" s="821">
        <v>8.7800000000000006E-5</v>
      </c>
      <c r="E236" s="819">
        <v>1114086</v>
      </c>
      <c r="F236" s="819">
        <f>VLOOKUP(A236,'TSERS Contributions FY 2018'!A:C,3)</f>
        <v>153999</v>
      </c>
      <c r="G236" s="822"/>
      <c r="H236" s="819">
        <v>81307</v>
      </c>
      <c r="I236" s="819">
        <v>106173</v>
      </c>
      <c r="J236" s="819">
        <v>223568</v>
      </c>
      <c r="K236" s="819">
        <v>245441</v>
      </c>
      <c r="L236" s="822"/>
      <c r="M236" s="819">
        <v>11181</v>
      </c>
      <c r="N236" s="826"/>
      <c r="O236" s="819">
        <v>0</v>
      </c>
      <c r="P236" s="819">
        <v>0</v>
      </c>
      <c r="Q236" s="822"/>
      <c r="R236" s="819">
        <v>255171</v>
      </c>
      <c r="S236" s="819">
        <v>119408</v>
      </c>
      <c r="T236" s="819">
        <v>374579</v>
      </c>
      <c r="U236" s="819">
        <f t="shared" si="4"/>
        <v>2124751</v>
      </c>
      <c r="V236" s="819">
        <v>266038</v>
      </c>
    </row>
    <row r="237" spans="1:22" x14ac:dyDescent="0.25">
      <c r="A237" s="820">
        <v>37005</v>
      </c>
      <c r="B237" s="810" t="s">
        <v>1012</v>
      </c>
      <c r="C237" s="821">
        <v>5.2159999999999999E-4</v>
      </c>
      <c r="D237" s="821">
        <v>5.287E-4</v>
      </c>
      <c r="E237" s="819">
        <v>5193096</v>
      </c>
      <c r="F237" s="819">
        <f>VLOOKUP(A237,'TSERS Contributions FY 2018'!A:C,3)</f>
        <v>934534</v>
      </c>
      <c r="G237" s="822"/>
      <c r="H237" s="819">
        <v>378996</v>
      </c>
      <c r="I237" s="819">
        <v>494903</v>
      </c>
      <c r="J237" s="819">
        <v>1042121</v>
      </c>
      <c r="K237" s="819">
        <v>82805</v>
      </c>
      <c r="L237" s="822"/>
      <c r="M237" s="819">
        <v>52116</v>
      </c>
      <c r="N237" s="826"/>
      <c r="O237" s="819">
        <v>0</v>
      </c>
      <c r="P237" s="819">
        <v>0</v>
      </c>
      <c r="Q237" s="822"/>
      <c r="R237" s="819">
        <v>1189432</v>
      </c>
      <c r="S237" s="819">
        <v>48946</v>
      </c>
      <c r="T237" s="819">
        <v>1238378</v>
      </c>
      <c r="U237" s="819">
        <f t="shared" si="4"/>
        <v>9904114</v>
      </c>
      <c r="V237" s="819">
        <v>1240085</v>
      </c>
    </row>
    <row r="238" spans="1:22" x14ac:dyDescent="0.25">
      <c r="A238" s="820">
        <v>37100</v>
      </c>
      <c r="B238" s="810" t="s">
        <v>1013</v>
      </c>
      <c r="C238" s="821">
        <v>3.2702E-3</v>
      </c>
      <c r="D238" s="821">
        <v>3.2637999999999999E-3</v>
      </c>
      <c r="E238" s="819">
        <v>32558402</v>
      </c>
      <c r="F238" s="819">
        <f>VLOOKUP(A238,'TSERS Contributions FY 2018'!A:C,3)</f>
        <v>4857306</v>
      </c>
      <c r="G238" s="822"/>
      <c r="H238" s="819">
        <v>2376134</v>
      </c>
      <c r="I238" s="819">
        <v>3102821</v>
      </c>
      <c r="J238" s="819">
        <v>6533634</v>
      </c>
      <c r="K238" s="819">
        <v>206704</v>
      </c>
      <c r="L238" s="822"/>
      <c r="M238" s="819">
        <v>326745</v>
      </c>
      <c r="N238" s="826"/>
      <c r="O238" s="819">
        <v>0</v>
      </c>
      <c r="P238" s="819">
        <v>235261</v>
      </c>
      <c r="Q238" s="822"/>
      <c r="R238" s="819">
        <v>7457207</v>
      </c>
      <c r="S238" s="819">
        <v>-22862</v>
      </c>
      <c r="T238" s="819">
        <v>7434345</v>
      </c>
      <c r="U238" s="819">
        <f t="shared" si="4"/>
        <v>62094391</v>
      </c>
      <c r="V238" s="819">
        <v>7774783</v>
      </c>
    </row>
    <row r="239" spans="1:22" x14ac:dyDescent="0.25">
      <c r="A239" s="820">
        <v>37200</v>
      </c>
      <c r="B239" s="810" t="s">
        <v>1014</v>
      </c>
      <c r="C239" s="821">
        <v>6.8619999999999998E-4</v>
      </c>
      <c r="D239" s="821">
        <v>7.2869999999999999E-4</v>
      </c>
      <c r="E239" s="819">
        <v>6831868</v>
      </c>
      <c r="F239" s="819">
        <f>VLOOKUP(A239,'TSERS Contributions FY 2018'!A:C,3)</f>
        <v>1088150</v>
      </c>
      <c r="G239" s="822"/>
      <c r="H239" s="819">
        <v>498594</v>
      </c>
      <c r="I239" s="819">
        <v>651078</v>
      </c>
      <c r="J239" s="819">
        <v>1370980</v>
      </c>
      <c r="K239" s="819">
        <v>33847</v>
      </c>
      <c r="L239" s="822"/>
      <c r="M239" s="819">
        <v>68562</v>
      </c>
      <c r="N239" s="826"/>
      <c r="O239" s="819">
        <v>0</v>
      </c>
      <c r="P239" s="819">
        <v>221776</v>
      </c>
      <c r="Q239" s="822"/>
      <c r="R239" s="819">
        <v>1564778</v>
      </c>
      <c r="S239" s="819">
        <v>-71080</v>
      </c>
      <c r="T239" s="819">
        <v>1493698</v>
      </c>
      <c r="U239" s="819">
        <f t="shared" si="4"/>
        <v>13029531</v>
      </c>
      <c r="V239" s="819">
        <v>1631416</v>
      </c>
    </row>
    <row r="240" spans="1:22" x14ac:dyDescent="0.25">
      <c r="A240" s="820">
        <v>37300</v>
      </c>
      <c r="B240" s="810" t="s">
        <v>1015</v>
      </c>
      <c r="C240" s="821">
        <v>1.9419999999999999E-3</v>
      </c>
      <c r="D240" s="821">
        <v>1.9358999999999999E-3</v>
      </c>
      <c r="E240" s="819">
        <v>19334725</v>
      </c>
      <c r="F240" s="819">
        <f>VLOOKUP(A240,'TSERS Contributions FY 2018'!A:C,3)</f>
        <v>2883716</v>
      </c>
      <c r="G240" s="822"/>
      <c r="H240" s="819">
        <v>1411061</v>
      </c>
      <c r="I240" s="819">
        <v>1842603</v>
      </c>
      <c r="J240" s="819">
        <v>3879982</v>
      </c>
      <c r="K240" s="819">
        <v>62415</v>
      </c>
      <c r="L240" s="822"/>
      <c r="M240" s="819">
        <v>194037</v>
      </c>
      <c r="N240" s="826"/>
      <c r="O240" s="819">
        <v>0</v>
      </c>
      <c r="P240" s="819">
        <v>159671</v>
      </c>
      <c r="Q240" s="822"/>
      <c r="R240" s="819">
        <v>4428444</v>
      </c>
      <c r="S240" s="819">
        <v>-156014</v>
      </c>
      <c r="T240" s="819">
        <v>4272430</v>
      </c>
      <c r="U240" s="819">
        <f t="shared" si="4"/>
        <v>36874597</v>
      </c>
      <c r="V240" s="819">
        <v>4617035</v>
      </c>
    </row>
    <row r="241" spans="1:22" x14ac:dyDescent="0.25">
      <c r="A241" s="820">
        <v>37301</v>
      </c>
      <c r="B241" s="810" t="s">
        <v>1016</v>
      </c>
      <c r="C241" s="821">
        <v>2.1240000000000001E-4</v>
      </c>
      <c r="D241" s="821">
        <v>2.153E-4</v>
      </c>
      <c r="E241" s="819">
        <v>2114673</v>
      </c>
      <c r="F241" s="819">
        <f>VLOOKUP(A241,'TSERS Contributions FY 2018'!A:C,3)</f>
        <v>324534</v>
      </c>
      <c r="G241" s="822"/>
      <c r="H241" s="819">
        <v>154330</v>
      </c>
      <c r="I241" s="819">
        <v>201529</v>
      </c>
      <c r="J241" s="819">
        <v>424361</v>
      </c>
      <c r="K241" s="819">
        <v>47895</v>
      </c>
      <c r="L241" s="822"/>
      <c r="M241" s="819">
        <v>21222</v>
      </c>
      <c r="N241" s="826"/>
      <c r="O241" s="819">
        <v>0</v>
      </c>
      <c r="P241" s="819">
        <v>23201</v>
      </c>
      <c r="Q241" s="822"/>
      <c r="R241" s="819">
        <v>484347</v>
      </c>
      <c r="S241" s="819">
        <v>40267</v>
      </c>
      <c r="T241" s="819">
        <v>524614</v>
      </c>
      <c r="U241" s="819">
        <f t="shared" si="4"/>
        <v>4033040</v>
      </c>
      <c r="V241" s="819">
        <v>504973</v>
      </c>
    </row>
    <row r="242" spans="1:22" x14ac:dyDescent="0.25">
      <c r="A242" s="820">
        <v>37305</v>
      </c>
      <c r="B242" s="810" t="s">
        <v>1017</v>
      </c>
      <c r="C242" s="821">
        <v>4.75E-4</v>
      </c>
      <c r="D242" s="821">
        <v>5.2039999999999996E-4</v>
      </c>
      <c r="E242" s="819">
        <v>4729142</v>
      </c>
      <c r="F242" s="819">
        <f>VLOOKUP(A242,'TSERS Contributions FY 2018'!A:C,3)</f>
        <v>908233</v>
      </c>
      <c r="G242" s="822"/>
      <c r="H242" s="819">
        <v>345136</v>
      </c>
      <c r="I242" s="819">
        <v>450688</v>
      </c>
      <c r="J242" s="819">
        <v>949017</v>
      </c>
      <c r="K242" s="819">
        <v>0</v>
      </c>
      <c r="L242" s="822"/>
      <c r="M242" s="819">
        <v>47460</v>
      </c>
      <c r="N242" s="826"/>
      <c r="O242" s="819">
        <v>0</v>
      </c>
      <c r="P242" s="819">
        <v>218593</v>
      </c>
      <c r="Q242" s="822"/>
      <c r="R242" s="819">
        <v>1083167</v>
      </c>
      <c r="S242" s="819">
        <v>-186739</v>
      </c>
      <c r="T242" s="819">
        <v>896428</v>
      </c>
      <c r="U242" s="819">
        <f t="shared" si="4"/>
        <v>9019276</v>
      </c>
      <c r="V242" s="819">
        <v>1129295</v>
      </c>
    </row>
    <row r="243" spans="1:22" x14ac:dyDescent="0.25">
      <c r="A243" s="820">
        <v>37400</v>
      </c>
      <c r="B243" s="810" t="s">
        <v>1018</v>
      </c>
      <c r="C243" s="821">
        <v>9.0224999999999993E-3</v>
      </c>
      <c r="D243" s="821">
        <v>8.9949000000000001E-3</v>
      </c>
      <c r="E243" s="819">
        <v>89828813</v>
      </c>
      <c r="F243" s="819">
        <f>VLOOKUP(A243,'TSERS Contributions FY 2018'!A:C,3)</f>
        <v>13243741</v>
      </c>
      <c r="G243" s="822"/>
      <c r="H243" s="819">
        <v>6555767</v>
      </c>
      <c r="I243" s="819">
        <v>8560701</v>
      </c>
      <c r="J243" s="819">
        <v>18026332</v>
      </c>
      <c r="K243" s="819">
        <v>23914</v>
      </c>
      <c r="L243" s="822"/>
      <c r="M243" s="819">
        <v>901492</v>
      </c>
      <c r="N243" s="826"/>
      <c r="O243" s="819">
        <v>0</v>
      </c>
      <c r="P243" s="819">
        <v>2025455</v>
      </c>
      <c r="Q243" s="822"/>
      <c r="R243" s="819">
        <v>20574476</v>
      </c>
      <c r="S243" s="819">
        <v>-1063574</v>
      </c>
      <c r="T243" s="819">
        <v>19510902</v>
      </c>
      <c r="U243" s="819">
        <f t="shared" si="4"/>
        <v>171318770</v>
      </c>
      <c r="V243" s="819">
        <v>21450669</v>
      </c>
    </row>
    <row r="244" spans="1:22" x14ac:dyDescent="0.25">
      <c r="A244" s="820">
        <v>37405</v>
      </c>
      <c r="B244" s="810" t="s">
        <v>1019</v>
      </c>
      <c r="C244" s="821">
        <v>2.0397000000000002E-3</v>
      </c>
      <c r="D244" s="821">
        <v>2.1207999999999999E-3</v>
      </c>
      <c r="E244" s="819">
        <v>20307435</v>
      </c>
      <c r="F244" s="819">
        <f>VLOOKUP(A244,'TSERS Contributions FY 2018'!A:C,3)</f>
        <v>3157134</v>
      </c>
      <c r="G244" s="822"/>
      <c r="H244" s="819">
        <v>1482050</v>
      </c>
      <c r="I244" s="819">
        <v>1935302</v>
      </c>
      <c r="J244" s="819">
        <v>4075180</v>
      </c>
      <c r="K244" s="819">
        <v>202137</v>
      </c>
      <c r="L244" s="822"/>
      <c r="M244" s="819">
        <v>203799</v>
      </c>
      <c r="N244" s="826"/>
      <c r="O244" s="819">
        <v>0</v>
      </c>
      <c r="P244" s="819">
        <v>414527</v>
      </c>
      <c r="Q244" s="822"/>
      <c r="R244" s="819">
        <v>4651234</v>
      </c>
      <c r="S244" s="819">
        <v>95176</v>
      </c>
      <c r="T244" s="819">
        <v>4746410</v>
      </c>
      <c r="U244" s="819">
        <f t="shared" si="4"/>
        <v>38729720</v>
      </c>
      <c r="V244" s="819">
        <v>4849313</v>
      </c>
    </row>
    <row r="245" spans="1:22" x14ac:dyDescent="0.25">
      <c r="A245" s="820">
        <v>37500</v>
      </c>
      <c r="B245" s="810" t="s">
        <v>1020</v>
      </c>
      <c r="C245" s="821">
        <v>9.9740000000000007E-4</v>
      </c>
      <c r="D245" s="821">
        <v>1.0158000000000001E-3</v>
      </c>
      <c r="E245" s="819">
        <v>9930203</v>
      </c>
      <c r="F245" s="819">
        <f>VLOOKUP(A245,'TSERS Contributions FY 2018'!A:C,3)</f>
        <v>1639678</v>
      </c>
      <c r="G245" s="822"/>
      <c r="H245" s="819">
        <v>724713</v>
      </c>
      <c r="I245" s="819">
        <v>946350</v>
      </c>
      <c r="J245" s="819">
        <v>1992736</v>
      </c>
      <c r="K245" s="819">
        <v>41140</v>
      </c>
      <c r="L245" s="822"/>
      <c r="M245" s="819">
        <v>99656</v>
      </c>
      <c r="N245" s="826"/>
      <c r="O245" s="819">
        <v>0</v>
      </c>
      <c r="P245" s="819">
        <v>86209</v>
      </c>
      <c r="Q245" s="822"/>
      <c r="R245" s="819">
        <v>2274423</v>
      </c>
      <c r="S245" s="819">
        <v>51832</v>
      </c>
      <c r="T245" s="819">
        <v>2326255</v>
      </c>
      <c r="U245" s="819">
        <f t="shared" si="4"/>
        <v>18938580</v>
      </c>
      <c r="V245" s="819">
        <v>2371283</v>
      </c>
    </row>
    <row r="246" spans="1:22" x14ac:dyDescent="0.25">
      <c r="A246" s="820">
        <v>37600</v>
      </c>
      <c r="B246" s="810" t="s">
        <v>1021</v>
      </c>
      <c r="C246" s="821">
        <v>6.1789999999999996E-3</v>
      </c>
      <c r="D246" s="821">
        <v>6.3562999999999996E-3</v>
      </c>
      <c r="E246" s="819">
        <v>61518674</v>
      </c>
      <c r="F246" s="819">
        <f>VLOOKUP(A246,'TSERS Contributions FY 2018'!A:C,3)</f>
        <v>9369335</v>
      </c>
      <c r="G246" s="822"/>
      <c r="H246" s="819">
        <v>4489674</v>
      </c>
      <c r="I246" s="819">
        <v>5862740</v>
      </c>
      <c r="J246" s="819">
        <v>12345216</v>
      </c>
      <c r="K246" s="819">
        <v>0</v>
      </c>
      <c r="L246" s="822"/>
      <c r="M246" s="819">
        <v>617381</v>
      </c>
      <c r="N246" s="826"/>
      <c r="O246" s="819">
        <v>0</v>
      </c>
      <c r="P246" s="819">
        <v>1930498</v>
      </c>
      <c r="Q246" s="822"/>
      <c r="R246" s="819">
        <v>14090295</v>
      </c>
      <c r="S246" s="819">
        <v>-1026375</v>
      </c>
      <c r="T246" s="819">
        <v>13063920</v>
      </c>
      <c r="U246" s="819">
        <f t="shared" si="4"/>
        <v>117326537</v>
      </c>
      <c r="V246" s="819">
        <v>14690350</v>
      </c>
    </row>
    <row r="247" spans="1:22" x14ac:dyDescent="0.25">
      <c r="A247" s="820">
        <v>37601</v>
      </c>
      <c r="B247" s="810" t="s">
        <v>1022</v>
      </c>
      <c r="C247" s="821">
        <v>3.0689999999999998E-4</v>
      </c>
      <c r="D247" s="821">
        <v>2.5470000000000001E-4</v>
      </c>
      <c r="E247" s="819">
        <v>3055524</v>
      </c>
      <c r="F247" s="819">
        <f>VLOOKUP(A247,'TSERS Contributions FY 2018'!A:C,3)</f>
        <v>381844</v>
      </c>
      <c r="G247" s="822"/>
      <c r="H247" s="819">
        <v>222994</v>
      </c>
      <c r="I247" s="819">
        <v>291192</v>
      </c>
      <c r="J247" s="819">
        <v>613165</v>
      </c>
      <c r="K247" s="819">
        <v>428642</v>
      </c>
      <c r="L247" s="822"/>
      <c r="M247" s="819">
        <v>30664</v>
      </c>
      <c r="N247" s="826"/>
      <c r="O247" s="819">
        <v>0</v>
      </c>
      <c r="P247" s="819">
        <v>0</v>
      </c>
      <c r="Q247" s="822"/>
      <c r="R247" s="819">
        <v>699840</v>
      </c>
      <c r="S247" s="819">
        <v>290114</v>
      </c>
      <c r="T247" s="819">
        <v>989954</v>
      </c>
      <c r="U247" s="819">
        <f t="shared" si="4"/>
        <v>5827402</v>
      </c>
      <c r="V247" s="819">
        <v>729644</v>
      </c>
    </row>
    <row r="248" spans="1:22" x14ac:dyDescent="0.25">
      <c r="A248" s="820">
        <v>37605</v>
      </c>
      <c r="B248" s="810" t="s">
        <v>1023</v>
      </c>
      <c r="C248" s="821">
        <v>7.7570000000000004E-4</v>
      </c>
      <c r="D248" s="821">
        <v>7.8950000000000005E-4</v>
      </c>
      <c r="E248" s="819">
        <v>7722938</v>
      </c>
      <c r="F248" s="819">
        <f>VLOOKUP(A248,'TSERS Contributions FY 2018'!A:C,3)</f>
        <v>1186896</v>
      </c>
      <c r="G248" s="822"/>
      <c r="H248" s="819">
        <v>563625</v>
      </c>
      <c r="I248" s="819">
        <v>735997</v>
      </c>
      <c r="J248" s="819">
        <v>1549795</v>
      </c>
      <c r="K248" s="819">
        <v>58279</v>
      </c>
      <c r="L248" s="822"/>
      <c r="M248" s="819">
        <v>77505</v>
      </c>
      <c r="N248" s="826"/>
      <c r="O248" s="819">
        <v>0</v>
      </c>
      <c r="P248" s="819">
        <v>99261</v>
      </c>
      <c r="Q248" s="822"/>
      <c r="R248" s="819">
        <v>1768869</v>
      </c>
      <c r="S248" s="819">
        <v>-4473</v>
      </c>
      <c r="T248" s="819">
        <v>1764396</v>
      </c>
      <c r="U248" s="819">
        <f t="shared" si="4"/>
        <v>14728952</v>
      </c>
      <c r="V248" s="819">
        <v>1844199</v>
      </c>
    </row>
    <row r="249" spans="1:22" x14ac:dyDescent="0.25">
      <c r="A249" s="820">
        <v>37610</v>
      </c>
      <c r="B249" s="810" t="s">
        <v>1024</v>
      </c>
      <c r="C249" s="821">
        <v>1.9051000000000001E-3</v>
      </c>
      <c r="D249" s="821">
        <v>1.9607000000000001E-3</v>
      </c>
      <c r="E249" s="819">
        <v>18967345</v>
      </c>
      <c r="F249" s="819">
        <f>VLOOKUP(A249,'TSERS Contributions FY 2018'!A:C,3)</f>
        <v>2782605</v>
      </c>
      <c r="G249" s="822"/>
      <c r="H249" s="819">
        <v>1384249</v>
      </c>
      <c r="I249" s="819">
        <v>1807591</v>
      </c>
      <c r="J249" s="819">
        <v>3806258</v>
      </c>
      <c r="K249" s="819">
        <v>0</v>
      </c>
      <c r="L249" s="822"/>
      <c r="M249" s="819">
        <v>190350</v>
      </c>
      <c r="N249" s="826"/>
      <c r="O249" s="819">
        <v>0</v>
      </c>
      <c r="P249" s="819">
        <v>847186</v>
      </c>
      <c r="Q249" s="822"/>
      <c r="R249" s="819">
        <v>4344299</v>
      </c>
      <c r="S249" s="819">
        <v>-454629</v>
      </c>
      <c r="T249" s="819">
        <v>3889670</v>
      </c>
      <c r="U249" s="819">
        <f t="shared" si="4"/>
        <v>36173942</v>
      </c>
      <c r="V249" s="819">
        <v>4529307</v>
      </c>
    </row>
    <row r="250" spans="1:22" x14ac:dyDescent="0.25">
      <c r="A250" s="820">
        <v>37700</v>
      </c>
      <c r="B250" s="810" t="s">
        <v>1025</v>
      </c>
      <c r="C250" s="821">
        <v>2.6251E-3</v>
      </c>
      <c r="D250" s="821">
        <v>2.6852E-3</v>
      </c>
      <c r="E250" s="819">
        <v>26135729</v>
      </c>
      <c r="F250" s="819">
        <f>VLOOKUP(A250,'TSERS Contributions FY 2018'!A:C,3)</f>
        <v>4095080</v>
      </c>
      <c r="G250" s="822"/>
      <c r="H250" s="819">
        <v>1907403</v>
      </c>
      <c r="I250" s="819">
        <v>2490740</v>
      </c>
      <c r="J250" s="819">
        <v>5244769</v>
      </c>
      <c r="K250" s="819">
        <v>23568</v>
      </c>
      <c r="L250" s="822"/>
      <c r="M250" s="819">
        <v>262289</v>
      </c>
      <c r="N250" s="826"/>
      <c r="O250" s="819">
        <v>0</v>
      </c>
      <c r="P250" s="819">
        <v>519100</v>
      </c>
      <c r="Q250" s="822"/>
      <c r="R250" s="819">
        <v>5986152</v>
      </c>
      <c r="S250" s="819">
        <v>-260076</v>
      </c>
      <c r="T250" s="819">
        <v>5726076</v>
      </c>
      <c r="U250" s="819">
        <f t="shared" si="4"/>
        <v>49845265</v>
      </c>
      <c r="V250" s="819">
        <v>6241081</v>
      </c>
    </row>
    <row r="251" spans="1:22" x14ac:dyDescent="0.25">
      <c r="A251" s="820">
        <v>37705</v>
      </c>
      <c r="B251" s="810" t="s">
        <v>1026</v>
      </c>
      <c r="C251" s="821">
        <v>8.3020000000000001E-4</v>
      </c>
      <c r="D251" s="821">
        <v>8.0670000000000004E-4</v>
      </c>
      <c r="E251" s="819">
        <v>8265545</v>
      </c>
      <c r="F251" s="819">
        <f>VLOOKUP(A251,'TSERS Contributions FY 2018'!A:C,3)</f>
        <v>1302107</v>
      </c>
      <c r="G251" s="822"/>
      <c r="H251" s="819">
        <v>603225</v>
      </c>
      <c r="I251" s="819">
        <v>787708</v>
      </c>
      <c r="J251" s="819">
        <v>1658682</v>
      </c>
      <c r="K251" s="819">
        <v>107634</v>
      </c>
      <c r="L251" s="822"/>
      <c r="M251" s="819">
        <v>82950</v>
      </c>
      <c r="N251" s="826"/>
      <c r="O251" s="819">
        <v>0</v>
      </c>
      <c r="P251" s="819">
        <v>621</v>
      </c>
      <c r="Q251" s="822"/>
      <c r="R251" s="819">
        <v>1893148</v>
      </c>
      <c r="S251" s="819">
        <v>121246</v>
      </c>
      <c r="T251" s="819">
        <v>2014394</v>
      </c>
      <c r="U251" s="819">
        <f t="shared" si="4"/>
        <v>15763795</v>
      </c>
      <c r="V251" s="819">
        <v>1973771</v>
      </c>
    </row>
    <row r="252" spans="1:22" x14ac:dyDescent="0.25">
      <c r="A252" s="820">
        <v>37800</v>
      </c>
      <c r="B252" s="810" t="s">
        <v>1027</v>
      </c>
      <c r="C252" s="821">
        <v>8.3592000000000007E-3</v>
      </c>
      <c r="D252" s="821">
        <v>8.3280000000000003E-3</v>
      </c>
      <c r="E252" s="819">
        <v>83224939</v>
      </c>
      <c r="F252" s="819">
        <f>VLOOKUP(A252,'TSERS Contributions FY 2018'!A:C,3)</f>
        <v>13207892</v>
      </c>
      <c r="G252" s="822"/>
      <c r="H252" s="819">
        <v>6073811</v>
      </c>
      <c r="I252" s="819">
        <v>7931351</v>
      </c>
      <c r="J252" s="819">
        <v>16701105</v>
      </c>
      <c r="K252" s="819">
        <v>55846</v>
      </c>
      <c r="L252" s="822"/>
      <c r="M252" s="819">
        <v>835218</v>
      </c>
      <c r="N252" s="826"/>
      <c r="O252" s="819">
        <v>0</v>
      </c>
      <c r="P252" s="819">
        <v>137647</v>
      </c>
      <c r="Q252" s="822"/>
      <c r="R252" s="819">
        <v>19061918</v>
      </c>
      <c r="S252" s="819">
        <v>14141</v>
      </c>
      <c r="T252" s="819">
        <v>19076059</v>
      </c>
      <c r="U252" s="819">
        <f t="shared" si="4"/>
        <v>158724063</v>
      </c>
      <c r="V252" s="819">
        <v>19873697</v>
      </c>
    </row>
    <row r="253" spans="1:22" x14ac:dyDescent="0.25">
      <c r="A253" s="820">
        <v>37801</v>
      </c>
      <c r="B253" s="810" t="s">
        <v>1028</v>
      </c>
      <c r="C253" s="821">
        <v>6.5400000000000004E-5</v>
      </c>
      <c r="D253" s="821">
        <v>6.2799999999999995E-5</v>
      </c>
      <c r="E253" s="819">
        <v>651128</v>
      </c>
      <c r="F253" s="819">
        <f>VLOOKUP(A253,'TSERS Contributions FY 2018'!A:C,3)</f>
        <v>81923</v>
      </c>
      <c r="G253" s="822"/>
      <c r="H253" s="819">
        <v>47520</v>
      </c>
      <c r="I253" s="819">
        <v>62053</v>
      </c>
      <c r="J253" s="819">
        <v>130665</v>
      </c>
      <c r="K253" s="819">
        <v>29128</v>
      </c>
      <c r="L253" s="822"/>
      <c r="M253" s="819">
        <v>6535</v>
      </c>
      <c r="N253" s="826"/>
      <c r="O253" s="819">
        <v>0</v>
      </c>
      <c r="P253" s="819">
        <v>11183</v>
      </c>
      <c r="Q253" s="822"/>
      <c r="R253" s="819">
        <v>149135</v>
      </c>
      <c r="S253" s="819">
        <v>59095</v>
      </c>
      <c r="T253" s="819">
        <v>208230</v>
      </c>
      <c r="U253" s="819">
        <f t="shared" si="4"/>
        <v>1241812</v>
      </c>
      <c r="V253" s="819">
        <v>155486</v>
      </c>
    </row>
    <row r="254" spans="1:22" x14ac:dyDescent="0.25">
      <c r="A254" s="820">
        <v>37805</v>
      </c>
      <c r="B254" s="810" t="s">
        <v>1029</v>
      </c>
      <c r="C254" s="821">
        <v>6.0420000000000005E-4</v>
      </c>
      <c r="D254" s="821">
        <v>6.332E-4</v>
      </c>
      <c r="E254" s="819">
        <v>6015469</v>
      </c>
      <c r="F254" s="819">
        <f>VLOOKUP(A254,'TSERS Contributions FY 2018'!A:C,3)</f>
        <v>1024197</v>
      </c>
      <c r="G254" s="822"/>
      <c r="H254" s="819">
        <v>439013</v>
      </c>
      <c r="I254" s="819">
        <v>573275</v>
      </c>
      <c r="J254" s="819">
        <v>1207150</v>
      </c>
      <c r="K254" s="819">
        <v>0</v>
      </c>
      <c r="L254" s="822"/>
      <c r="M254" s="819">
        <v>60369</v>
      </c>
      <c r="N254" s="826"/>
      <c r="O254" s="819">
        <v>0</v>
      </c>
      <c r="P254" s="819">
        <v>292359</v>
      </c>
      <c r="Q254" s="822"/>
      <c r="R254" s="819">
        <v>1377789</v>
      </c>
      <c r="S254" s="819">
        <v>-170514</v>
      </c>
      <c r="T254" s="819">
        <v>1207275</v>
      </c>
      <c r="U254" s="819">
        <f t="shared" si="4"/>
        <v>11472519</v>
      </c>
      <c r="V254" s="819">
        <v>1436464</v>
      </c>
    </row>
    <row r="255" spans="1:22" x14ac:dyDescent="0.25">
      <c r="A255" s="820">
        <v>37900</v>
      </c>
      <c r="B255" s="810" t="s">
        <v>1030</v>
      </c>
      <c r="C255" s="821">
        <v>4.2322999999999996E-3</v>
      </c>
      <c r="D255" s="821">
        <v>4.3984999999999996E-3</v>
      </c>
      <c r="E255" s="819">
        <v>42137155</v>
      </c>
      <c r="F255" s="819">
        <f>VLOOKUP(A255,'TSERS Contributions FY 2018'!A:C,3)</f>
        <v>6700348</v>
      </c>
      <c r="G255" s="822"/>
      <c r="H255" s="819">
        <v>3075198</v>
      </c>
      <c r="I255" s="819">
        <v>4015678</v>
      </c>
      <c r="J255" s="819">
        <v>8455843</v>
      </c>
      <c r="K255" s="819">
        <v>0</v>
      </c>
      <c r="L255" s="822"/>
      <c r="M255" s="819">
        <v>422874</v>
      </c>
      <c r="N255" s="826"/>
      <c r="O255" s="819">
        <v>0</v>
      </c>
      <c r="P255" s="819">
        <v>1593582</v>
      </c>
      <c r="Q255" s="822"/>
      <c r="R255" s="819">
        <v>9651134</v>
      </c>
      <c r="S255" s="819">
        <v>-829242</v>
      </c>
      <c r="T255" s="819">
        <v>8821892</v>
      </c>
      <c r="U255" s="819">
        <f t="shared" si="4"/>
        <v>80362697</v>
      </c>
      <c r="V255" s="819">
        <v>10062141</v>
      </c>
    </row>
    <row r="256" spans="1:22" x14ac:dyDescent="0.25">
      <c r="A256" s="820">
        <v>37901</v>
      </c>
      <c r="B256" s="810" t="s">
        <v>1031</v>
      </c>
      <c r="C256" s="821">
        <v>8.3100000000000001E-5</v>
      </c>
      <c r="D256" s="821">
        <v>5.91E-5</v>
      </c>
      <c r="E256" s="819">
        <v>827351</v>
      </c>
      <c r="F256" s="819">
        <f>VLOOKUP(A256,'TSERS Contributions FY 2018'!A:C,3)</f>
        <v>124591</v>
      </c>
      <c r="G256" s="822"/>
      <c r="H256" s="819">
        <v>60381</v>
      </c>
      <c r="I256" s="819">
        <v>78847</v>
      </c>
      <c r="J256" s="819">
        <v>166028</v>
      </c>
      <c r="K256" s="819">
        <v>96738</v>
      </c>
      <c r="L256" s="822"/>
      <c r="M256" s="819">
        <v>8303</v>
      </c>
      <c r="N256" s="826"/>
      <c r="O256" s="819">
        <v>0</v>
      </c>
      <c r="P256" s="819">
        <v>11208</v>
      </c>
      <c r="Q256" s="822"/>
      <c r="R256" s="819">
        <v>189497</v>
      </c>
      <c r="S256" s="819">
        <v>25944</v>
      </c>
      <c r="T256" s="819">
        <v>215441</v>
      </c>
      <c r="U256" s="819">
        <f t="shared" si="4"/>
        <v>1577899</v>
      </c>
      <c r="V256" s="819">
        <v>197567</v>
      </c>
    </row>
    <row r="257" spans="1:22" x14ac:dyDescent="0.25">
      <c r="A257" s="820">
        <v>37905</v>
      </c>
      <c r="B257" s="810" t="s">
        <v>1032</v>
      </c>
      <c r="C257" s="821">
        <v>4.7429999999999998E-4</v>
      </c>
      <c r="D257" s="821">
        <v>5.3850000000000002E-4</v>
      </c>
      <c r="E257" s="819">
        <v>4722173</v>
      </c>
      <c r="F257" s="819">
        <f>VLOOKUP(A257,'TSERS Contributions FY 2018'!A:C,3)</f>
        <v>862452</v>
      </c>
      <c r="G257" s="822"/>
      <c r="H257" s="819">
        <v>344627</v>
      </c>
      <c r="I257" s="819">
        <v>450024</v>
      </c>
      <c r="J257" s="819">
        <v>947619</v>
      </c>
      <c r="K257" s="819">
        <v>111226</v>
      </c>
      <c r="L257" s="822"/>
      <c r="M257" s="819">
        <v>47390</v>
      </c>
      <c r="N257" s="826"/>
      <c r="O257" s="819">
        <v>0</v>
      </c>
      <c r="P257" s="819">
        <v>204212</v>
      </c>
      <c r="Q257" s="822"/>
      <c r="R257" s="819">
        <v>1081571</v>
      </c>
      <c r="S257" s="819">
        <v>-22662</v>
      </c>
      <c r="T257" s="819">
        <v>1058909</v>
      </c>
      <c r="U257" s="819">
        <f t="shared" si="4"/>
        <v>9005984</v>
      </c>
      <c r="V257" s="819">
        <v>1127631</v>
      </c>
    </row>
    <row r="258" spans="1:22" x14ac:dyDescent="0.25">
      <c r="A258" s="820">
        <v>38000</v>
      </c>
      <c r="B258" s="810" t="s">
        <v>1033</v>
      </c>
      <c r="C258" s="821">
        <v>7.2515000000000001E-3</v>
      </c>
      <c r="D258" s="821">
        <v>7.2432E-3</v>
      </c>
      <c r="E258" s="819">
        <v>72196579</v>
      </c>
      <c r="F258" s="819">
        <f>VLOOKUP(A258,'TSERS Contributions FY 2018'!A:C,3)</f>
        <v>11123493</v>
      </c>
      <c r="G258" s="822"/>
      <c r="H258" s="819">
        <v>5268954</v>
      </c>
      <c r="I258" s="819">
        <v>6880346</v>
      </c>
      <c r="J258" s="819">
        <v>14487997</v>
      </c>
      <c r="K258" s="819">
        <v>0</v>
      </c>
      <c r="L258" s="822"/>
      <c r="M258" s="819">
        <v>724541</v>
      </c>
      <c r="N258" s="826"/>
      <c r="O258" s="819">
        <v>0</v>
      </c>
      <c r="P258" s="819">
        <v>422967</v>
      </c>
      <c r="Q258" s="822"/>
      <c r="R258" s="819">
        <v>16535973</v>
      </c>
      <c r="S258" s="819">
        <v>-724767</v>
      </c>
      <c r="T258" s="819">
        <v>15811206</v>
      </c>
      <c r="U258" s="819">
        <f t="shared" si="4"/>
        <v>137691112</v>
      </c>
      <c r="V258" s="819">
        <v>17240180</v>
      </c>
    </row>
    <row r="259" spans="1:22" x14ac:dyDescent="0.25">
      <c r="A259" s="820">
        <v>38005</v>
      </c>
      <c r="B259" s="810" t="s">
        <v>1034</v>
      </c>
      <c r="C259" s="821">
        <v>1.3576E-3</v>
      </c>
      <c r="D259" s="821">
        <v>1.3967000000000001E-3</v>
      </c>
      <c r="E259" s="819">
        <v>13516386</v>
      </c>
      <c r="F259" s="819">
        <f>VLOOKUP(A259,'TSERS Contributions FY 2018'!A:C,3)</f>
        <v>2194516</v>
      </c>
      <c r="G259" s="822"/>
      <c r="H259" s="819">
        <v>986435</v>
      </c>
      <c r="I259" s="819">
        <v>1288114</v>
      </c>
      <c r="J259" s="819">
        <v>2712391</v>
      </c>
      <c r="K259" s="819">
        <v>104399</v>
      </c>
      <c r="L259" s="822"/>
      <c r="M259" s="819">
        <v>135646</v>
      </c>
      <c r="N259" s="826"/>
      <c r="O259" s="819">
        <v>0</v>
      </c>
      <c r="P259" s="819">
        <v>395372</v>
      </c>
      <c r="Q259" s="822"/>
      <c r="R259" s="819">
        <v>3095806</v>
      </c>
      <c r="S259" s="819">
        <v>-33613</v>
      </c>
      <c r="T259" s="819">
        <v>3062193</v>
      </c>
      <c r="U259" s="819">
        <f t="shared" si="4"/>
        <v>25778040</v>
      </c>
      <c r="V259" s="819">
        <v>3227645</v>
      </c>
    </row>
    <row r="260" spans="1:22" x14ac:dyDescent="0.25">
      <c r="A260" s="820">
        <v>38100</v>
      </c>
      <c r="B260" s="810" t="s">
        <v>1035</v>
      </c>
      <c r="C260" s="821">
        <v>3.2553E-3</v>
      </c>
      <c r="D260" s="821">
        <v>3.2550999999999999E-3</v>
      </c>
      <c r="E260" s="819">
        <v>32410057</v>
      </c>
      <c r="F260" s="819">
        <f>VLOOKUP(A260,'TSERS Contributions FY 2018'!A:C,3)</f>
        <v>5116811</v>
      </c>
      <c r="G260" s="822"/>
      <c r="H260" s="819">
        <v>2365307</v>
      </c>
      <c r="I260" s="819">
        <v>3088684</v>
      </c>
      <c r="J260" s="819">
        <v>6503865</v>
      </c>
      <c r="K260" s="819">
        <v>0</v>
      </c>
      <c r="L260" s="822"/>
      <c r="M260" s="819">
        <v>325257</v>
      </c>
      <c r="N260" s="826"/>
      <c r="O260" s="819">
        <v>0</v>
      </c>
      <c r="P260" s="819">
        <v>243538</v>
      </c>
      <c r="Q260" s="822"/>
      <c r="R260" s="819">
        <v>7423230</v>
      </c>
      <c r="S260" s="819">
        <v>-310883</v>
      </c>
      <c r="T260" s="819">
        <v>7112347</v>
      </c>
      <c r="U260" s="819">
        <f t="shared" si="4"/>
        <v>61811470</v>
      </c>
      <c r="V260" s="819">
        <v>7739359</v>
      </c>
    </row>
    <row r="261" spans="1:22" x14ac:dyDescent="0.25">
      <c r="A261" s="820">
        <v>38105</v>
      </c>
      <c r="B261" s="810" t="s">
        <v>1036</v>
      </c>
      <c r="C261" s="821">
        <v>6.3889999999999997E-4</v>
      </c>
      <c r="D261" s="821">
        <v>6.6710000000000001E-4</v>
      </c>
      <c r="E261" s="819">
        <v>6360945</v>
      </c>
      <c r="F261" s="819">
        <f>VLOOKUP(A261,'TSERS Contributions FY 2018'!A:C,3)</f>
        <v>1028050</v>
      </c>
      <c r="G261" s="822"/>
      <c r="H261" s="819">
        <v>464226</v>
      </c>
      <c r="I261" s="819">
        <v>606199</v>
      </c>
      <c r="J261" s="819">
        <v>1276478</v>
      </c>
      <c r="K261" s="819">
        <v>0</v>
      </c>
      <c r="L261" s="822"/>
      <c r="M261" s="819">
        <v>63836</v>
      </c>
      <c r="N261" s="826"/>
      <c r="O261" s="819">
        <v>0</v>
      </c>
      <c r="P261" s="819">
        <v>180927</v>
      </c>
      <c r="Q261" s="822"/>
      <c r="R261" s="819">
        <v>1456917</v>
      </c>
      <c r="S261" s="819">
        <v>-93410</v>
      </c>
      <c r="T261" s="819">
        <v>1363507</v>
      </c>
      <c r="U261" s="819">
        <f t="shared" si="4"/>
        <v>12131401</v>
      </c>
      <c r="V261" s="819">
        <v>1518962</v>
      </c>
    </row>
    <row r="262" spans="1:22" x14ac:dyDescent="0.25">
      <c r="A262" s="820">
        <v>38200</v>
      </c>
      <c r="B262" s="810" t="s">
        <v>1037</v>
      </c>
      <c r="C262" s="821">
        <v>3.0682999999999999E-3</v>
      </c>
      <c r="D262" s="821">
        <v>3.1018E-3</v>
      </c>
      <c r="E262" s="819">
        <v>30548268</v>
      </c>
      <c r="F262" s="819">
        <f>VLOOKUP(A262,'TSERS Contributions FY 2018'!A:C,3)</f>
        <v>4709246</v>
      </c>
      <c r="G262" s="822"/>
      <c r="H262" s="819">
        <v>2229433</v>
      </c>
      <c r="I262" s="819">
        <v>2911255</v>
      </c>
      <c r="J262" s="819">
        <v>6130252</v>
      </c>
      <c r="K262" s="819">
        <v>0</v>
      </c>
      <c r="L262" s="822"/>
      <c r="M262" s="819">
        <v>306572</v>
      </c>
      <c r="N262" s="826"/>
      <c r="O262" s="819">
        <v>0</v>
      </c>
      <c r="P262" s="819">
        <v>830869</v>
      </c>
      <c r="Q262" s="822"/>
      <c r="R262" s="819">
        <v>6996804</v>
      </c>
      <c r="S262" s="819">
        <v>-392200</v>
      </c>
      <c r="T262" s="819">
        <v>6604604</v>
      </c>
      <c r="U262" s="819">
        <f t="shared" ref="U262:U307" si="5">C262*18987949000</f>
        <v>58260724</v>
      </c>
      <c r="V262" s="819">
        <v>7294773</v>
      </c>
    </row>
    <row r="263" spans="1:22" x14ac:dyDescent="0.25">
      <c r="A263" s="820">
        <v>38205</v>
      </c>
      <c r="B263" s="810" t="s">
        <v>1038</v>
      </c>
      <c r="C263" s="821">
        <v>4.459E-4</v>
      </c>
      <c r="D263" s="821">
        <v>4.6220000000000001E-4</v>
      </c>
      <c r="E263" s="819">
        <v>4439420</v>
      </c>
      <c r="F263" s="819">
        <f>VLOOKUP(A263,'TSERS Contributions FY 2018'!A:C,3)</f>
        <v>721930</v>
      </c>
      <c r="G263" s="822"/>
      <c r="H263" s="819">
        <v>323992</v>
      </c>
      <c r="I263" s="819">
        <v>423078</v>
      </c>
      <c r="J263" s="819">
        <v>890877</v>
      </c>
      <c r="K263" s="819">
        <v>55015</v>
      </c>
      <c r="L263" s="822"/>
      <c r="M263" s="819">
        <v>44553</v>
      </c>
      <c r="N263" s="826"/>
      <c r="O263" s="819">
        <v>0</v>
      </c>
      <c r="P263" s="819">
        <v>77510</v>
      </c>
      <c r="Q263" s="822"/>
      <c r="R263" s="819">
        <v>1016809</v>
      </c>
      <c r="S263" s="819">
        <v>-23807</v>
      </c>
      <c r="T263" s="819">
        <v>993002</v>
      </c>
      <c r="U263" s="819">
        <f t="shared" si="5"/>
        <v>8466726</v>
      </c>
      <c r="V263" s="819">
        <v>1060111</v>
      </c>
    </row>
    <row r="264" spans="1:22" x14ac:dyDescent="0.25">
      <c r="A264" s="820">
        <v>38210</v>
      </c>
      <c r="B264" s="810" t="s">
        <v>1039</v>
      </c>
      <c r="C264" s="821">
        <v>1.1900999999999999E-3</v>
      </c>
      <c r="D264" s="821">
        <v>1.1766000000000001E-3</v>
      </c>
      <c r="E264" s="819">
        <v>11848742</v>
      </c>
      <c r="F264" s="819">
        <f>VLOOKUP(A264,'TSERS Contributions FY 2018'!A:C,3)</f>
        <v>1816253</v>
      </c>
      <c r="G264" s="822"/>
      <c r="H264" s="819">
        <v>864729</v>
      </c>
      <c r="I264" s="819">
        <v>1129187</v>
      </c>
      <c r="J264" s="819">
        <v>2377738</v>
      </c>
      <c r="K264" s="819">
        <v>18539</v>
      </c>
      <c r="L264" s="822"/>
      <c r="M264" s="819">
        <v>118910</v>
      </c>
      <c r="N264" s="826"/>
      <c r="O264" s="819">
        <v>0</v>
      </c>
      <c r="P264" s="819">
        <v>63232</v>
      </c>
      <c r="Q264" s="822"/>
      <c r="R264" s="819">
        <v>2713847</v>
      </c>
      <c r="S264" s="819">
        <v>-16122</v>
      </c>
      <c r="T264" s="819">
        <v>2697725</v>
      </c>
      <c r="U264" s="819">
        <f t="shared" si="5"/>
        <v>22597558</v>
      </c>
      <c r="V264" s="819">
        <v>2829420</v>
      </c>
    </row>
    <row r="265" spans="1:22" x14ac:dyDescent="0.25">
      <c r="A265" s="820">
        <v>38300</v>
      </c>
      <c r="B265" s="810" t="s">
        <v>1040</v>
      </c>
      <c r="C265" s="821">
        <v>2.4432999999999998E-3</v>
      </c>
      <c r="D265" s="821">
        <v>2.4562E-3</v>
      </c>
      <c r="E265" s="819">
        <v>24325712</v>
      </c>
      <c r="F265" s="819">
        <f>VLOOKUP(A265,'TSERS Contributions FY 2018'!A:C,3)</f>
        <v>3727456</v>
      </c>
      <c r="G265" s="822"/>
      <c r="H265" s="819">
        <v>1775307</v>
      </c>
      <c r="I265" s="819">
        <v>2318245</v>
      </c>
      <c r="J265" s="819">
        <v>4881545</v>
      </c>
      <c r="K265" s="819">
        <v>0</v>
      </c>
      <c r="L265" s="822"/>
      <c r="M265" s="819">
        <v>244125</v>
      </c>
      <c r="N265" s="826"/>
      <c r="O265" s="819">
        <v>0</v>
      </c>
      <c r="P265" s="819">
        <v>449269</v>
      </c>
      <c r="Q265" s="822"/>
      <c r="R265" s="819">
        <v>5571584</v>
      </c>
      <c r="S265" s="819">
        <v>-390271</v>
      </c>
      <c r="T265" s="819">
        <v>5181313</v>
      </c>
      <c r="U265" s="819">
        <f t="shared" si="5"/>
        <v>46393256</v>
      </c>
      <c r="V265" s="819">
        <v>5808858</v>
      </c>
    </row>
    <row r="266" spans="1:22" x14ac:dyDescent="0.25">
      <c r="A266" s="820">
        <v>38400</v>
      </c>
      <c r="B266" s="810" t="s">
        <v>1041</v>
      </c>
      <c r="C266" s="821">
        <v>2.9957999999999999E-3</v>
      </c>
      <c r="D266" s="821">
        <v>3.0192000000000001E-3</v>
      </c>
      <c r="E266" s="819">
        <v>29826451</v>
      </c>
      <c r="F266" s="819">
        <f>VLOOKUP(A266,'TSERS Contributions FY 2018'!A:C,3)</f>
        <v>4740066</v>
      </c>
      <c r="G266" s="822"/>
      <c r="H266" s="819">
        <v>2176754</v>
      </c>
      <c r="I266" s="819">
        <v>2842466</v>
      </c>
      <c r="J266" s="819">
        <v>5985402</v>
      </c>
      <c r="K266" s="819">
        <v>1972</v>
      </c>
      <c r="L266" s="822"/>
      <c r="M266" s="819">
        <v>299328</v>
      </c>
      <c r="N266" s="826"/>
      <c r="O266" s="819">
        <v>0</v>
      </c>
      <c r="P266" s="819">
        <v>582159</v>
      </c>
      <c r="Q266" s="822"/>
      <c r="R266" s="819">
        <v>6831479</v>
      </c>
      <c r="S266" s="819">
        <v>-480739</v>
      </c>
      <c r="T266" s="819">
        <v>6350740</v>
      </c>
      <c r="U266" s="819">
        <f t="shared" si="5"/>
        <v>56884098</v>
      </c>
      <c r="V266" s="819">
        <v>7122407</v>
      </c>
    </row>
    <row r="267" spans="1:22" x14ac:dyDescent="0.25">
      <c r="A267" s="820">
        <v>38402</v>
      </c>
      <c r="B267" s="810" t="s">
        <v>1042</v>
      </c>
      <c r="C267" s="821">
        <v>2.018E-4</v>
      </c>
      <c r="D267" s="821">
        <v>1.2290000000000001E-4</v>
      </c>
      <c r="E267" s="819">
        <v>2009139</v>
      </c>
      <c r="F267" s="819">
        <f>VLOOKUP(A267,'TSERS Contributions FY 2018'!A:C,3)</f>
        <v>270085</v>
      </c>
      <c r="G267" s="822"/>
      <c r="H267" s="819">
        <v>146628</v>
      </c>
      <c r="I267" s="819">
        <v>191471</v>
      </c>
      <c r="J267" s="819">
        <v>403182</v>
      </c>
      <c r="K267" s="819">
        <v>332115</v>
      </c>
      <c r="L267" s="822"/>
      <c r="M267" s="819">
        <v>20163</v>
      </c>
      <c r="N267" s="826"/>
      <c r="O267" s="819">
        <v>0</v>
      </c>
      <c r="P267" s="819">
        <v>10043</v>
      </c>
      <c r="Q267" s="822"/>
      <c r="R267" s="819">
        <v>460175</v>
      </c>
      <c r="S267" s="819">
        <v>116097</v>
      </c>
      <c r="T267" s="819">
        <v>576272</v>
      </c>
      <c r="U267" s="819">
        <f t="shared" si="5"/>
        <v>3831768</v>
      </c>
      <c r="V267" s="819">
        <v>479772</v>
      </c>
    </row>
    <row r="268" spans="1:22" x14ac:dyDescent="0.25">
      <c r="A268" s="820">
        <v>38405</v>
      </c>
      <c r="B268" s="810" t="s">
        <v>1043</v>
      </c>
      <c r="C268" s="821">
        <v>8.1890000000000001E-4</v>
      </c>
      <c r="D268" s="821">
        <v>7.9290000000000003E-4</v>
      </c>
      <c r="E268" s="819">
        <v>8153041</v>
      </c>
      <c r="F268" s="819">
        <f>VLOOKUP(A268,'TSERS Contributions FY 2018'!A:C,3)</f>
        <v>1204569</v>
      </c>
      <c r="G268" s="822"/>
      <c r="H268" s="819">
        <v>595014</v>
      </c>
      <c r="I268" s="819">
        <v>776986</v>
      </c>
      <c r="J268" s="819">
        <v>1636106</v>
      </c>
      <c r="K268" s="819">
        <v>76945</v>
      </c>
      <c r="L268" s="822"/>
      <c r="M268" s="819">
        <v>81821</v>
      </c>
      <c r="N268" s="826"/>
      <c r="O268" s="819">
        <v>0</v>
      </c>
      <c r="P268" s="819">
        <v>24114</v>
      </c>
      <c r="Q268" s="822"/>
      <c r="R268" s="819">
        <v>1867380</v>
      </c>
      <c r="S268" s="819">
        <v>-21066</v>
      </c>
      <c r="T268" s="819">
        <v>1846314</v>
      </c>
      <c r="U268" s="819">
        <f t="shared" si="5"/>
        <v>15549231</v>
      </c>
      <c r="V268" s="819">
        <v>1946905</v>
      </c>
    </row>
    <row r="269" spans="1:22" x14ac:dyDescent="0.25">
      <c r="A269" s="820">
        <v>38500</v>
      </c>
      <c r="B269" s="810" t="s">
        <v>1044</v>
      </c>
      <c r="C269" s="821">
        <v>2.3157E-3</v>
      </c>
      <c r="D269" s="821">
        <v>2.3335999999999999E-3</v>
      </c>
      <c r="E269" s="819">
        <v>23055315</v>
      </c>
      <c r="F269" s="819">
        <f>VLOOKUP(A269,'TSERS Contributions FY 2018'!A:C,3)</f>
        <v>3654354</v>
      </c>
      <c r="G269" s="822"/>
      <c r="H269" s="819">
        <v>1682592</v>
      </c>
      <c r="I269" s="819">
        <v>2197176</v>
      </c>
      <c r="J269" s="819">
        <v>4626609</v>
      </c>
      <c r="K269" s="819">
        <v>0</v>
      </c>
      <c r="L269" s="822"/>
      <c r="M269" s="819">
        <v>231375</v>
      </c>
      <c r="N269" s="826"/>
      <c r="O269" s="819">
        <v>0</v>
      </c>
      <c r="P269" s="819">
        <v>707679</v>
      </c>
      <c r="Q269" s="822"/>
      <c r="R269" s="819">
        <v>5280611</v>
      </c>
      <c r="S269" s="819">
        <v>-468628</v>
      </c>
      <c r="T269" s="819">
        <v>4811983</v>
      </c>
      <c r="U269" s="819">
        <f t="shared" si="5"/>
        <v>43970393</v>
      </c>
      <c r="V269" s="819">
        <v>5505493</v>
      </c>
    </row>
    <row r="270" spans="1:22" x14ac:dyDescent="0.25">
      <c r="A270" s="820">
        <v>38600</v>
      </c>
      <c r="B270" s="810" t="s">
        <v>1045</v>
      </c>
      <c r="C270" s="821">
        <v>2.9732999999999999E-3</v>
      </c>
      <c r="D270" s="821">
        <v>3.0501E-3</v>
      </c>
      <c r="E270" s="819">
        <v>29602439</v>
      </c>
      <c r="F270" s="819">
        <f>VLOOKUP(A270,'TSERS Contributions FY 2018'!A:C,3)</f>
        <v>4622884</v>
      </c>
      <c r="G270" s="822"/>
      <c r="H270" s="819">
        <v>2160406</v>
      </c>
      <c r="I270" s="819">
        <v>2821118</v>
      </c>
      <c r="J270" s="819">
        <v>5940448</v>
      </c>
      <c r="K270" s="819">
        <v>967</v>
      </c>
      <c r="L270" s="822"/>
      <c r="M270" s="819">
        <v>297080</v>
      </c>
      <c r="N270" s="826"/>
      <c r="O270" s="819">
        <v>0</v>
      </c>
      <c r="P270" s="819">
        <v>705851</v>
      </c>
      <c r="Q270" s="822"/>
      <c r="R270" s="819">
        <v>6780171</v>
      </c>
      <c r="S270" s="819">
        <v>-470237</v>
      </c>
      <c r="T270" s="819">
        <v>6309934</v>
      </c>
      <c r="U270" s="819">
        <f t="shared" si="5"/>
        <v>56456869</v>
      </c>
      <c r="V270" s="819">
        <v>7068914</v>
      </c>
    </row>
    <row r="271" spans="1:22" x14ac:dyDescent="0.25">
      <c r="A271" s="820">
        <v>38601</v>
      </c>
      <c r="B271" s="810" t="s">
        <v>1046</v>
      </c>
      <c r="C271" s="821">
        <v>4.0899999999999998E-5</v>
      </c>
      <c r="D271" s="821">
        <v>3.4900000000000001E-5</v>
      </c>
      <c r="E271" s="819">
        <v>407204</v>
      </c>
      <c r="F271" s="819">
        <f>VLOOKUP(A271,'TSERS Contributions FY 2018'!A:C,3)</f>
        <v>52864</v>
      </c>
      <c r="G271" s="822"/>
      <c r="H271" s="819">
        <v>29718</v>
      </c>
      <c r="I271" s="819">
        <v>38807</v>
      </c>
      <c r="J271" s="819">
        <v>81715</v>
      </c>
      <c r="K271" s="819">
        <v>19815</v>
      </c>
      <c r="L271" s="822"/>
      <c r="M271" s="819">
        <v>4087</v>
      </c>
      <c r="N271" s="826"/>
      <c r="O271" s="819">
        <v>0</v>
      </c>
      <c r="P271" s="819">
        <v>18954</v>
      </c>
      <c r="Q271" s="822"/>
      <c r="R271" s="819">
        <v>93266</v>
      </c>
      <c r="S271" s="819">
        <v>5412</v>
      </c>
      <c r="T271" s="819">
        <v>98678</v>
      </c>
      <c r="U271" s="819">
        <f t="shared" si="5"/>
        <v>776607</v>
      </c>
      <c r="V271" s="819">
        <v>97238</v>
      </c>
    </row>
    <row r="272" spans="1:22" x14ac:dyDescent="0.25">
      <c r="A272" s="820">
        <v>38602</v>
      </c>
      <c r="B272" s="810" t="s">
        <v>1047</v>
      </c>
      <c r="C272" s="821">
        <v>2.5500000000000002E-4</v>
      </c>
      <c r="D272" s="821">
        <v>2.2479999999999999E-4</v>
      </c>
      <c r="E272" s="819">
        <v>2538803</v>
      </c>
      <c r="F272" s="819">
        <f>VLOOKUP(A272,'TSERS Contributions FY 2018'!A:C,3)</f>
        <v>373488</v>
      </c>
      <c r="G272" s="822"/>
      <c r="H272" s="819">
        <v>185284</v>
      </c>
      <c r="I272" s="819">
        <v>241948</v>
      </c>
      <c r="J272" s="819">
        <v>509472</v>
      </c>
      <c r="K272" s="819">
        <v>227676</v>
      </c>
      <c r="L272" s="822"/>
      <c r="M272" s="819">
        <v>25479</v>
      </c>
      <c r="N272" s="826"/>
      <c r="O272" s="819">
        <v>0</v>
      </c>
      <c r="P272" s="819">
        <v>0</v>
      </c>
      <c r="Q272" s="822"/>
      <c r="R272" s="819">
        <v>581490</v>
      </c>
      <c r="S272" s="819">
        <v>115961</v>
      </c>
      <c r="T272" s="819">
        <v>697451</v>
      </c>
      <c r="U272" s="819">
        <f t="shared" si="5"/>
        <v>4841927</v>
      </c>
      <c r="V272" s="819">
        <v>606253</v>
      </c>
    </row>
    <row r="273" spans="1:22" x14ac:dyDescent="0.25">
      <c r="A273" s="820">
        <v>38605</v>
      </c>
      <c r="B273" s="810" t="s">
        <v>1048</v>
      </c>
      <c r="C273" s="821">
        <v>7.9750000000000003E-4</v>
      </c>
      <c r="D273" s="821">
        <v>8.4170000000000002E-4</v>
      </c>
      <c r="E273" s="819">
        <v>7939981</v>
      </c>
      <c r="F273" s="819">
        <f>VLOOKUP(A273,'TSERS Contributions FY 2018'!A:C,3)</f>
        <v>1303798</v>
      </c>
      <c r="G273" s="822"/>
      <c r="H273" s="819">
        <v>579465</v>
      </c>
      <c r="I273" s="819">
        <v>756682</v>
      </c>
      <c r="J273" s="819">
        <v>1593350</v>
      </c>
      <c r="K273" s="819">
        <v>8206</v>
      </c>
      <c r="L273" s="822"/>
      <c r="M273" s="819">
        <v>79683</v>
      </c>
      <c r="N273" s="826"/>
      <c r="O273" s="819">
        <v>0</v>
      </c>
      <c r="P273" s="819">
        <v>203799</v>
      </c>
      <c r="Q273" s="822"/>
      <c r="R273" s="819">
        <v>1818581</v>
      </c>
      <c r="S273" s="819">
        <v>-63908</v>
      </c>
      <c r="T273" s="819">
        <v>1754673</v>
      </c>
      <c r="U273" s="819">
        <f t="shared" si="5"/>
        <v>15142889</v>
      </c>
      <c r="V273" s="819">
        <v>1896028</v>
      </c>
    </row>
    <row r="274" spans="1:22" x14ac:dyDescent="0.25">
      <c r="A274" s="820">
        <v>38610</v>
      </c>
      <c r="B274" s="810" t="s">
        <v>1049</v>
      </c>
      <c r="C274" s="821">
        <v>6.0260000000000001E-4</v>
      </c>
      <c r="D274" s="821">
        <v>5.9389999999999996E-4</v>
      </c>
      <c r="E274" s="819">
        <v>5999539</v>
      </c>
      <c r="F274" s="819">
        <f>VLOOKUP(A274,'TSERS Contributions FY 2018'!A:C,3)</f>
        <v>1013284</v>
      </c>
      <c r="G274" s="822"/>
      <c r="H274" s="819">
        <v>437850</v>
      </c>
      <c r="I274" s="819">
        <v>571757</v>
      </c>
      <c r="J274" s="819">
        <v>1203953</v>
      </c>
      <c r="K274" s="819">
        <v>77440</v>
      </c>
      <c r="L274" s="822"/>
      <c r="M274" s="819">
        <v>60209</v>
      </c>
      <c r="N274" s="826"/>
      <c r="O274" s="819">
        <v>0</v>
      </c>
      <c r="P274" s="819">
        <v>67814</v>
      </c>
      <c r="Q274" s="822"/>
      <c r="R274" s="819">
        <v>1374140</v>
      </c>
      <c r="S274" s="819">
        <v>5778</v>
      </c>
      <c r="T274" s="819">
        <v>1379918</v>
      </c>
      <c r="U274" s="819">
        <f t="shared" si="5"/>
        <v>11442138</v>
      </c>
      <c r="V274" s="819">
        <v>1432660</v>
      </c>
    </row>
    <row r="275" spans="1:22" x14ac:dyDescent="0.25">
      <c r="A275" s="820">
        <v>38620</v>
      </c>
      <c r="B275" s="810" t="s">
        <v>1050</v>
      </c>
      <c r="C275" s="821">
        <v>4.7419999999999998E-4</v>
      </c>
      <c r="D275" s="821">
        <v>4.9620000000000003E-4</v>
      </c>
      <c r="E275" s="819">
        <v>4721177</v>
      </c>
      <c r="F275" s="819">
        <f>VLOOKUP(A275,'TSERS Contributions FY 2018'!A:C,3)</f>
        <v>769252</v>
      </c>
      <c r="G275" s="822"/>
      <c r="H275" s="819">
        <v>344555</v>
      </c>
      <c r="I275" s="819">
        <v>449929</v>
      </c>
      <c r="J275" s="819">
        <v>947419</v>
      </c>
      <c r="K275" s="819">
        <v>23916</v>
      </c>
      <c r="L275" s="822"/>
      <c r="M275" s="819">
        <v>47380</v>
      </c>
      <c r="N275" s="826"/>
      <c r="O275" s="819">
        <v>0</v>
      </c>
      <c r="P275" s="819">
        <v>181045</v>
      </c>
      <c r="Q275" s="822"/>
      <c r="R275" s="819">
        <v>1081343</v>
      </c>
      <c r="S275" s="819">
        <v>-38880</v>
      </c>
      <c r="T275" s="819">
        <v>1042463</v>
      </c>
      <c r="U275" s="819">
        <f t="shared" si="5"/>
        <v>9004085</v>
      </c>
      <c r="V275" s="819">
        <v>1127393</v>
      </c>
    </row>
    <row r="276" spans="1:22" x14ac:dyDescent="0.25">
      <c r="A276" s="820">
        <v>38700</v>
      </c>
      <c r="B276" s="810" t="s">
        <v>1051</v>
      </c>
      <c r="C276" s="821">
        <v>8.7690000000000001E-4</v>
      </c>
      <c r="D276" s="821">
        <v>9.0870000000000002E-4</v>
      </c>
      <c r="E276" s="819">
        <v>8730494</v>
      </c>
      <c r="F276" s="819">
        <f>VLOOKUP(A276,'TSERS Contributions FY 2018'!A:C,3)</f>
        <v>1304124</v>
      </c>
      <c r="G276" s="822"/>
      <c r="H276" s="819">
        <v>637157</v>
      </c>
      <c r="I276" s="819">
        <v>832018</v>
      </c>
      <c r="J276" s="819">
        <v>1751986</v>
      </c>
      <c r="K276" s="819">
        <v>50219</v>
      </c>
      <c r="L276" s="822"/>
      <c r="M276" s="819">
        <v>87616</v>
      </c>
      <c r="N276" s="826"/>
      <c r="O276" s="819">
        <v>0</v>
      </c>
      <c r="P276" s="819">
        <v>267123</v>
      </c>
      <c r="Q276" s="822"/>
      <c r="R276" s="819">
        <v>1999641</v>
      </c>
      <c r="S276" s="819">
        <v>-16286</v>
      </c>
      <c r="T276" s="819">
        <v>1983355</v>
      </c>
      <c r="U276" s="819">
        <f t="shared" si="5"/>
        <v>16650532</v>
      </c>
      <c r="V276" s="819">
        <v>2084798</v>
      </c>
    </row>
    <row r="277" spans="1:22" x14ac:dyDescent="0.25">
      <c r="A277" s="820">
        <v>38701</v>
      </c>
      <c r="B277" s="810" t="s">
        <v>1052</v>
      </c>
      <c r="C277" s="821">
        <v>5.4599999999999999E-5</v>
      </c>
      <c r="D277" s="821">
        <v>5.2200000000000002E-5</v>
      </c>
      <c r="E277" s="819">
        <v>543602</v>
      </c>
      <c r="F277" s="819">
        <f>VLOOKUP(A277,'TSERS Contributions FY 2018'!A:C,3)</f>
        <v>85618</v>
      </c>
      <c r="G277" s="822"/>
      <c r="H277" s="819">
        <v>39672</v>
      </c>
      <c r="I277" s="819">
        <v>51805</v>
      </c>
      <c r="J277" s="819">
        <v>109087</v>
      </c>
      <c r="K277" s="819">
        <v>12024</v>
      </c>
      <c r="L277" s="822"/>
      <c r="M277" s="819">
        <v>5455</v>
      </c>
      <c r="N277" s="826"/>
      <c r="O277" s="819">
        <v>0</v>
      </c>
      <c r="P277" s="819">
        <v>26507</v>
      </c>
      <c r="Q277" s="822"/>
      <c r="R277" s="819">
        <v>124507</v>
      </c>
      <c r="S277" s="819">
        <v>-21108</v>
      </c>
      <c r="T277" s="819">
        <v>103399</v>
      </c>
      <c r="U277" s="819">
        <f t="shared" si="5"/>
        <v>1036742</v>
      </c>
      <c r="V277" s="819">
        <v>129810</v>
      </c>
    </row>
    <row r="278" spans="1:22" x14ac:dyDescent="0.25">
      <c r="A278" s="820">
        <v>38800</v>
      </c>
      <c r="B278" s="810" t="s">
        <v>1053</v>
      </c>
      <c r="C278" s="821">
        <v>1.5223000000000001E-3</v>
      </c>
      <c r="D278" s="821">
        <v>1.5397E-3</v>
      </c>
      <c r="E278" s="819">
        <v>15156154</v>
      </c>
      <c r="F278" s="819">
        <f>VLOOKUP(A278,'TSERS Contributions FY 2018'!A:C,3)</f>
        <v>2356799</v>
      </c>
      <c r="G278" s="822"/>
      <c r="H278" s="819">
        <v>1106106</v>
      </c>
      <c r="I278" s="819">
        <v>1444384</v>
      </c>
      <c r="J278" s="819">
        <v>3041450</v>
      </c>
      <c r="K278" s="819">
        <v>33831</v>
      </c>
      <c r="L278" s="822"/>
      <c r="M278" s="819">
        <v>152102</v>
      </c>
      <c r="N278" s="826"/>
      <c r="O278" s="819">
        <v>0</v>
      </c>
      <c r="P278" s="819">
        <v>249919</v>
      </c>
      <c r="Q278" s="822"/>
      <c r="R278" s="819">
        <v>3471380</v>
      </c>
      <c r="S278" s="819">
        <v>-66533</v>
      </c>
      <c r="T278" s="819">
        <v>3404847</v>
      </c>
      <c r="U278" s="819">
        <f t="shared" si="5"/>
        <v>28905355</v>
      </c>
      <c r="V278" s="819">
        <v>3619213</v>
      </c>
    </row>
    <row r="279" spans="1:22" x14ac:dyDescent="0.25">
      <c r="A279" s="820">
        <v>38801</v>
      </c>
      <c r="B279" s="810" t="s">
        <v>1054</v>
      </c>
      <c r="C279" s="821">
        <v>1.3750000000000001E-4</v>
      </c>
      <c r="D279" s="821">
        <v>1.261E-4</v>
      </c>
      <c r="E279" s="819">
        <v>1368962</v>
      </c>
      <c r="F279" s="819">
        <f>VLOOKUP(A279,'TSERS Contributions FY 2018'!A:C,3)</f>
        <v>169723</v>
      </c>
      <c r="G279" s="822"/>
      <c r="H279" s="819">
        <v>99908</v>
      </c>
      <c r="I279" s="819">
        <v>130462</v>
      </c>
      <c r="J279" s="819">
        <v>274716</v>
      </c>
      <c r="K279" s="819">
        <v>58530</v>
      </c>
      <c r="L279" s="822"/>
      <c r="M279" s="819">
        <v>13738</v>
      </c>
      <c r="N279" s="826"/>
      <c r="O279" s="819">
        <v>0</v>
      </c>
      <c r="P279" s="819">
        <v>7642</v>
      </c>
      <c r="Q279" s="822"/>
      <c r="R279" s="819">
        <v>313548</v>
      </c>
      <c r="S279" s="819">
        <v>42825</v>
      </c>
      <c r="T279" s="819">
        <v>356373</v>
      </c>
      <c r="U279" s="819">
        <f t="shared" si="5"/>
        <v>2610843</v>
      </c>
      <c r="V279" s="819">
        <v>326901</v>
      </c>
    </row>
    <row r="280" spans="1:22" x14ac:dyDescent="0.25">
      <c r="A280" s="820">
        <v>38900</v>
      </c>
      <c r="B280" s="810" t="s">
        <v>1055</v>
      </c>
      <c r="C280" s="821">
        <v>3.3030000000000001E-4</v>
      </c>
      <c r="D280" s="821">
        <v>3.3700000000000001E-4</v>
      </c>
      <c r="E280" s="819">
        <v>3288496</v>
      </c>
      <c r="F280" s="819">
        <f>VLOOKUP(A280,'TSERS Contributions FY 2018'!A:C,3)</f>
        <v>536093</v>
      </c>
      <c r="G280" s="822"/>
      <c r="H280" s="819">
        <v>239997</v>
      </c>
      <c r="I280" s="819">
        <v>313394</v>
      </c>
      <c r="J280" s="819">
        <v>659917</v>
      </c>
      <c r="K280" s="819">
        <v>26906</v>
      </c>
      <c r="L280" s="822"/>
      <c r="M280" s="819">
        <v>33002</v>
      </c>
      <c r="N280" s="826"/>
      <c r="O280" s="819">
        <v>0</v>
      </c>
      <c r="P280" s="819">
        <v>80407</v>
      </c>
      <c r="Q280" s="822"/>
      <c r="R280" s="819">
        <v>753200</v>
      </c>
      <c r="S280" s="819">
        <v>-36183</v>
      </c>
      <c r="T280" s="819">
        <v>717017</v>
      </c>
      <c r="U280" s="819">
        <f t="shared" si="5"/>
        <v>6271720</v>
      </c>
      <c r="V280" s="819">
        <v>785276</v>
      </c>
    </row>
    <row r="281" spans="1:22" x14ac:dyDescent="0.25">
      <c r="A281" s="820">
        <v>39000</v>
      </c>
      <c r="B281" s="810" t="s">
        <v>1056</v>
      </c>
      <c r="C281" s="821">
        <v>1.55636E-2</v>
      </c>
      <c r="D281" s="821">
        <v>1.5960100000000001E-2</v>
      </c>
      <c r="E281" s="819">
        <v>154952587</v>
      </c>
      <c r="F281" s="819">
        <f>VLOOKUP(A281,'TSERS Contributions FY 2018'!A:C,3)</f>
        <v>23105824</v>
      </c>
      <c r="G281" s="822"/>
      <c r="H281" s="819">
        <v>11308543</v>
      </c>
      <c r="I281" s="819">
        <v>14767008</v>
      </c>
      <c r="J281" s="819">
        <v>31094999</v>
      </c>
      <c r="K281" s="819">
        <v>150438</v>
      </c>
      <c r="L281" s="822"/>
      <c r="M281" s="819">
        <v>1555053</v>
      </c>
      <c r="N281" s="826"/>
      <c r="O281" s="819">
        <v>0</v>
      </c>
      <c r="P281" s="819">
        <v>3977942</v>
      </c>
      <c r="Q281" s="822"/>
      <c r="R281" s="819">
        <v>35490486</v>
      </c>
      <c r="S281" s="819">
        <v>-1719610</v>
      </c>
      <c r="T281" s="819">
        <v>33770876</v>
      </c>
      <c r="U281" s="819">
        <f t="shared" si="5"/>
        <v>295520843</v>
      </c>
      <c r="V281" s="819">
        <v>37001899</v>
      </c>
    </row>
    <row r="282" spans="1:22" x14ac:dyDescent="0.25">
      <c r="A282" s="820">
        <v>39100</v>
      </c>
      <c r="B282" s="810" t="s">
        <v>1057</v>
      </c>
      <c r="C282" s="821">
        <v>2.1944E-3</v>
      </c>
      <c r="D282" s="821">
        <v>2.3486000000000002E-3</v>
      </c>
      <c r="E282" s="819">
        <v>21847642</v>
      </c>
      <c r="F282" s="819">
        <f>VLOOKUP(A282,'TSERS Contributions FY 2018'!A:C,3)</f>
        <v>3661268</v>
      </c>
      <c r="G282" s="822"/>
      <c r="H282" s="819">
        <v>1594455</v>
      </c>
      <c r="I282" s="819">
        <v>2082084</v>
      </c>
      <c r="J282" s="819">
        <v>4384260</v>
      </c>
      <c r="K282" s="819">
        <v>0</v>
      </c>
      <c r="L282" s="822"/>
      <c r="M282" s="819">
        <v>219256</v>
      </c>
      <c r="N282" s="826"/>
      <c r="O282" s="819">
        <v>0</v>
      </c>
      <c r="P282" s="819">
        <v>742286</v>
      </c>
      <c r="Q282" s="822"/>
      <c r="R282" s="819">
        <v>5004004</v>
      </c>
      <c r="S282" s="819">
        <v>-338732</v>
      </c>
      <c r="T282" s="819">
        <v>4665272</v>
      </c>
      <c r="U282" s="819">
        <f t="shared" si="5"/>
        <v>41667155</v>
      </c>
      <c r="V282" s="819">
        <v>5217107</v>
      </c>
    </row>
    <row r="283" spans="1:22" x14ac:dyDescent="0.25">
      <c r="A283" s="820">
        <v>39101</v>
      </c>
      <c r="B283" s="810" t="s">
        <v>1058</v>
      </c>
      <c r="C283" s="821">
        <v>2.299E-4</v>
      </c>
      <c r="D283" s="821">
        <v>1.9579999999999999E-4</v>
      </c>
      <c r="E283" s="819">
        <v>2288905</v>
      </c>
      <c r="F283" s="819">
        <f>VLOOKUP(A283,'TSERS Contributions FY 2018'!A:C,3)</f>
        <v>363078</v>
      </c>
      <c r="G283" s="822"/>
      <c r="H283" s="819">
        <v>167046</v>
      </c>
      <c r="I283" s="819">
        <v>218133</v>
      </c>
      <c r="J283" s="819">
        <v>459324</v>
      </c>
      <c r="K283" s="819">
        <v>194421</v>
      </c>
      <c r="L283" s="822"/>
      <c r="M283" s="819">
        <v>22971</v>
      </c>
      <c r="N283" s="826"/>
      <c r="O283" s="819">
        <v>0</v>
      </c>
      <c r="P283" s="819">
        <v>5713</v>
      </c>
      <c r="Q283" s="822"/>
      <c r="R283" s="819">
        <v>524253</v>
      </c>
      <c r="S283" s="819">
        <v>63190</v>
      </c>
      <c r="T283" s="819">
        <v>587443</v>
      </c>
      <c r="U283" s="819">
        <f t="shared" si="5"/>
        <v>4365329</v>
      </c>
      <c r="V283" s="819">
        <v>546579</v>
      </c>
    </row>
    <row r="284" spans="1:22" x14ac:dyDescent="0.25">
      <c r="A284" s="820">
        <v>39105</v>
      </c>
      <c r="B284" s="810" t="s">
        <v>1059</v>
      </c>
      <c r="C284" s="821">
        <v>8.6089999999999995E-4</v>
      </c>
      <c r="D284" s="821">
        <v>9.7019999999999995E-4</v>
      </c>
      <c r="E284" s="819">
        <v>8571197</v>
      </c>
      <c r="F284" s="819">
        <f>VLOOKUP(A284,'TSERS Contributions FY 2018'!A:C,3)</f>
        <v>1404490</v>
      </c>
      <c r="G284" s="822"/>
      <c r="H284" s="819">
        <v>625532</v>
      </c>
      <c r="I284" s="819">
        <v>816837</v>
      </c>
      <c r="J284" s="819">
        <v>1720019</v>
      </c>
      <c r="K284" s="819">
        <v>9790</v>
      </c>
      <c r="L284" s="822"/>
      <c r="M284" s="819">
        <v>86018</v>
      </c>
      <c r="N284" s="826"/>
      <c r="O284" s="819">
        <v>0</v>
      </c>
      <c r="P284" s="819">
        <v>564977</v>
      </c>
      <c r="Q284" s="822"/>
      <c r="R284" s="819">
        <v>1963155</v>
      </c>
      <c r="S284" s="819">
        <v>-177057</v>
      </c>
      <c r="T284" s="819">
        <v>1786098</v>
      </c>
      <c r="U284" s="819">
        <f t="shared" si="5"/>
        <v>16346725</v>
      </c>
      <c r="V284" s="819">
        <v>2046759</v>
      </c>
    </row>
    <row r="285" spans="1:22" x14ac:dyDescent="0.25">
      <c r="A285" s="820">
        <v>39200</v>
      </c>
      <c r="B285" s="810" t="s">
        <v>1558</v>
      </c>
      <c r="C285" s="821">
        <v>6.6363800000000001E-2</v>
      </c>
      <c r="D285" s="821">
        <v>6.5650399999999998E-2</v>
      </c>
      <c r="E285" s="819">
        <v>660723899</v>
      </c>
      <c r="F285" s="819">
        <f>VLOOKUP(A285,'TSERS Contributions FY 2018'!A:C,3)</f>
        <v>97833507</v>
      </c>
      <c r="G285" s="822"/>
      <c r="H285" s="819">
        <v>48220070</v>
      </c>
      <c r="I285" s="819">
        <v>62967102</v>
      </c>
      <c r="J285" s="819">
        <v>132590293</v>
      </c>
      <c r="K285" s="819">
        <v>3122016</v>
      </c>
      <c r="L285" s="822"/>
      <c r="M285" s="819">
        <v>6630805</v>
      </c>
      <c r="N285" s="826"/>
      <c r="O285" s="819">
        <v>0</v>
      </c>
      <c r="P285" s="819">
        <v>3110290</v>
      </c>
      <c r="Q285" s="822"/>
      <c r="R285" s="819">
        <v>151332824</v>
      </c>
      <c r="S285" s="819">
        <v>1860989</v>
      </c>
      <c r="T285" s="819">
        <v>153193813</v>
      </c>
      <c r="U285" s="819">
        <f t="shared" si="5"/>
        <v>1260112450</v>
      </c>
      <c r="V285" s="819">
        <v>157777545</v>
      </c>
    </row>
    <row r="286" spans="1:22" x14ac:dyDescent="0.25">
      <c r="A286" s="820">
        <v>39201</v>
      </c>
      <c r="B286" s="810" t="s">
        <v>1061</v>
      </c>
      <c r="C286" s="821">
        <v>1.995E-4</v>
      </c>
      <c r="D286" s="821">
        <v>1.94E-4</v>
      </c>
      <c r="E286" s="819">
        <v>1986240</v>
      </c>
      <c r="F286" s="819">
        <f>VLOOKUP(A286,'TSERS Contributions FY 2018'!A:C,3)</f>
        <v>236883</v>
      </c>
      <c r="G286" s="822"/>
      <c r="H286" s="819">
        <v>144957</v>
      </c>
      <c r="I286" s="819">
        <v>189289</v>
      </c>
      <c r="J286" s="819">
        <v>398587</v>
      </c>
      <c r="K286" s="819">
        <v>10802</v>
      </c>
      <c r="L286" s="822"/>
      <c r="M286" s="819">
        <v>19933</v>
      </c>
      <c r="N286" s="826"/>
      <c r="O286" s="819">
        <v>0</v>
      </c>
      <c r="P286" s="819">
        <v>80630</v>
      </c>
      <c r="Q286" s="822"/>
      <c r="R286" s="819">
        <v>454930</v>
      </c>
      <c r="S286" s="819">
        <v>-22681</v>
      </c>
      <c r="T286" s="819">
        <v>432249</v>
      </c>
      <c r="U286" s="819">
        <f t="shared" si="5"/>
        <v>3788096</v>
      </c>
      <c r="V286" s="819">
        <v>474304</v>
      </c>
    </row>
    <row r="287" spans="1:22" x14ac:dyDescent="0.25">
      <c r="A287" s="820">
        <v>39204</v>
      </c>
      <c r="B287" s="810" t="s">
        <v>1062</v>
      </c>
      <c r="C287" s="821">
        <v>2.2780000000000001E-4</v>
      </c>
      <c r="D287" s="821">
        <v>1.8000000000000001E-4</v>
      </c>
      <c r="E287" s="819">
        <v>2267997</v>
      </c>
      <c r="F287" s="819">
        <f>VLOOKUP(A287,'TSERS Contributions FY 2018'!A:C,3)</f>
        <v>314460</v>
      </c>
      <c r="G287" s="822"/>
      <c r="H287" s="819">
        <v>165520</v>
      </c>
      <c r="I287" s="819">
        <v>216141</v>
      </c>
      <c r="J287" s="819">
        <v>455129</v>
      </c>
      <c r="K287" s="819">
        <v>308609</v>
      </c>
      <c r="L287" s="822"/>
      <c r="M287" s="819">
        <v>22761</v>
      </c>
      <c r="N287" s="826"/>
      <c r="O287" s="819">
        <v>0</v>
      </c>
      <c r="P287" s="819">
        <v>0</v>
      </c>
      <c r="Q287" s="822"/>
      <c r="R287" s="819">
        <v>519464</v>
      </c>
      <c r="S287" s="819">
        <v>179587</v>
      </c>
      <c r="T287" s="819">
        <v>699051</v>
      </c>
      <c r="U287" s="819">
        <f t="shared" si="5"/>
        <v>4325455</v>
      </c>
      <c r="V287" s="819">
        <v>541586</v>
      </c>
    </row>
    <row r="288" spans="1:22" x14ac:dyDescent="0.25">
      <c r="A288" s="820">
        <v>39205</v>
      </c>
      <c r="B288" s="810" t="s">
        <v>1063</v>
      </c>
      <c r="C288" s="821">
        <v>5.3501E-3</v>
      </c>
      <c r="D288" s="821">
        <v>5.4140000000000004E-3</v>
      </c>
      <c r="E288" s="819">
        <v>53266072</v>
      </c>
      <c r="F288" s="819">
        <f>VLOOKUP(A288,'TSERS Contributions FY 2018'!A:C,3)</f>
        <v>8616940</v>
      </c>
      <c r="G288" s="822"/>
      <c r="H288" s="819">
        <v>3887393</v>
      </c>
      <c r="I288" s="819">
        <v>5076266</v>
      </c>
      <c r="J288" s="819">
        <v>10689131</v>
      </c>
      <c r="K288" s="819">
        <v>1499584</v>
      </c>
      <c r="L288" s="822"/>
      <c r="M288" s="819">
        <v>534561</v>
      </c>
      <c r="N288" s="826"/>
      <c r="O288" s="819">
        <v>0</v>
      </c>
      <c r="P288" s="819">
        <v>199796</v>
      </c>
      <c r="Q288" s="822"/>
      <c r="R288" s="819">
        <v>12200111</v>
      </c>
      <c r="S288" s="819">
        <v>1448767</v>
      </c>
      <c r="T288" s="819">
        <v>13648878</v>
      </c>
      <c r="U288" s="819">
        <f t="shared" si="5"/>
        <v>101587426</v>
      </c>
      <c r="V288" s="819">
        <v>12719670</v>
      </c>
    </row>
    <row r="289" spans="1:22" x14ac:dyDescent="0.25">
      <c r="A289" s="820">
        <v>39208</v>
      </c>
      <c r="B289" s="810" t="s">
        <v>1559</v>
      </c>
      <c r="C289" s="821">
        <v>3.9149999999999998E-4</v>
      </c>
      <c r="D289" s="821">
        <v>3.835E-4</v>
      </c>
      <c r="E289" s="819">
        <v>3897809</v>
      </c>
      <c r="F289" s="819">
        <f>VLOOKUP(A289,'TSERS Contributions FY 2018'!A:C,3)</f>
        <v>519866</v>
      </c>
      <c r="G289" s="822"/>
      <c r="H289" s="819">
        <v>284465</v>
      </c>
      <c r="I289" s="819">
        <v>371462</v>
      </c>
      <c r="J289" s="819">
        <v>782190</v>
      </c>
      <c r="K289" s="819">
        <v>0</v>
      </c>
      <c r="L289" s="822"/>
      <c r="M289" s="819">
        <v>39117</v>
      </c>
      <c r="N289" s="826"/>
      <c r="O289" s="819">
        <v>0</v>
      </c>
      <c r="P289" s="819">
        <v>162613</v>
      </c>
      <c r="Q289" s="822"/>
      <c r="R289" s="819">
        <v>892758</v>
      </c>
      <c r="S289" s="819">
        <v>-120426</v>
      </c>
      <c r="T289" s="819">
        <v>772332</v>
      </c>
      <c r="U289" s="819">
        <f t="shared" si="5"/>
        <v>7433782</v>
      </c>
      <c r="V289" s="819">
        <v>930777</v>
      </c>
    </row>
    <row r="290" spans="1:22" x14ac:dyDescent="0.25">
      <c r="A290" s="820">
        <v>39209</v>
      </c>
      <c r="B290" s="810" t="s">
        <v>1065</v>
      </c>
      <c r="C290" s="821">
        <v>1.9689999999999999E-4</v>
      </c>
      <c r="D290" s="821">
        <v>2.1379999999999999E-4</v>
      </c>
      <c r="E290" s="819">
        <v>1960354</v>
      </c>
      <c r="F290" s="819">
        <f>VLOOKUP(A290,'TSERS Contributions FY 2018'!A:C,3)</f>
        <v>251790</v>
      </c>
      <c r="G290" s="822"/>
      <c r="H290" s="819">
        <v>143068</v>
      </c>
      <c r="I290" s="819">
        <v>186822</v>
      </c>
      <c r="J290" s="819">
        <v>393393</v>
      </c>
      <c r="K290" s="819">
        <v>27932</v>
      </c>
      <c r="L290" s="822"/>
      <c r="M290" s="819">
        <v>19673</v>
      </c>
      <c r="N290" s="826"/>
      <c r="O290" s="819">
        <v>0</v>
      </c>
      <c r="P290" s="819">
        <v>126078</v>
      </c>
      <c r="Q290" s="822"/>
      <c r="R290" s="819">
        <v>449001</v>
      </c>
      <c r="S290" s="819">
        <v>-31442</v>
      </c>
      <c r="T290" s="819">
        <v>417559</v>
      </c>
      <c r="U290" s="819">
        <f t="shared" si="5"/>
        <v>3738727</v>
      </c>
      <c r="V290" s="819">
        <v>468123</v>
      </c>
    </row>
    <row r="291" spans="1:22" x14ac:dyDescent="0.25">
      <c r="A291" s="820">
        <v>39300</v>
      </c>
      <c r="B291" s="810" t="s">
        <v>1066</v>
      </c>
      <c r="C291" s="821">
        <v>8.2019999999999999E-4</v>
      </c>
      <c r="D291" s="821">
        <v>8.6319999999999995E-4</v>
      </c>
      <c r="E291" s="819">
        <v>8165984</v>
      </c>
      <c r="F291" s="819">
        <f>VLOOKUP(A291,'TSERS Contributions FY 2018'!A:C,3)</f>
        <v>1373076</v>
      </c>
      <c r="G291" s="822"/>
      <c r="H291" s="819">
        <v>595959</v>
      </c>
      <c r="I291" s="819">
        <v>778220</v>
      </c>
      <c r="J291" s="819">
        <v>1638703</v>
      </c>
      <c r="K291" s="819">
        <v>26131</v>
      </c>
      <c r="L291" s="822"/>
      <c r="M291" s="819">
        <v>81951</v>
      </c>
      <c r="N291" s="826"/>
      <c r="O291" s="819">
        <v>0</v>
      </c>
      <c r="P291" s="819">
        <v>346164</v>
      </c>
      <c r="Q291" s="822"/>
      <c r="R291" s="819">
        <v>1870345</v>
      </c>
      <c r="S291" s="819">
        <v>-134266</v>
      </c>
      <c r="T291" s="819">
        <v>1736079</v>
      </c>
      <c r="U291" s="819">
        <f t="shared" si="5"/>
        <v>15573916</v>
      </c>
      <c r="V291" s="819">
        <v>1949996</v>
      </c>
    </row>
    <row r="292" spans="1:22" x14ac:dyDescent="0.25">
      <c r="A292" s="820">
        <v>39301</v>
      </c>
      <c r="B292" s="810" t="s">
        <v>1067</v>
      </c>
      <c r="C292" s="821">
        <v>3.8699999999999999E-5</v>
      </c>
      <c r="D292" s="821">
        <v>6.0099999999999997E-5</v>
      </c>
      <c r="E292" s="819">
        <v>385301</v>
      </c>
      <c r="F292" s="819">
        <f>VLOOKUP(A292,'TSERS Contributions FY 2018'!A:C,3)</f>
        <v>63018</v>
      </c>
      <c r="G292" s="822"/>
      <c r="H292" s="819">
        <v>28119</v>
      </c>
      <c r="I292" s="819">
        <v>36719</v>
      </c>
      <c r="J292" s="819">
        <v>77320</v>
      </c>
      <c r="K292" s="819">
        <v>16595</v>
      </c>
      <c r="L292" s="822"/>
      <c r="M292" s="819">
        <v>3867</v>
      </c>
      <c r="N292" s="826"/>
      <c r="O292" s="819">
        <v>0</v>
      </c>
      <c r="P292" s="819">
        <v>113159</v>
      </c>
      <c r="Q292" s="822"/>
      <c r="R292" s="819">
        <v>88250</v>
      </c>
      <c r="S292" s="819">
        <v>-28365</v>
      </c>
      <c r="T292" s="819">
        <v>59885</v>
      </c>
      <c r="U292" s="819">
        <f t="shared" si="5"/>
        <v>734834</v>
      </c>
      <c r="V292" s="819">
        <v>92008</v>
      </c>
    </row>
    <row r="293" spans="1:22" x14ac:dyDescent="0.25">
      <c r="A293" s="820">
        <v>39400</v>
      </c>
      <c r="B293" s="810" t="s">
        <v>1068</v>
      </c>
      <c r="C293" s="821">
        <v>6.0720000000000001E-4</v>
      </c>
      <c r="D293" s="821">
        <v>6.1859999999999997E-4</v>
      </c>
      <c r="E293" s="819">
        <v>6045337</v>
      </c>
      <c r="F293" s="819">
        <f>VLOOKUP(A293,'TSERS Contributions FY 2018'!A:C,3)</f>
        <v>1056833</v>
      </c>
      <c r="G293" s="822"/>
      <c r="H293" s="819">
        <v>441193</v>
      </c>
      <c r="I293" s="819">
        <v>576122</v>
      </c>
      <c r="J293" s="819">
        <v>1213144</v>
      </c>
      <c r="K293" s="819">
        <v>18762</v>
      </c>
      <c r="L293" s="822"/>
      <c r="M293" s="819">
        <v>60669</v>
      </c>
      <c r="N293" s="826"/>
      <c r="O293" s="819">
        <v>0</v>
      </c>
      <c r="P293" s="819">
        <v>86881</v>
      </c>
      <c r="Q293" s="822"/>
      <c r="R293" s="819">
        <v>1384630</v>
      </c>
      <c r="S293" s="819">
        <v>12186</v>
      </c>
      <c r="T293" s="819">
        <v>1396816</v>
      </c>
      <c r="U293" s="819">
        <f t="shared" si="5"/>
        <v>11529483</v>
      </c>
      <c r="V293" s="819">
        <v>1443596</v>
      </c>
    </row>
    <row r="294" spans="1:22" x14ac:dyDescent="0.25">
      <c r="A294" s="820">
        <v>39401</v>
      </c>
      <c r="B294" s="810" t="s">
        <v>1069</v>
      </c>
      <c r="C294" s="821">
        <v>3.815E-4</v>
      </c>
      <c r="D294" s="821">
        <v>3.213E-4</v>
      </c>
      <c r="E294" s="819">
        <v>3798248</v>
      </c>
      <c r="F294" s="819">
        <f>VLOOKUP(A294,'TSERS Contributions FY 2018'!A:C,3)</f>
        <v>461482</v>
      </c>
      <c r="G294" s="822"/>
      <c r="H294" s="819">
        <v>277199</v>
      </c>
      <c r="I294" s="819">
        <v>361974</v>
      </c>
      <c r="J294" s="819">
        <v>762211</v>
      </c>
      <c r="K294" s="819">
        <v>437239</v>
      </c>
      <c r="L294" s="822"/>
      <c r="M294" s="819">
        <v>38118</v>
      </c>
      <c r="N294" s="826"/>
      <c r="O294" s="819">
        <v>0</v>
      </c>
      <c r="P294" s="819">
        <v>0</v>
      </c>
      <c r="Q294" s="822"/>
      <c r="R294" s="819">
        <v>869954</v>
      </c>
      <c r="S294" s="819">
        <v>269666</v>
      </c>
      <c r="T294" s="819">
        <v>1139620</v>
      </c>
      <c r="U294" s="819">
        <f t="shared" si="5"/>
        <v>7243903</v>
      </c>
      <c r="V294" s="819">
        <v>907003</v>
      </c>
    </row>
    <row r="295" spans="1:22" x14ac:dyDescent="0.25">
      <c r="A295" s="820">
        <v>39500</v>
      </c>
      <c r="B295" s="810" t="s">
        <v>1070</v>
      </c>
      <c r="C295" s="821">
        <v>1.9957E-3</v>
      </c>
      <c r="D295" s="821">
        <v>1.9737000000000001E-3</v>
      </c>
      <c r="E295" s="819">
        <v>19869367</v>
      </c>
      <c r="F295" s="819">
        <f>VLOOKUP(A295,'TSERS Contributions FY 2018'!A:C,3)</f>
        <v>3062421</v>
      </c>
      <c r="G295" s="822"/>
      <c r="H295" s="819">
        <v>1450080</v>
      </c>
      <c r="I295" s="819">
        <v>1893554</v>
      </c>
      <c r="J295" s="819">
        <v>3987271</v>
      </c>
      <c r="K295" s="819">
        <v>19547</v>
      </c>
      <c r="L295" s="822"/>
      <c r="M295" s="819">
        <v>199402</v>
      </c>
      <c r="N295" s="826"/>
      <c r="O295" s="819">
        <v>0</v>
      </c>
      <c r="P295" s="819">
        <v>85541</v>
      </c>
      <c r="Q295" s="822"/>
      <c r="R295" s="819">
        <v>4550898</v>
      </c>
      <c r="S295" s="819">
        <v>-28467</v>
      </c>
      <c r="T295" s="819">
        <v>4522431</v>
      </c>
      <c r="U295" s="819">
        <f t="shared" si="5"/>
        <v>37894250</v>
      </c>
      <c r="V295" s="819">
        <v>4744705</v>
      </c>
    </row>
    <row r="296" spans="1:22" x14ac:dyDescent="0.25">
      <c r="A296" s="820">
        <v>39501</v>
      </c>
      <c r="B296" s="810" t="s">
        <v>1071</v>
      </c>
      <c r="C296" s="821">
        <v>5.7800000000000002E-5</v>
      </c>
      <c r="D296" s="821">
        <v>6.7600000000000003E-5</v>
      </c>
      <c r="E296" s="819">
        <v>575462</v>
      </c>
      <c r="F296" s="819">
        <f>VLOOKUP(A296,'TSERS Contributions FY 2018'!A:C,3)</f>
        <v>84967</v>
      </c>
      <c r="G296" s="822"/>
      <c r="H296" s="819">
        <v>41998</v>
      </c>
      <c r="I296" s="819">
        <v>54842</v>
      </c>
      <c r="J296" s="819">
        <v>115480</v>
      </c>
      <c r="K296" s="819">
        <v>3296</v>
      </c>
      <c r="L296" s="822"/>
      <c r="M296" s="819">
        <v>5775</v>
      </c>
      <c r="N296" s="826"/>
      <c r="O296" s="819">
        <v>0</v>
      </c>
      <c r="P296" s="819">
        <v>57016</v>
      </c>
      <c r="Q296" s="822"/>
      <c r="R296" s="819">
        <v>131804</v>
      </c>
      <c r="S296" s="819">
        <v>-21656</v>
      </c>
      <c r="T296" s="819">
        <v>110148</v>
      </c>
      <c r="U296" s="819">
        <f t="shared" si="5"/>
        <v>1097503</v>
      </c>
      <c r="V296" s="819">
        <v>137417</v>
      </c>
    </row>
    <row r="297" spans="1:22" x14ac:dyDescent="0.25">
      <c r="A297" s="820">
        <v>39600</v>
      </c>
      <c r="B297" s="810" t="s">
        <v>1072</v>
      </c>
      <c r="C297" s="821">
        <v>6.5008000000000002E-3</v>
      </c>
      <c r="D297" s="821">
        <v>6.5113000000000002E-3</v>
      </c>
      <c r="E297" s="819">
        <v>64722543</v>
      </c>
      <c r="F297" s="819">
        <f>VLOOKUP(A297,'TSERS Contributions FY 2018'!A:C,3)</f>
        <v>10343838</v>
      </c>
      <c r="G297" s="822"/>
      <c r="H297" s="819">
        <v>4723494</v>
      </c>
      <c r="I297" s="819">
        <v>6168070</v>
      </c>
      <c r="J297" s="819">
        <v>12988150</v>
      </c>
      <c r="K297" s="819">
        <v>52796</v>
      </c>
      <c r="L297" s="822"/>
      <c r="M297" s="819">
        <v>649534</v>
      </c>
      <c r="N297" s="826"/>
      <c r="O297" s="819">
        <v>0</v>
      </c>
      <c r="P297" s="819">
        <v>50823</v>
      </c>
      <c r="Q297" s="822"/>
      <c r="R297" s="819">
        <v>14824112</v>
      </c>
      <c r="S297" s="819">
        <v>-240622</v>
      </c>
      <c r="T297" s="819">
        <v>14583490</v>
      </c>
      <c r="U297" s="819">
        <f t="shared" si="5"/>
        <v>123436859</v>
      </c>
      <c r="V297" s="819">
        <v>15455418</v>
      </c>
    </row>
    <row r="298" spans="1:22" x14ac:dyDescent="0.25">
      <c r="A298" s="820">
        <v>39605</v>
      </c>
      <c r="B298" s="810" t="s">
        <v>1073</v>
      </c>
      <c r="C298" s="821">
        <v>9.8069999999999993E-4</v>
      </c>
      <c r="D298" s="821">
        <v>9.6020000000000003E-4</v>
      </c>
      <c r="E298" s="819">
        <v>9763936</v>
      </c>
      <c r="F298" s="819">
        <f>VLOOKUP(A298,'TSERS Contributions FY 2018'!A:C,3)</f>
        <v>1586689</v>
      </c>
      <c r="G298" s="822"/>
      <c r="H298" s="819">
        <v>712579</v>
      </c>
      <c r="I298" s="819">
        <v>930505</v>
      </c>
      <c r="J298" s="819">
        <v>1959371</v>
      </c>
      <c r="K298" s="819">
        <v>183338</v>
      </c>
      <c r="L298" s="822"/>
      <c r="M298" s="819">
        <v>97988</v>
      </c>
      <c r="N298" s="826"/>
      <c r="O298" s="819">
        <v>0</v>
      </c>
      <c r="P298" s="819">
        <v>5321</v>
      </c>
      <c r="Q298" s="822"/>
      <c r="R298" s="819">
        <v>2236341</v>
      </c>
      <c r="S298" s="819">
        <v>128288</v>
      </c>
      <c r="T298" s="819">
        <v>2364629</v>
      </c>
      <c r="U298" s="819">
        <f t="shared" si="5"/>
        <v>18621482</v>
      </c>
      <c r="V298" s="819">
        <v>2331579</v>
      </c>
    </row>
    <row r="299" spans="1:22" x14ac:dyDescent="0.25">
      <c r="A299" s="820">
        <v>39700</v>
      </c>
      <c r="B299" s="810" t="s">
        <v>1074</v>
      </c>
      <c r="C299" s="821">
        <v>3.6202000000000001E-3</v>
      </c>
      <c r="D299" s="821">
        <v>3.7607000000000001E-3</v>
      </c>
      <c r="E299" s="819">
        <v>36043033</v>
      </c>
      <c r="F299" s="819">
        <f>VLOOKUP(A299,'TSERS Contributions FY 2018'!A:C,3)</f>
        <v>5593226</v>
      </c>
      <c r="G299" s="822"/>
      <c r="H299" s="819">
        <v>2630445</v>
      </c>
      <c r="I299" s="819">
        <v>3434907</v>
      </c>
      <c r="J299" s="819">
        <v>7232910</v>
      </c>
      <c r="K299" s="819">
        <v>62766</v>
      </c>
      <c r="L299" s="822"/>
      <c r="M299" s="819">
        <v>361716</v>
      </c>
      <c r="N299" s="826"/>
      <c r="O299" s="819">
        <v>0</v>
      </c>
      <c r="P299" s="819">
        <v>1343099</v>
      </c>
      <c r="Q299" s="822"/>
      <c r="R299" s="819">
        <v>8255330</v>
      </c>
      <c r="S299" s="819">
        <v>-552147</v>
      </c>
      <c r="T299" s="819">
        <v>7703183</v>
      </c>
      <c r="U299" s="819">
        <f t="shared" si="5"/>
        <v>68740173</v>
      </c>
      <c r="V299" s="819">
        <v>8606895</v>
      </c>
    </row>
    <row r="300" spans="1:22" x14ac:dyDescent="0.25">
      <c r="A300" s="820">
        <v>39703</v>
      </c>
      <c r="B300" s="810" t="s">
        <v>1075</v>
      </c>
      <c r="C300" s="821">
        <v>2.2279999999999999E-4</v>
      </c>
      <c r="D300" s="821">
        <v>1.5559999999999999E-4</v>
      </c>
      <c r="E300" s="819">
        <v>2218217</v>
      </c>
      <c r="F300" s="819">
        <f>VLOOKUP(A300,'TSERS Contributions FY 2018'!A:C,3)</f>
        <v>283112</v>
      </c>
      <c r="G300" s="822"/>
      <c r="H300" s="819">
        <v>161887</v>
      </c>
      <c r="I300" s="819">
        <v>211396</v>
      </c>
      <c r="J300" s="819">
        <v>445139</v>
      </c>
      <c r="K300" s="819">
        <v>351515</v>
      </c>
      <c r="L300" s="822"/>
      <c r="M300" s="819">
        <v>22261</v>
      </c>
      <c r="N300" s="826"/>
      <c r="O300" s="819">
        <v>0</v>
      </c>
      <c r="P300" s="819">
        <v>0</v>
      </c>
      <c r="Q300" s="822"/>
      <c r="R300" s="819">
        <v>508062</v>
      </c>
      <c r="S300" s="819">
        <v>222233</v>
      </c>
      <c r="T300" s="819">
        <v>730295</v>
      </c>
      <c r="U300" s="819">
        <f t="shared" si="5"/>
        <v>4230515</v>
      </c>
      <c r="V300" s="819">
        <v>529699</v>
      </c>
    </row>
    <row r="301" spans="1:22" x14ac:dyDescent="0.25">
      <c r="A301" s="820">
        <v>39705</v>
      </c>
      <c r="B301" s="810" t="s">
        <v>1076</v>
      </c>
      <c r="C301" s="821">
        <v>8.8020000000000004E-4</v>
      </c>
      <c r="D301" s="821">
        <v>9.0359999999999995E-4</v>
      </c>
      <c r="E301" s="819">
        <v>8763350</v>
      </c>
      <c r="F301" s="819">
        <f>VLOOKUP(A301,'TSERS Contributions FY 2018'!A:C,3)</f>
        <v>1465172</v>
      </c>
      <c r="G301" s="822"/>
      <c r="H301" s="819">
        <v>639555</v>
      </c>
      <c r="I301" s="819">
        <v>835149</v>
      </c>
      <c r="J301" s="819">
        <v>1758579</v>
      </c>
      <c r="K301" s="819">
        <v>49409</v>
      </c>
      <c r="L301" s="822"/>
      <c r="M301" s="819">
        <v>87946</v>
      </c>
      <c r="N301" s="826"/>
      <c r="O301" s="819">
        <v>0</v>
      </c>
      <c r="P301" s="819">
        <v>52279</v>
      </c>
      <c r="Q301" s="822"/>
      <c r="R301" s="819">
        <v>2007166</v>
      </c>
      <c r="S301" s="819">
        <v>81745</v>
      </c>
      <c r="T301" s="819">
        <v>2088911</v>
      </c>
      <c r="U301" s="819">
        <f t="shared" si="5"/>
        <v>16713193</v>
      </c>
      <c r="V301" s="819">
        <v>2092644</v>
      </c>
    </row>
    <row r="302" spans="1:22" x14ac:dyDescent="0.25">
      <c r="A302" s="820">
        <v>39800</v>
      </c>
      <c r="B302" s="810" t="s">
        <v>1077</v>
      </c>
      <c r="C302" s="821">
        <v>4.2485999999999999E-3</v>
      </c>
      <c r="D302" s="821">
        <v>4.2407E-3</v>
      </c>
      <c r="E302" s="819">
        <v>42299440</v>
      </c>
      <c r="F302" s="819">
        <f>VLOOKUP(A302,'TSERS Contributions FY 2018'!A:C,3)</f>
        <v>6673987</v>
      </c>
      <c r="G302" s="822"/>
      <c r="H302" s="819">
        <v>3087041</v>
      </c>
      <c r="I302" s="819">
        <v>4031144</v>
      </c>
      <c r="J302" s="819">
        <v>8488410</v>
      </c>
      <c r="K302" s="819">
        <v>0</v>
      </c>
      <c r="L302" s="822"/>
      <c r="M302" s="819">
        <v>424503</v>
      </c>
      <c r="N302" s="826"/>
      <c r="O302" s="819">
        <v>0</v>
      </c>
      <c r="P302" s="819">
        <v>379246</v>
      </c>
      <c r="Q302" s="822"/>
      <c r="R302" s="819">
        <v>9688304</v>
      </c>
      <c r="S302" s="819">
        <v>-420397</v>
      </c>
      <c r="T302" s="819">
        <v>9267907</v>
      </c>
      <c r="U302" s="819">
        <f t="shared" si="5"/>
        <v>80672200</v>
      </c>
      <c r="V302" s="819">
        <v>10100894</v>
      </c>
    </row>
    <row r="303" spans="1:22" x14ac:dyDescent="0.25">
      <c r="A303" s="820">
        <v>39805</v>
      </c>
      <c r="B303" s="810" t="s">
        <v>1078</v>
      </c>
      <c r="C303" s="821">
        <v>4.7249999999999999E-4</v>
      </c>
      <c r="D303" s="821">
        <v>5.0589999999999999E-4</v>
      </c>
      <c r="E303" s="819">
        <v>4704252</v>
      </c>
      <c r="F303" s="819">
        <f>VLOOKUP(A303,'TSERS Contributions FY 2018'!A:C,3)</f>
        <v>823104</v>
      </c>
      <c r="G303" s="822"/>
      <c r="H303" s="819">
        <v>343319</v>
      </c>
      <c r="I303" s="819">
        <v>448316</v>
      </c>
      <c r="J303" s="819">
        <v>944022</v>
      </c>
      <c r="K303" s="819">
        <v>86735</v>
      </c>
      <c r="L303" s="822"/>
      <c r="M303" s="819">
        <v>47210</v>
      </c>
      <c r="N303" s="826"/>
      <c r="O303" s="819">
        <v>0</v>
      </c>
      <c r="P303" s="819">
        <v>89627</v>
      </c>
      <c r="Q303" s="822"/>
      <c r="R303" s="819">
        <v>1077466</v>
      </c>
      <c r="S303" s="819">
        <v>6607</v>
      </c>
      <c r="T303" s="819">
        <v>1084073</v>
      </c>
      <c r="U303" s="819">
        <f t="shared" si="5"/>
        <v>8971806</v>
      </c>
      <c r="V303" s="819">
        <v>1123352</v>
      </c>
    </row>
    <row r="304" spans="1:22" x14ac:dyDescent="0.25">
      <c r="A304" s="820">
        <v>39900</v>
      </c>
      <c r="B304" s="810" t="s">
        <v>1079</v>
      </c>
      <c r="C304" s="821">
        <v>2.0730000000000002E-3</v>
      </c>
      <c r="D304" s="821">
        <v>2.1381E-3</v>
      </c>
      <c r="E304" s="819">
        <v>20638972</v>
      </c>
      <c r="F304" s="819">
        <f>VLOOKUP(A304,'TSERS Contributions FY 2018'!A:C,3)</f>
        <v>3302005</v>
      </c>
      <c r="G304" s="822"/>
      <c r="H304" s="819">
        <v>1506246</v>
      </c>
      <c r="I304" s="819">
        <v>1966898</v>
      </c>
      <c r="J304" s="819">
        <v>4141711</v>
      </c>
      <c r="K304" s="819">
        <v>23838</v>
      </c>
      <c r="L304" s="822"/>
      <c r="M304" s="819">
        <v>207126</v>
      </c>
      <c r="N304" s="826"/>
      <c r="O304" s="819">
        <v>0</v>
      </c>
      <c r="P304" s="819">
        <v>321137</v>
      </c>
      <c r="Q304" s="822"/>
      <c r="R304" s="819">
        <v>4727170</v>
      </c>
      <c r="S304" s="819">
        <v>-176741</v>
      </c>
      <c r="T304" s="819">
        <v>4550429</v>
      </c>
      <c r="U304" s="819">
        <f t="shared" si="5"/>
        <v>39362018</v>
      </c>
      <c r="V304" s="819">
        <v>4928483</v>
      </c>
    </row>
    <row r="305" spans="1:22" x14ac:dyDescent="0.25">
      <c r="A305" s="820">
        <v>51000</v>
      </c>
      <c r="B305" s="810" t="s">
        <v>1169</v>
      </c>
      <c r="C305" s="821">
        <v>2.93187E-2</v>
      </c>
      <c r="D305" s="821">
        <v>3.04433E-2</v>
      </c>
      <c r="E305" s="819">
        <v>291899587</v>
      </c>
      <c r="F305" s="819">
        <f>VLOOKUP(A305,'TSERS Contributions FY 2018'!A:C,3)</f>
        <v>53931642</v>
      </c>
      <c r="G305" s="822"/>
      <c r="H305" s="819">
        <v>21303026</v>
      </c>
      <c r="I305" s="819">
        <v>27818081</v>
      </c>
      <c r="J305" s="819">
        <v>58576740</v>
      </c>
      <c r="K305" s="819">
        <v>630444</v>
      </c>
      <c r="L305" s="822"/>
      <c r="M305" s="819">
        <v>2929407</v>
      </c>
      <c r="N305" s="826"/>
      <c r="O305" s="819">
        <v>0</v>
      </c>
      <c r="P305" s="819">
        <v>5514845</v>
      </c>
      <c r="Q305" s="822"/>
      <c r="R305" s="819">
        <v>66856956</v>
      </c>
      <c r="S305" s="819">
        <v>-1963979</v>
      </c>
      <c r="T305" s="819">
        <v>64892977</v>
      </c>
      <c r="U305" s="819">
        <f t="shared" si="5"/>
        <v>556701980</v>
      </c>
      <c r="V305" s="819">
        <v>69704154</v>
      </c>
    </row>
    <row r="306" spans="1:22" x14ac:dyDescent="0.25">
      <c r="A306" s="820">
        <v>51000.2</v>
      </c>
      <c r="B306" s="810" t="s">
        <v>1170</v>
      </c>
      <c r="C306" s="821">
        <v>2.87E-5</v>
      </c>
      <c r="D306" s="821">
        <v>1.95E-5</v>
      </c>
      <c r="E306" s="819">
        <v>285740</v>
      </c>
      <c r="F306" s="819">
        <f>VLOOKUP(A306,'TSERS Contributions FY 2018'!A:C,3)</f>
        <v>69011</v>
      </c>
      <c r="G306" s="822"/>
      <c r="H306" s="819">
        <v>20853</v>
      </c>
      <c r="I306" s="819">
        <v>27231</v>
      </c>
      <c r="J306" s="819">
        <v>57341</v>
      </c>
      <c r="K306" s="819">
        <v>56774</v>
      </c>
      <c r="L306" s="822"/>
      <c r="M306" s="819">
        <v>2868</v>
      </c>
      <c r="N306" s="826"/>
      <c r="O306" s="819">
        <v>0</v>
      </c>
      <c r="P306" s="819">
        <v>21629</v>
      </c>
      <c r="Q306" s="822"/>
      <c r="R306" s="819">
        <v>65446</v>
      </c>
      <c r="S306" s="819">
        <v>5467</v>
      </c>
      <c r="T306" s="819">
        <v>70913</v>
      </c>
      <c r="U306" s="819">
        <f t="shared" si="5"/>
        <v>544954</v>
      </c>
      <c r="V306" s="819">
        <v>68233</v>
      </c>
    </row>
    <row r="307" spans="1:22" x14ac:dyDescent="0.25">
      <c r="A307" s="820">
        <v>51000.3</v>
      </c>
      <c r="B307" s="810" t="s">
        <v>1171</v>
      </c>
      <c r="C307" s="821">
        <v>8.0150000000000002E-4</v>
      </c>
      <c r="D307" s="821">
        <v>7.3510000000000003E-4</v>
      </c>
      <c r="E307" s="819">
        <v>7979805</v>
      </c>
      <c r="F307" s="819">
        <f>VLOOKUP(A307,'TSERS Contributions FY 2018'!A:C,3)</f>
        <v>1356638</v>
      </c>
      <c r="G307" s="822"/>
      <c r="H307" s="819">
        <v>582372</v>
      </c>
      <c r="I307" s="819">
        <v>760477</v>
      </c>
      <c r="J307" s="819">
        <v>1601342</v>
      </c>
      <c r="K307" s="819">
        <v>343849</v>
      </c>
      <c r="L307" s="822"/>
      <c r="M307" s="819">
        <v>80083</v>
      </c>
      <c r="N307" s="826"/>
      <c r="O307" s="819">
        <v>0</v>
      </c>
      <c r="P307" s="819">
        <v>38615</v>
      </c>
      <c r="Q307" s="822"/>
      <c r="R307" s="819">
        <v>1827702</v>
      </c>
      <c r="S307" s="819">
        <v>112441</v>
      </c>
      <c r="T307" s="819">
        <v>1940143</v>
      </c>
      <c r="U307" s="819">
        <f t="shared" si="5"/>
        <v>15218841</v>
      </c>
      <c r="V307" s="819">
        <v>1905537</v>
      </c>
    </row>
    <row r="308" spans="1:22" x14ac:dyDescent="0.25">
      <c r="A308" s="829" t="s">
        <v>1525</v>
      </c>
      <c r="B308" s="830" t="s">
        <v>1163</v>
      </c>
      <c r="C308" s="831">
        <v>4.0899999999999998E-5</v>
      </c>
      <c r="D308" s="831">
        <v>3.4900000000000001E-5</v>
      </c>
      <c r="E308" s="822">
        <v>407204</v>
      </c>
      <c r="F308" s="853">
        <v>52864</v>
      </c>
      <c r="G308" s="822"/>
      <c r="H308" s="832">
        <v>29718</v>
      </c>
      <c r="I308" s="832">
        <v>38807</v>
      </c>
      <c r="J308" s="832">
        <v>81715</v>
      </c>
      <c r="K308" s="822">
        <v>19815</v>
      </c>
      <c r="L308" s="822"/>
      <c r="M308" s="832">
        <v>4087</v>
      </c>
      <c r="N308" s="832">
        <v>0</v>
      </c>
      <c r="O308" s="832">
        <v>0</v>
      </c>
      <c r="P308" s="822">
        <v>18954</v>
      </c>
      <c r="Q308" s="822"/>
      <c r="R308" s="832">
        <v>93266</v>
      </c>
      <c r="S308" s="833">
        <v>5412</v>
      </c>
      <c r="T308" s="833">
        <v>98678</v>
      </c>
      <c r="U308" s="833">
        <v>776607</v>
      </c>
      <c r="V308" s="833">
        <v>97238</v>
      </c>
    </row>
    <row r="309" spans="1:22" x14ac:dyDescent="0.25">
      <c r="C309" s="834">
        <f>SUM(C5:C23)+SUM(C26:C307)</f>
        <v>1</v>
      </c>
      <c r="D309" s="834">
        <f t="shared" ref="D309:V309" si="6">SUM(D5:D23)+SUM(D26:D307)</f>
        <v>1</v>
      </c>
      <c r="E309" s="822">
        <f t="shared" si="6"/>
        <v>9956088997</v>
      </c>
      <c r="F309" s="822">
        <f>SUM(F5:F307)</f>
        <v>1592389727</v>
      </c>
      <c r="G309" s="822"/>
      <c r="H309" s="822">
        <f t="shared" si="6"/>
        <v>726602001</v>
      </c>
      <c r="I309" s="822">
        <f t="shared" si="6"/>
        <v>948817000</v>
      </c>
      <c r="J309" s="822">
        <f t="shared" si="6"/>
        <v>1997931003</v>
      </c>
      <c r="K309" s="822">
        <f t="shared" si="6"/>
        <v>111458981</v>
      </c>
      <c r="L309" s="822"/>
      <c r="M309" s="822">
        <f t="shared" si="6"/>
        <v>99915995</v>
      </c>
      <c r="N309" s="822">
        <v>0</v>
      </c>
      <c r="O309" s="822">
        <v>0</v>
      </c>
      <c r="P309" s="822">
        <f t="shared" si="6"/>
        <v>111458461</v>
      </c>
      <c r="Q309" s="822"/>
      <c r="R309" s="822">
        <f t="shared" si="6"/>
        <v>2280352001</v>
      </c>
      <c r="S309" s="822">
        <f t="shared" si="6"/>
        <v>-425</v>
      </c>
      <c r="T309" s="822">
        <f t="shared" si="6"/>
        <v>2280351576</v>
      </c>
      <c r="U309" s="822">
        <f t="shared" si="6"/>
        <v>18987949003</v>
      </c>
      <c r="V309" s="822">
        <f t="shared" si="6"/>
        <v>2377463993</v>
      </c>
    </row>
    <row r="310" spans="1:22" x14ac:dyDescent="0.25">
      <c r="C310" s="834"/>
      <c r="D310" s="834"/>
      <c r="E310" s="822"/>
      <c r="F310" s="822"/>
      <c r="G310" s="822"/>
      <c r="H310" s="822"/>
      <c r="I310" s="822"/>
      <c r="J310" s="822"/>
      <c r="K310" s="822"/>
      <c r="L310" s="822"/>
      <c r="M310" s="822"/>
      <c r="N310" s="822"/>
      <c r="O310" s="822"/>
      <c r="P310" s="822"/>
      <c r="Q310" s="822"/>
      <c r="R310" s="822"/>
      <c r="S310" s="822"/>
      <c r="T310" s="822"/>
      <c r="U310" s="822"/>
      <c r="V310" s="822"/>
    </row>
    <row r="311" spans="1:22" x14ac:dyDescent="0.25">
      <c r="A311" s="835" t="s">
        <v>1691</v>
      </c>
      <c r="B311" s="836"/>
      <c r="C311" s="837"/>
      <c r="D311" s="838"/>
      <c r="E311" s="839"/>
      <c r="F311" s="839"/>
      <c r="G311" s="840"/>
      <c r="H311" s="839"/>
      <c r="I311" s="839"/>
      <c r="J311" s="839"/>
      <c r="K311" s="839"/>
      <c r="L311" s="840"/>
      <c r="M311" s="839"/>
      <c r="N311" s="839"/>
      <c r="O311" s="839"/>
      <c r="P311" s="839"/>
      <c r="Q311" s="840"/>
      <c r="R311" s="839"/>
      <c r="S311" s="839"/>
      <c r="T311" s="839"/>
    </row>
    <row r="312" spans="1:22" x14ac:dyDescent="0.25">
      <c r="B312" s="815" t="s">
        <v>1543</v>
      </c>
      <c r="C312" s="814" t="s">
        <v>533</v>
      </c>
      <c r="E312" s="833"/>
      <c r="F312" s="833"/>
      <c r="H312" s="833"/>
      <c r="I312" s="833"/>
      <c r="J312" s="833"/>
      <c r="K312" s="833"/>
      <c r="L312" s="833"/>
      <c r="M312" s="833"/>
      <c r="N312" s="833"/>
      <c r="O312" s="833"/>
      <c r="P312" s="833"/>
      <c r="R312" s="833"/>
      <c r="T312" s="833"/>
    </row>
    <row r="313" spans="1:22" x14ac:dyDescent="0.25">
      <c r="B313" s="810" t="s">
        <v>927</v>
      </c>
      <c r="C313" s="820">
        <v>33501</v>
      </c>
      <c r="E313" s="833"/>
      <c r="F313" s="833"/>
    </row>
    <row r="314" spans="1:22" x14ac:dyDescent="0.25">
      <c r="B314" s="810" t="s">
        <v>990</v>
      </c>
      <c r="C314" s="820">
        <v>36301</v>
      </c>
    </row>
    <row r="315" spans="1:22" x14ac:dyDescent="0.25">
      <c r="B315" s="810" t="s">
        <v>795</v>
      </c>
      <c r="C315" s="820">
        <v>10800</v>
      </c>
    </row>
    <row r="316" spans="1:22" x14ac:dyDescent="0.25">
      <c r="B316" s="810" t="s">
        <v>851</v>
      </c>
      <c r="C316" s="820">
        <v>30105</v>
      </c>
    </row>
    <row r="317" spans="1:22" x14ac:dyDescent="0.25">
      <c r="B317" s="810" t="s">
        <v>847</v>
      </c>
      <c r="C317" s="820">
        <v>30100</v>
      </c>
    </row>
    <row r="318" spans="1:22" x14ac:dyDescent="0.25">
      <c r="B318" s="810" t="s">
        <v>852</v>
      </c>
      <c r="C318" s="820">
        <v>30200</v>
      </c>
    </row>
    <row r="319" spans="1:22" x14ac:dyDescent="0.25">
      <c r="B319" s="810" t="s">
        <v>853</v>
      </c>
      <c r="C319" s="820">
        <v>30300</v>
      </c>
    </row>
    <row r="320" spans="1:22" x14ac:dyDescent="0.25">
      <c r="B320" s="810" t="s">
        <v>1552</v>
      </c>
      <c r="C320" s="820">
        <v>34901</v>
      </c>
    </row>
    <row r="321" spans="2:3" x14ac:dyDescent="0.25">
      <c r="B321" s="810" t="s">
        <v>854</v>
      </c>
      <c r="C321" s="820">
        <v>30400</v>
      </c>
    </row>
    <row r="322" spans="2:3" x14ac:dyDescent="0.25">
      <c r="B322" s="810" t="s">
        <v>826</v>
      </c>
      <c r="C322" s="820">
        <v>20100</v>
      </c>
    </row>
    <row r="323" spans="2:3" x14ac:dyDescent="0.25">
      <c r="B323" s="810" t="s">
        <v>1009</v>
      </c>
      <c r="C323" s="820">
        <v>36901</v>
      </c>
    </row>
    <row r="324" spans="2:3" x14ac:dyDescent="0.25">
      <c r="B324" s="810" t="s">
        <v>923</v>
      </c>
      <c r="C324" s="820">
        <v>33402</v>
      </c>
    </row>
    <row r="325" spans="2:3" x14ac:dyDescent="0.25">
      <c r="B325" s="810" t="s">
        <v>856</v>
      </c>
      <c r="C325" s="820">
        <v>30500</v>
      </c>
    </row>
    <row r="326" spans="2:3" x14ac:dyDescent="0.25">
      <c r="B326" s="810" t="s">
        <v>1024</v>
      </c>
      <c r="C326" s="820">
        <v>37610</v>
      </c>
    </row>
    <row r="327" spans="2:3" x14ac:dyDescent="0.25">
      <c r="B327" s="810" t="s">
        <v>870</v>
      </c>
      <c r="C327" s="820">
        <v>31110</v>
      </c>
    </row>
    <row r="328" spans="2:3" x14ac:dyDescent="0.25">
      <c r="B328" s="810" t="s">
        <v>869</v>
      </c>
      <c r="C328" s="820">
        <v>31105</v>
      </c>
    </row>
    <row r="329" spans="2:3" x14ac:dyDescent="0.25">
      <c r="B329" s="810" t="s">
        <v>857</v>
      </c>
      <c r="C329" s="820">
        <v>30600</v>
      </c>
    </row>
    <row r="330" spans="2:3" x14ac:dyDescent="0.25">
      <c r="B330" s="810" t="s">
        <v>818</v>
      </c>
      <c r="C330" s="820">
        <v>18600</v>
      </c>
    </row>
    <row r="331" spans="2:3" x14ac:dyDescent="0.25">
      <c r="B331" s="810" t="s">
        <v>919</v>
      </c>
      <c r="C331" s="820">
        <v>33206</v>
      </c>
    </row>
    <row r="332" spans="2:3" x14ac:dyDescent="0.25">
      <c r="B332" s="810" t="s">
        <v>860</v>
      </c>
      <c r="C332" s="820">
        <v>30705</v>
      </c>
    </row>
    <row r="333" spans="2:3" x14ac:dyDescent="0.25">
      <c r="B333" s="810" t="s">
        <v>859</v>
      </c>
      <c r="C333" s="820">
        <v>30700</v>
      </c>
    </row>
    <row r="334" spans="2:3" x14ac:dyDescent="0.25">
      <c r="B334" s="810" t="s">
        <v>861</v>
      </c>
      <c r="C334" s="820">
        <v>30800</v>
      </c>
    </row>
    <row r="335" spans="2:3" x14ac:dyDescent="0.25">
      <c r="B335" s="810" t="s">
        <v>1031</v>
      </c>
      <c r="C335" s="820">
        <v>37901</v>
      </c>
    </row>
    <row r="336" spans="2:3" x14ac:dyDescent="0.25">
      <c r="B336" s="810" t="s">
        <v>863</v>
      </c>
      <c r="C336" s="820">
        <v>30905</v>
      </c>
    </row>
    <row r="337" spans="2:3" x14ac:dyDescent="0.25">
      <c r="B337" s="810" t="s">
        <v>862</v>
      </c>
      <c r="C337" s="820">
        <v>30900</v>
      </c>
    </row>
    <row r="338" spans="2:3" x14ac:dyDescent="0.25">
      <c r="B338" s="810" t="s">
        <v>945</v>
      </c>
      <c r="C338" s="820">
        <v>34505</v>
      </c>
    </row>
    <row r="339" spans="2:3" x14ac:dyDescent="0.25">
      <c r="B339" s="810" t="s">
        <v>1054</v>
      </c>
      <c r="C339" s="820">
        <v>38801</v>
      </c>
    </row>
    <row r="340" spans="2:3" x14ac:dyDescent="0.25">
      <c r="B340" s="810" t="s">
        <v>1046</v>
      </c>
      <c r="C340" s="820">
        <v>38601</v>
      </c>
    </row>
    <row r="341" spans="2:3" x14ac:dyDescent="0.25">
      <c r="B341" s="810" t="s">
        <v>865</v>
      </c>
      <c r="C341" s="820">
        <v>31005</v>
      </c>
    </row>
    <row r="342" spans="2:3" x14ac:dyDescent="0.25">
      <c r="B342" s="810" t="s">
        <v>864</v>
      </c>
      <c r="C342" s="820">
        <v>31000</v>
      </c>
    </row>
    <row r="343" spans="2:3" x14ac:dyDescent="0.25">
      <c r="B343" s="810" t="s">
        <v>866</v>
      </c>
      <c r="C343" s="820">
        <v>31100</v>
      </c>
    </row>
    <row r="344" spans="2:3" x14ac:dyDescent="0.25">
      <c r="B344" s="810" t="s">
        <v>871</v>
      </c>
      <c r="C344" s="820">
        <v>31200</v>
      </c>
    </row>
    <row r="345" spans="2:3" x14ac:dyDescent="0.25">
      <c r="B345" s="810" t="s">
        <v>873</v>
      </c>
      <c r="C345" s="820">
        <v>31300</v>
      </c>
    </row>
    <row r="346" spans="2:3" x14ac:dyDescent="0.25">
      <c r="B346" s="810" t="s">
        <v>877</v>
      </c>
      <c r="C346" s="820">
        <v>31405</v>
      </c>
    </row>
    <row r="347" spans="2:3" x14ac:dyDescent="0.25">
      <c r="B347" s="810" t="s">
        <v>876</v>
      </c>
      <c r="C347" s="820">
        <v>31400</v>
      </c>
    </row>
    <row r="348" spans="2:3" x14ac:dyDescent="0.25">
      <c r="B348" s="810" t="s">
        <v>878</v>
      </c>
      <c r="C348" s="820">
        <v>31500</v>
      </c>
    </row>
    <row r="349" spans="2:3" x14ac:dyDescent="0.25">
      <c r="B349" s="810" t="s">
        <v>998</v>
      </c>
      <c r="C349" s="820">
        <v>36505</v>
      </c>
    </row>
    <row r="350" spans="2:3" x14ac:dyDescent="0.25">
      <c r="B350" s="810" t="s">
        <v>996</v>
      </c>
      <c r="C350" s="820">
        <v>36501</v>
      </c>
    </row>
    <row r="351" spans="2:3" x14ac:dyDescent="0.25">
      <c r="B351" s="810" t="s">
        <v>1683</v>
      </c>
      <c r="C351" s="820">
        <v>31601</v>
      </c>
    </row>
    <row r="352" spans="2:3" x14ac:dyDescent="0.25">
      <c r="B352" s="810" t="s">
        <v>874</v>
      </c>
      <c r="C352" s="820">
        <v>31301</v>
      </c>
    </row>
    <row r="353" spans="2:3" x14ac:dyDescent="0.25">
      <c r="B353" s="810" t="s">
        <v>881</v>
      </c>
      <c r="C353" s="820">
        <v>31605</v>
      </c>
    </row>
    <row r="354" spans="2:3" x14ac:dyDescent="0.25">
      <c r="B354" s="810" t="s">
        <v>879</v>
      </c>
      <c r="C354" s="820">
        <v>31600</v>
      </c>
    </row>
    <row r="355" spans="2:3" x14ac:dyDescent="0.25">
      <c r="B355" s="810" t="s">
        <v>1065</v>
      </c>
      <c r="C355" s="820">
        <v>39209</v>
      </c>
    </row>
    <row r="356" spans="2:3" x14ac:dyDescent="0.25">
      <c r="B356" s="810" t="s">
        <v>882</v>
      </c>
      <c r="C356" s="820">
        <v>31700</v>
      </c>
    </row>
    <row r="357" spans="2:3" x14ac:dyDescent="0.25">
      <c r="B357" s="810" t="s">
        <v>883</v>
      </c>
      <c r="C357" s="820">
        <v>31800</v>
      </c>
    </row>
    <row r="358" spans="2:3" x14ac:dyDescent="0.25">
      <c r="B358" s="810" t="s">
        <v>884</v>
      </c>
      <c r="C358" s="820">
        <v>31805</v>
      </c>
    </row>
    <row r="359" spans="2:3" x14ac:dyDescent="0.25">
      <c r="B359" s="810" t="s">
        <v>962</v>
      </c>
      <c r="C359" s="820">
        <v>35305</v>
      </c>
    </row>
    <row r="360" spans="2:3" x14ac:dyDescent="0.25">
      <c r="B360" s="810" t="s">
        <v>915</v>
      </c>
      <c r="C360" s="820">
        <v>33202</v>
      </c>
    </row>
    <row r="361" spans="2:3" x14ac:dyDescent="0.25">
      <c r="B361" s="810" t="s">
        <v>979</v>
      </c>
      <c r="C361" s="820">
        <v>36005</v>
      </c>
    </row>
    <row r="362" spans="2:3" x14ac:dyDescent="0.25">
      <c r="B362" s="810" t="s">
        <v>1557</v>
      </c>
      <c r="C362" s="820">
        <v>36810</v>
      </c>
    </row>
    <row r="363" spans="2:3" x14ac:dyDescent="0.25">
      <c r="B363" s="810" t="s">
        <v>983</v>
      </c>
      <c r="C363" s="820">
        <v>36009</v>
      </c>
    </row>
    <row r="364" spans="2:3" x14ac:dyDescent="0.25">
      <c r="B364" s="810" t="s">
        <v>974</v>
      </c>
      <c r="C364" s="820">
        <v>36000</v>
      </c>
    </row>
    <row r="365" spans="2:3" x14ac:dyDescent="0.25">
      <c r="B365" s="810" t="s">
        <v>887</v>
      </c>
      <c r="C365" s="820">
        <v>31900</v>
      </c>
    </row>
    <row r="366" spans="2:3" x14ac:dyDescent="0.25">
      <c r="B366" s="810" t="s">
        <v>888</v>
      </c>
      <c r="C366" s="820">
        <v>32000</v>
      </c>
    </row>
    <row r="367" spans="2:3" x14ac:dyDescent="0.25">
      <c r="B367" s="810" t="s">
        <v>964</v>
      </c>
      <c r="C367" s="820">
        <v>35401</v>
      </c>
    </row>
    <row r="368" spans="2:3" x14ac:dyDescent="0.25">
      <c r="B368" s="810" t="s">
        <v>891</v>
      </c>
      <c r="C368" s="820">
        <v>32200</v>
      </c>
    </row>
    <row r="369" spans="2:3" x14ac:dyDescent="0.25">
      <c r="B369" s="810" t="s">
        <v>1548</v>
      </c>
      <c r="C369" s="820">
        <v>32305</v>
      </c>
    </row>
    <row r="370" spans="2:3" x14ac:dyDescent="0.25">
      <c r="B370" s="810" t="s">
        <v>892</v>
      </c>
      <c r="C370" s="820">
        <v>32300</v>
      </c>
    </row>
    <row r="371" spans="2:3" x14ac:dyDescent="0.25">
      <c r="B371" s="810" t="s">
        <v>1039</v>
      </c>
      <c r="C371" s="820">
        <v>38210</v>
      </c>
    </row>
    <row r="372" spans="2:3" x14ac:dyDescent="0.25">
      <c r="B372" s="810" t="s">
        <v>848</v>
      </c>
      <c r="C372" s="820">
        <v>30102</v>
      </c>
    </row>
    <row r="373" spans="2:3" x14ac:dyDescent="0.25">
      <c r="B373" s="810" t="s">
        <v>1003</v>
      </c>
      <c r="C373" s="820">
        <v>36705</v>
      </c>
    </row>
    <row r="374" spans="2:3" x14ac:dyDescent="0.25">
      <c r="B374" s="810" t="s">
        <v>1012</v>
      </c>
      <c r="C374" s="820">
        <v>37005</v>
      </c>
    </row>
    <row r="375" spans="2:3" x14ac:dyDescent="0.25">
      <c r="B375" s="810" t="s">
        <v>894</v>
      </c>
      <c r="C375" s="820">
        <v>32400</v>
      </c>
    </row>
    <row r="376" spans="2:3" x14ac:dyDescent="0.25">
      <c r="B376" s="810" t="s">
        <v>975</v>
      </c>
      <c r="C376" s="820">
        <v>36001</v>
      </c>
    </row>
    <row r="377" spans="2:3" x14ac:dyDescent="0.25">
      <c r="B377" s="810" t="s">
        <v>824</v>
      </c>
      <c r="C377" s="820">
        <v>19005</v>
      </c>
    </row>
    <row r="378" spans="2:3" x14ac:dyDescent="0.25">
      <c r="B378" s="810" t="s">
        <v>977</v>
      </c>
      <c r="C378" s="820">
        <v>36003</v>
      </c>
    </row>
    <row r="379" spans="2:3" x14ac:dyDescent="0.25">
      <c r="B379" s="810" t="s">
        <v>911</v>
      </c>
      <c r="C379" s="820">
        <v>33027</v>
      </c>
    </row>
    <row r="380" spans="2:3" x14ac:dyDescent="0.25">
      <c r="B380" s="810" t="s">
        <v>1554</v>
      </c>
      <c r="C380" s="820">
        <v>36004</v>
      </c>
    </row>
    <row r="381" spans="2:3" x14ac:dyDescent="0.25">
      <c r="B381" s="810" t="s">
        <v>899</v>
      </c>
      <c r="C381" s="820">
        <v>32505</v>
      </c>
    </row>
    <row r="382" spans="2:3" x14ac:dyDescent="0.25">
      <c r="B382" s="810" t="s">
        <v>900</v>
      </c>
      <c r="C382" s="820">
        <v>32600</v>
      </c>
    </row>
    <row r="383" spans="2:3" x14ac:dyDescent="0.25">
      <c r="B383" s="810" t="s">
        <v>902</v>
      </c>
      <c r="C383" s="820">
        <v>32700</v>
      </c>
    </row>
    <row r="384" spans="2:3" x14ac:dyDescent="0.25">
      <c r="B384" s="810" t="s">
        <v>903</v>
      </c>
      <c r="C384" s="820">
        <v>32800</v>
      </c>
    </row>
    <row r="385" spans="2:3" x14ac:dyDescent="0.25">
      <c r="B385" s="810" t="s">
        <v>906</v>
      </c>
      <c r="C385" s="820">
        <v>32905</v>
      </c>
    </row>
    <row r="386" spans="2:3" x14ac:dyDescent="0.25">
      <c r="B386" s="810" t="s">
        <v>904</v>
      </c>
      <c r="C386" s="820">
        <v>32900</v>
      </c>
    </row>
    <row r="387" spans="2:3" x14ac:dyDescent="0.25">
      <c r="B387" s="810" t="s">
        <v>909</v>
      </c>
      <c r="C387" s="820">
        <v>33000</v>
      </c>
    </row>
    <row r="388" spans="2:3" x14ac:dyDescent="0.25">
      <c r="B388" s="810" t="s">
        <v>797</v>
      </c>
      <c r="C388" s="820">
        <v>10900</v>
      </c>
    </row>
    <row r="389" spans="2:3" x14ac:dyDescent="0.25">
      <c r="B389" s="810" t="s">
        <v>817</v>
      </c>
      <c r="C389" s="820">
        <v>18400</v>
      </c>
    </row>
    <row r="390" spans="2:3" x14ac:dyDescent="0.25">
      <c r="B390" s="810" t="s">
        <v>810</v>
      </c>
      <c r="C390" s="820">
        <v>12510</v>
      </c>
    </row>
    <row r="391" spans="2:3" x14ac:dyDescent="0.25">
      <c r="B391" s="810" t="s">
        <v>1692</v>
      </c>
      <c r="C391" s="820" t="s">
        <v>1677</v>
      </c>
    </row>
    <row r="392" spans="2:3" x14ac:dyDescent="0.25">
      <c r="B392" s="810" t="s">
        <v>792</v>
      </c>
      <c r="C392" s="820">
        <v>10400</v>
      </c>
    </row>
    <row r="393" spans="2:3" x14ac:dyDescent="0.25">
      <c r="B393" s="810" t="s">
        <v>1544</v>
      </c>
      <c r="C393" s="820">
        <v>10700</v>
      </c>
    </row>
    <row r="394" spans="2:3" x14ac:dyDescent="0.25">
      <c r="B394" s="810" t="s">
        <v>842</v>
      </c>
      <c r="C394" s="820">
        <v>22000</v>
      </c>
    </row>
    <row r="395" spans="2:3" x14ac:dyDescent="0.25">
      <c r="B395" s="810" t="s">
        <v>825</v>
      </c>
      <c r="C395" s="820">
        <v>19100</v>
      </c>
    </row>
    <row r="396" spans="2:3" x14ac:dyDescent="0.25">
      <c r="B396" s="810" t="s">
        <v>1685</v>
      </c>
      <c r="C396" s="820">
        <v>33403</v>
      </c>
    </row>
    <row r="397" spans="2:3" x14ac:dyDescent="0.25">
      <c r="B397" s="810" t="s">
        <v>912</v>
      </c>
      <c r="C397" s="820">
        <v>33100</v>
      </c>
    </row>
    <row r="398" spans="2:3" x14ac:dyDescent="0.25">
      <c r="B398" s="810" t="s">
        <v>914</v>
      </c>
      <c r="C398" s="820">
        <v>33200</v>
      </c>
    </row>
    <row r="399" spans="2:3" x14ac:dyDescent="0.25">
      <c r="B399" s="810" t="s">
        <v>918</v>
      </c>
      <c r="C399" s="820">
        <v>33205</v>
      </c>
    </row>
    <row r="400" spans="2:3" x14ac:dyDescent="0.25">
      <c r="B400" s="810" t="s">
        <v>828</v>
      </c>
      <c r="C400" s="820">
        <v>20300</v>
      </c>
    </row>
    <row r="401" spans="2:3" x14ac:dyDescent="0.25">
      <c r="B401" s="810" t="s">
        <v>1559</v>
      </c>
      <c r="C401" s="820">
        <v>39208</v>
      </c>
    </row>
    <row r="402" spans="2:3" x14ac:dyDescent="0.25">
      <c r="B402" s="810" t="s">
        <v>890</v>
      </c>
      <c r="C402" s="820">
        <v>32100</v>
      </c>
    </row>
    <row r="403" spans="2:3" x14ac:dyDescent="0.25">
      <c r="B403" s="810" t="s">
        <v>920</v>
      </c>
      <c r="C403" s="820">
        <v>33300</v>
      </c>
    </row>
    <row r="404" spans="2:3" x14ac:dyDescent="0.25">
      <c r="B404" s="810" t="s">
        <v>921</v>
      </c>
      <c r="C404" s="820">
        <v>33305</v>
      </c>
    </row>
    <row r="405" spans="2:3" x14ac:dyDescent="0.25">
      <c r="B405" s="810" t="s">
        <v>1011</v>
      </c>
      <c r="C405" s="820">
        <v>37000</v>
      </c>
    </row>
    <row r="406" spans="2:3" x14ac:dyDescent="0.25">
      <c r="B406" s="810" t="s">
        <v>829</v>
      </c>
      <c r="C406" s="820">
        <v>20400</v>
      </c>
    </row>
    <row r="407" spans="2:3" x14ac:dyDescent="0.25">
      <c r="B407" s="810" t="s">
        <v>1050</v>
      </c>
      <c r="C407" s="820">
        <v>38620</v>
      </c>
    </row>
    <row r="408" spans="2:3" x14ac:dyDescent="0.25">
      <c r="B408" s="810" t="s">
        <v>1061</v>
      </c>
      <c r="C408" s="820">
        <v>39201</v>
      </c>
    </row>
    <row r="409" spans="2:3" x14ac:dyDescent="0.25">
      <c r="B409" s="810" t="s">
        <v>868</v>
      </c>
      <c r="C409" s="820">
        <v>31102</v>
      </c>
    </row>
    <row r="410" spans="2:3" x14ac:dyDescent="0.25">
      <c r="B410" s="810" t="s">
        <v>867</v>
      </c>
      <c r="C410" s="820">
        <v>31101</v>
      </c>
    </row>
    <row r="411" spans="2:3" x14ac:dyDescent="0.25">
      <c r="B411" s="810" t="s">
        <v>830</v>
      </c>
      <c r="C411" s="820">
        <v>20600</v>
      </c>
    </row>
    <row r="412" spans="2:3" x14ac:dyDescent="0.25">
      <c r="B412" s="810" t="s">
        <v>901</v>
      </c>
      <c r="C412" s="820">
        <v>32605</v>
      </c>
    </row>
    <row r="413" spans="2:3" x14ac:dyDescent="0.25">
      <c r="B413" s="810" t="s">
        <v>1555</v>
      </c>
      <c r="C413" s="820">
        <v>36310</v>
      </c>
    </row>
    <row r="414" spans="2:3" x14ac:dyDescent="0.25">
      <c r="B414" s="810" t="s">
        <v>925</v>
      </c>
      <c r="C414" s="820">
        <v>33405</v>
      </c>
    </row>
    <row r="415" spans="2:3" x14ac:dyDescent="0.25">
      <c r="B415" s="810" t="s">
        <v>926</v>
      </c>
      <c r="C415" s="820">
        <v>33500</v>
      </c>
    </row>
    <row r="416" spans="2:3" x14ac:dyDescent="0.25">
      <c r="B416" s="810" t="s">
        <v>929</v>
      </c>
      <c r="C416" s="820">
        <v>33605</v>
      </c>
    </row>
    <row r="417" spans="2:3" x14ac:dyDescent="0.25">
      <c r="B417" s="810" t="s">
        <v>1000</v>
      </c>
      <c r="C417" s="820">
        <v>36601</v>
      </c>
    </row>
    <row r="418" spans="2:3" x14ac:dyDescent="0.25">
      <c r="B418" s="810" t="s">
        <v>928</v>
      </c>
      <c r="C418" s="820">
        <v>33600</v>
      </c>
    </row>
    <row r="419" spans="2:3" x14ac:dyDescent="0.25">
      <c r="B419" s="810" t="s">
        <v>930</v>
      </c>
      <c r="C419" s="820">
        <v>33700</v>
      </c>
    </row>
    <row r="420" spans="2:3" x14ac:dyDescent="0.25">
      <c r="B420" s="810" t="s">
        <v>808</v>
      </c>
      <c r="C420" s="820">
        <v>12160</v>
      </c>
    </row>
    <row r="421" spans="2:3" x14ac:dyDescent="0.25">
      <c r="B421" s="810" t="s">
        <v>806</v>
      </c>
      <c r="C421" s="820">
        <v>12100</v>
      </c>
    </row>
    <row r="422" spans="2:3" x14ac:dyDescent="0.25">
      <c r="B422" s="810" t="s">
        <v>931</v>
      </c>
      <c r="C422" s="820">
        <v>33800</v>
      </c>
    </row>
    <row r="423" spans="2:3" x14ac:dyDescent="0.25">
      <c r="B423" s="810" t="s">
        <v>858</v>
      </c>
      <c r="C423" s="820">
        <v>30601</v>
      </c>
    </row>
    <row r="424" spans="2:3" x14ac:dyDescent="0.25">
      <c r="B424" s="810" t="s">
        <v>1686</v>
      </c>
      <c r="C424" s="820">
        <v>33900</v>
      </c>
    </row>
    <row r="425" spans="2:3" x14ac:dyDescent="0.25">
      <c r="B425" s="810" t="s">
        <v>1042</v>
      </c>
      <c r="C425" s="820">
        <v>38402</v>
      </c>
    </row>
    <row r="426" spans="2:3" x14ac:dyDescent="0.25">
      <c r="B426" s="810" t="s">
        <v>933</v>
      </c>
      <c r="C426" s="820">
        <v>34000</v>
      </c>
    </row>
    <row r="427" spans="2:3" x14ac:dyDescent="0.25">
      <c r="B427" s="810" t="s">
        <v>934</v>
      </c>
      <c r="C427" s="820">
        <v>34100</v>
      </c>
    </row>
    <row r="428" spans="2:3" x14ac:dyDescent="0.25">
      <c r="B428" s="810" t="s">
        <v>935</v>
      </c>
      <c r="C428" s="820">
        <v>34105</v>
      </c>
    </row>
    <row r="429" spans="2:3" x14ac:dyDescent="0.25">
      <c r="B429" s="810" t="s">
        <v>937</v>
      </c>
      <c r="C429" s="820">
        <v>34205</v>
      </c>
    </row>
    <row r="430" spans="2:3" x14ac:dyDescent="0.25">
      <c r="B430" s="810" t="s">
        <v>936</v>
      </c>
      <c r="C430" s="820">
        <v>34200</v>
      </c>
    </row>
    <row r="431" spans="2:3" x14ac:dyDescent="0.25">
      <c r="B431" s="810" t="s">
        <v>1067</v>
      </c>
      <c r="C431" s="820">
        <v>39301</v>
      </c>
    </row>
    <row r="432" spans="2:3" x14ac:dyDescent="0.25">
      <c r="B432" s="810" t="s">
        <v>940</v>
      </c>
      <c r="C432" s="820">
        <v>34300</v>
      </c>
    </row>
    <row r="433" spans="2:3" x14ac:dyDescent="0.25">
      <c r="B433" s="810" t="s">
        <v>941</v>
      </c>
      <c r="C433" s="820">
        <v>34400</v>
      </c>
    </row>
    <row r="434" spans="2:3" x14ac:dyDescent="0.25">
      <c r="B434" s="810" t="s">
        <v>942</v>
      </c>
      <c r="C434" s="820">
        <v>34405</v>
      </c>
    </row>
    <row r="435" spans="2:3" x14ac:dyDescent="0.25">
      <c r="B435" s="830" t="s">
        <v>1693</v>
      </c>
      <c r="C435" s="820">
        <v>12220</v>
      </c>
    </row>
    <row r="436" spans="2:3" x14ac:dyDescent="0.25">
      <c r="B436" s="810" t="s">
        <v>916</v>
      </c>
      <c r="C436" s="820">
        <v>33203</v>
      </c>
    </row>
    <row r="437" spans="2:3" x14ac:dyDescent="0.25">
      <c r="B437" s="810" t="s">
        <v>1069</v>
      </c>
      <c r="C437" s="820">
        <v>39401</v>
      </c>
    </row>
    <row r="438" spans="2:3" x14ac:dyDescent="0.25">
      <c r="B438" s="810" t="s">
        <v>943</v>
      </c>
      <c r="C438" s="820">
        <v>34500</v>
      </c>
    </row>
    <row r="439" spans="2:3" x14ac:dyDescent="0.25">
      <c r="B439" s="810" t="s">
        <v>946</v>
      </c>
      <c r="C439" s="820">
        <v>34600</v>
      </c>
    </row>
    <row r="440" spans="2:3" x14ac:dyDescent="0.25">
      <c r="B440" s="810" t="s">
        <v>885</v>
      </c>
      <c r="C440" s="820">
        <v>31810</v>
      </c>
    </row>
    <row r="441" spans="2:3" x14ac:dyDescent="0.25">
      <c r="B441" s="810" t="s">
        <v>1170</v>
      </c>
      <c r="C441" s="820">
        <v>51000.2</v>
      </c>
    </row>
    <row r="442" spans="2:3" x14ac:dyDescent="0.25">
      <c r="B442" s="810" t="s">
        <v>1171</v>
      </c>
      <c r="C442" s="820">
        <v>51000.3</v>
      </c>
    </row>
    <row r="443" spans="2:3" x14ac:dyDescent="0.25">
      <c r="B443" s="810" t="s">
        <v>1169</v>
      </c>
      <c r="C443" s="820">
        <v>51000</v>
      </c>
    </row>
    <row r="444" spans="2:3" x14ac:dyDescent="0.25">
      <c r="B444" s="810" t="s">
        <v>948</v>
      </c>
      <c r="C444" s="820">
        <v>34700</v>
      </c>
    </row>
    <row r="445" spans="2:3" x14ac:dyDescent="0.25">
      <c r="B445" s="810" t="s">
        <v>949</v>
      </c>
      <c r="C445" s="820">
        <v>34800</v>
      </c>
    </row>
    <row r="446" spans="2:3" x14ac:dyDescent="0.25">
      <c r="B446" s="810" t="s">
        <v>799</v>
      </c>
      <c r="C446" s="820">
        <v>10930</v>
      </c>
    </row>
    <row r="447" spans="2:3" x14ac:dyDescent="0.25">
      <c r="B447" s="810" t="s">
        <v>811</v>
      </c>
      <c r="C447" s="820">
        <v>12600</v>
      </c>
    </row>
    <row r="448" spans="2:3" x14ac:dyDescent="0.25">
      <c r="B448" s="810" t="s">
        <v>1134</v>
      </c>
      <c r="C448" s="820">
        <v>33207</v>
      </c>
    </row>
    <row r="449" spans="2:3" x14ac:dyDescent="0.25">
      <c r="B449" s="810" t="s">
        <v>1550</v>
      </c>
      <c r="C449" s="820">
        <v>32901</v>
      </c>
    </row>
    <row r="450" spans="2:3" x14ac:dyDescent="0.25">
      <c r="B450" s="810" t="s">
        <v>1551</v>
      </c>
      <c r="C450" s="820">
        <v>34900</v>
      </c>
    </row>
    <row r="451" spans="2:3" x14ac:dyDescent="0.25">
      <c r="B451" s="810" t="s">
        <v>1036</v>
      </c>
      <c r="C451" s="820">
        <v>38105</v>
      </c>
    </row>
    <row r="452" spans="2:3" x14ac:dyDescent="0.25">
      <c r="B452" s="810" t="s">
        <v>955</v>
      </c>
      <c r="C452" s="820">
        <v>35000</v>
      </c>
    </row>
    <row r="453" spans="2:3" x14ac:dyDescent="0.25">
      <c r="B453" s="810" t="s">
        <v>913</v>
      </c>
      <c r="C453" s="820">
        <v>33105</v>
      </c>
    </row>
    <row r="454" spans="2:3" x14ac:dyDescent="0.25">
      <c r="B454" s="810" t="s">
        <v>957</v>
      </c>
      <c r="C454" s="820">
        <v>35100</v>
      </c>
    </row>
    <row r="455" spans="2:3" x14ac:dyDescent="0.25">
      <c r="B455" s="810" t="s">
        <v>958</v>
      </c>
      <c r="C455" s="820">
        <v>35105</v>
      </c>
    </row>
    <row r="456" spans="2:3" x14ac:dyDescent="0.25">
      <c r="B456" s="810" t="s">
        <v>960</v>
      </c>
      <c r="C456" s="820">
        <v>35200</v>
      </c>
    </row>
    <row r="457" spans="2:3" x14ac:dyDescent="0.25">
      <c r="B457" s="810" t="s">
        <v>875</v>
      </c>
      <c r="C457" s="820">
        <v>31320</v>
      </c>
    </row>
    <row r="458" spans="2:3" x14ac:dyDescent="0.25">
      <c r="B458" s="810" t="s">
        <v>1689</v>
      </c>
      <c r="C458" s="820">
        <v>36002</v>
      </c>
    </row>
    <row r="459" spans="2:3" x14ac:dyDescent="0.25">
      <c r="B459" s="810" t="s">
        <v>1688</v>
      </c>
      <c r="C459" s="820">
        <v>35402</v>
      </c>
    </row>
    <row r="460" spans="2:3" x14ac:dyDescent="0.25">
      <c r="B460" s="810" t="s">
        <v>985</v>
      </c>
      <c r="C460" s="820">
        <v>36102</v>
      </c>
    </row>
    <row r="461" spans="2:3" x14ac:dyDescent="0.25">
      <c r="B461" s="810" t="s">
        <v>1135</v>
      </c>
      <c r="C461" s="820">
        <v>33208</v>
      </c>
    </row>
    <row r="462" spans="2:3" x14ac:dyDescent="0.25">
      <c r="B462" s="810" t="s">
        <v>812</v>
      </c>
      <c r="C462" s="820">
        <v>12700</v>
      </c>
    </row>
    <row r="463" spans="2:3" x14ac:dyDescent="0.25">
      <c r="B463" s="810" t="s">
        <v>980</v>
      </c>
      <c r="C463" s="820">
        <v>36006</v>
      </c>
    </row>
    <row r="464" spans="2:3" x14ac:dyDescent="0.25">
      <c r="B464" s="810" t="s">
        <v>1687</v>
      </c>
      <c r="C464" s="820">
        <v>35300</v>
      </c>
    </row>
    <row r="465" spans="2:3" x14ac:dyDescent="0.25">
      <c r="B465" s="810" t="s">
        <v>966</v>
      </c>
      <c r="C465" s="820">
        <v>35405</v>
      </c>
    </row>
    <row r="466" spans="2:3" x14ac:dyDescent="0.25">
      <c r="B466" s="810" t="s">
        <v>963</v>
      </c>
      <c r="C466" s="820">
        <v>35400</v>
      </c>
    </row>
    <row r="467" spans="2:3" x14ac:dyDescent="0.25">
      <c r="B467" s="810" t="s">
        <v>907</v>
      </c>
      <c r="C467" s="820">
        <v>32910</v>
      </c>
    </row>
    <row r="468" spans="2:3" x14ac:dyDescent="0.25">
      <c r="B468" s="810" t="s">
        <v>967</v>
      </c>
      <c r="C468" s="820">
        <v>35500</v>
      </c>
    </row>
    <row r="469" spans="2:3" x14ac:dyDescent="0.25">
      <c r="B469" s="810" t="s">
        <v>807</v>
      </c>
      <c r="C469" s="820">
        <v>12150</v>
      </c>
    </row>
    <row r="470" spans="2:3" x14ac:dyDescent="0.25">
      <c r="B470" s="810" t="s">
        <v>968</v>
      </c>
      <c r="C470" s="820">
        <v>35600</v>
      </c>
    </row>
    <row r="471" spans="2:3" x14ac:dyDescent="0.25">
      <c r="B471" s="810" t="s">
        <v>969</v>
      </c>
      <c r="C471" s="820">
        <v>35700</v>
      </c>
    </row>
    <row r="472" spans="2:3" x14ac:dyDescent="0.25">
      <c r="B472" s="810" t="s">
        <v>971</v>
      </c>
      <c r="C472" s="820">
        <v>35805</v>
      </c>
    </row>
    <row r="473" spans="2:3" x14ac:dyDescent="0.25">
      <c r="B473" s="810" t="s">
        <v>970</v>
      </c>
      <c r="C473" s="820">
        <v>35800</v>
      </c>
    </row>
    <row r="474" spans="2:3" x14ac:dyDescent="0.25">
      <c r="B474" s="810" t="s">
        <v>986</v>
      </c>
      <c r="C474" s="820">
        <v>36105</v>
      </c>
    </row>
    <row r="475" spans="2:3" x14ac:dyDescent="0.25">
      <c r="B475" s="810" t="s">
        <v>972</v>
      </c>
      <c r="C475" s="820">
        <v>35900</v>
      </c>
    </row>
    <row r="476" spans="2:3" x14ac:dyDescent="0.25">
      <c r="B476" s="810" t="s">
        <v>973</v>
      </c>
      <c r="C476" s="820">
        <v>35905</v>
      </c>
    </row>
    <row r="477" spans="2:3" x14ac:dyDescent="0.25">
      <c r="B477" s="810" t="s">
        <v>1047</v>
      </c>
      <c r="C477" s="820">
        <v>38602</v>
      </c>
    </row>
    <row r="478" spans="2:3" x14ac:dyDescent="0.25">
      <c r="B478" s="810" t="s">
        <v>953</v>
      </c>
      <c r="C478" s="820">
        <v>34905</v>
      </c>
    </row>
    <row r="479" spans="2:3" x14ac:dyDescent="0.25">
      <c r="B479" s="810" t="s">
        <v>984</v>
      </c>
      <c r="C479" s="820">
        <v>36100</v>
      </c>
    </row>
    <row r="480" spans="2:3" x14ac:dyDescent="0.25">
      <c r="B480" s="810" t="s">
        <v>988</v>
      </c>
      <c r="C480" s="820">
        <v>36205</v>
      </c>
    </row>
    <row r="481" spans="2:3" x14ac:dyDescent="0.25">
      <c r="B481" s="810" t="s">
        <v>987</v>
      </c>
      <c r="C481" s="820">
        <v>36200</v>
      </c>
    </row>
    <row r="482" spans="2:3" x14ac:dyDescent="0.25">
      <c r="B482" s="810" t="s">
        <v>989</v>
      </c>
      <c r="C482" s="820">
        <v>36300</v>
      </c>
    </row>
    <row r="483" spans="2:3" x14ac:dyDescent="0.25">
      <c r="B483" s="810" t="s">
        <v>954</v>
      </c>
      <c r="C483" s="820">
        <v>34910</v>
      </c>
    </row>
    <row r="484" spans="2:3" x14ac:dyDescent="0.25">
      <c r="B484" s="810" t="s">
        <v>1049</v>
      </c>
      <c r="C484" s="820">
        <v>38610</v>
      </c>
    </row>
    <row r="485" spans="2:3" x14ac:dyDescent="0.25">
      <c r="B485" s="810" t="s">
        <v>944</v>
      </c>
      <c r="C485" s="820">
        <v>34501</v>
      </c>
    </row>
    <row r="486" spans="2:3" x14ac:dyDescent="0.25">
      <c r="B486" s="810" t="s">
        <v>1052</v>
      </c>
      <c r="C486" s="820">
        <v>38701</v>
      </c>
    </row>
    <row r="487" spans="2:3" x14ac:dyDescent="0.25">
      <c r="B487" s="810" t="s">
        <v>822</v>
      </c>
      <c r="C487" s="820">
        <v>18740</v>
      </c>
    </row>
    <row r="488" spans="2:3" x14ac:dyDescent="0.25">
      <c r="B488" s="810" t="s">
        <v>832</v>
      </c>
      <c r="C488" s="820">
        <v>20800</v>
      </c>
    </row>
    <row r="489" spans="2:3" x14ac:dyDescent="0.25">
      <c r="B489" s="810" t="s">
        <v>821</v>
      </c>
      <c r="C489" s="820">
        <v>18690</v>
      </c>
    </row>
    <row r="490" spans="2:3" x14ac:dyDescent="0.25">
      <c r="B490" s="810" t="s">
        <v>801</v>
      </c>
      <c r="C490" s="820">
        <v>10950</v>
      </c>
    </row>
    <row r="491" spans="2:3" x14ac:dyDescent="0.25">
      <c r="B491" s="810" t="s">
        <v>827</v>
      </c>
      <c r="C491" s="820">
        <v>20200</v>
      </c>
    </row>
    <row r="492" spans="2:3" x14ac:dyDescent="0.25">
      <c r="B492" s="810" t="s">
        <v>835</v>
      </c>
      <c r="C492" s="820">
        <v>21300</v>
      </c>
    </row>
    <row r="493" spans="2:3" x14ac:dyDescent="0.25">
      <c r="B493" s="810" t="s">
        <v>1168</v>
      </c>
      <c r="C493" s="820">
        <v>37001</v>
      </c>
    </row>
    <row r="494" spans="2:3" x14ac:dyDescent="0.25">
      <c r="B494" s="810" t="s">
        <v>910</v>
      </c>
      <c r="C494" s="820">
        <v>33001</v>
      </c>
    </row>
    <row r="495" spans="2:3" x14ac:dyDescent="0.25">
      <c r="B495" s="810" t="s">
        <v>1556</v>
      </c>
      <c r="C495" s="820">
        <v>36405</v>
      </c>
    </row>
    <row r="496" spans="2:3" x14ac:dyDescent="0.25">
      <c r="B496" s="810" t="s">
        <v>993</v>
      </c>
      <c r="C496" s="820">
        <v>36400</v>
      </c>
    </row>
    <row r="497" spans="2:3" x14ac:dyDescent="0.25">
      <c r="B497" s="810" t="s">
        <v>831</v>
      </c>
      <c r="C497" s="820">
        <v>20700</v>
      </c>
    </row>
    <row r="498" spans="2:3" x14ac:dyDescent="0.25">
      <c r="B498" s="810" t="s">
        <v>1682</v>
      </c>
      <c r="C498" s="820">
        <v>18780</v>
      </c>
    </row>
    <row r="499" spans="2:3" x14ac:dyDescent="0.25">
      <c r="B499" s="810" t="s">
        <v>815</v>
      </c>
      <c r="C499" s="820">
        <v>14200</v>
      </c>
    </row>
    <row r="500" spans="2:3" x14ac:dyDescent="0.25">
      <c r="B500" s="810" t="s">
        <v>1666</v>
      </c>
      <c r="C500" s="820">
        <v>11050</v>
      </c>
    </row>
    <row r="501" spans="2:3" x14ac:dyDescent="0.25">
      <c r="B501" s="810" t="s">
        <v>1676</v>
      </c>
      <c r="C501" s="820">
        <v>11300</v>
      </c>
    </row>
    <row r="502" spans="2:3" x14ac:dyDescent="0.25">
      <c r="B502" s="810" t="s">
        <v>803</v>
      </c>
      <c r="C502" s="820">
        <v>11310</v>
      </c>
    </row>
    <row r="503" spans="2:3" x14ac:dyDescent="0.25">
      <c r="B503" s="810" t="s">
        <v>959</v>
      </c>
      <c r="C503" s="820">
        <v>35106</v>
      </c>
    </row>
    <row r="504" spans="2:3" x14ac:dyDescent="0.25">
      <c r="B504" s="810" t="s">
        <v>1549</v>
      </c>
      <c r="C504" s="820">
        <v>32500</v>
      </c>
    </row>
    <row r="505" spans="2:3" x14ac:dyDescent="0.25">
      <c r="B505" s="810" t="s">
        <v>995</v>
      </c>
      <c r="C505" s="820">
        <v>36500</v>
      </c>
    </row>
    <row r="506" spans="2:3" x14ac:dyDescent="0.25">
      <c r="B506" s="810" t="s">
        <v>886</v>
      </c>
      <c r="C506" s="820">
        <v>31820</v>
      </c>
    </row>
    <row r="507" spans="2:3" x14ac:dyDescent="0.25">
      <c r="B507" s="810" t="s">
        <v>819</v>
      </c>
      <c r="C507" s="820">
        <v>18640</v>
      </c>
    </row>
    <row r="508" spans="2:3" x14ac:dyDescent="0.25">
      <c r="B508" s="810" t="s">
        <v>791</v>
      </c>
      <c r="C508" s="820">
        <v>10200</v>
      </c>
    </row>
    <row r="509" spans="2:3" x14ac:dyDescent="0.25">
      <c r="B509" s="810" t="s">
        <v>999</v>
      </c>
      <c r="C509" s="820">
        <v>36600</v>
      </c>
    </row>
    <row r="510" spans="2:3" x14ac:dyDescent="0.25">
      <c r="B510" s="810" t="s">
        <v>796</v>
      </c>
      <c r="C510" s="820">
        <v>10850</v>
      </c>
    </row>
    <row r="511" spans="2:3" x14ac:dyDescent="0.25">
      <c r="B511" s="810" t="s">
        <v>798</v>
      </c>
      <c r="C511" s="820">
        <v>10910</v>
      </c>
    </row>
    <row r="512" spans="2:3" x14ac:dyDescent="0.25">
      <c r="B512" s="810" t="s">
        <v>800</v>
      </c>
      <c r="C512" s="820">
        <v>10940</v>
      </c>
    </row>
    <row r="513" spans="2:3" x14ac:dyDescent="0.25">
      <c r="B513" s="810" t="s">
        <v>1001</v>
      </c>
      <c r="C513" s="820">
        <v>36700</v>
      </c>
    </row>
    <row r="514" spans="2:3" x14ac:dyDescent="0.25">
      <c r="B514" s="810" t="s">
        <v>1006</v>
      </c>
      <c r="C514" s="820">
        <v>36802</v>
      </c>
    </row>
    <row r="515" spans="2:3" x14ac:dyDescent="0.25">
      <c r="B515" s="810" t="s">
        <v>1004</v>
      </c>
      <c r="C515" s="820">
        <v>36800</v>
      </c>
    </row>
    <row r="516" spans="2:3" x14ac:dyDescent="0.25">
      <c r="B516" s="810" t="s">
        <v>1690</v>
      </c>
      <c r="C516" s="820">
        <v>36801</v>
      </c>
    </row>
    <row r="517" spans="2:3" x14ac:dyDescent="0.25">
      <c r="B517" s="810" t="s">
        <v>1010</v>
      </c>
      <c r="C517" s="820">
        <v>36905</v>
      </c>
    </row>
    <row r="518" spans="2:3" x14ac:dyDescent="0.25">
      <c r="B518" s="810" t="s">
        <v>1008</v>
      </c>
      <c r="C518" s="820">
        <v>36900</v>
      </c>
    </row>
    <row r="519" spans="2:3" x14ac:dyDescent="0.25">
      <c r="B519" s="810" t="s">
        <v>1013</v>
      </c>
      <c r="C519" s="820">
        <v>37100</v>
      </c>
    </row>
    <row r="520" spans="2:3" x14ac:dyDescent="0.25">
      <c r="B520" s="810" t="s">
        <v>1014</v>
      </c>
      <c r="C520" s="820">
        <v>37200</v>
      </c>
    </row>
    <row r="521" spans="2:3" x14ac:dyDescent="0.25">
      <c r="B521" s="810" t="s">
        <v>1015</v>
      </c>
      <c r="C521" s="820">
        <v>37300</v>
      </c>
    </row>
    <row r="522" spans="2:3" x14ac:dyDescent="0.25">
      <c r="B522" s="810" t="s">
        <v>1017</v>
      </c>
      <c r="C522" s="820">
        <v>37305</v>
      </c>
    </row>
    <row r="523" spans="2:3" x14ac:dyDescent="0.25">
      <c r="B523" s="810" t="s">
        <v>982</v>
      </c>
      <c r="C523" s="820">
        <v>36008</v>
      </c>
    </row>
    <row r="524" spans="2:3" x14ac:dyDescent="0.25">
      <c r="B524" s="810" t="s">
        <v>1075</v>
      </c>
      <c r="C524" s="820">
        <v>39703</v>
      </c>
    </row>
    <row r="525" spans="2:3" x14ac:dyDescent="0.25">
      <c r="B525" s="810" t="s">
        <v>1136</v>
      </c>
      <c r="C525" s="820">
        <v>33209</v>
      </c>
    </row>
    <row r="526" spans="2:3" x14ac:dyDescent="0.25">
      <c r="B526" s="810" t="s">
        <v>1019</v>
      </c>
      <c r="C526" s="820">
        <v>37405</v>
      </c>
    </row>
    <row r="527" spans="2:3" x14ac:dyDescent="0.25">
      <c r="B527" s="810" t="s">
        <v>1018</v>
      </c>
      <c r="C527" s="820">
        <v>37400</v>
      </c>
    </row>
    <row r="528" spans="2:3" x14ac:dyDescent="0.25">
      <c r="B528" s="810" t="s">
        <v>1020</v>
      </c>
      <c r="C528" s="820">
        <v>37500</v>
      </c>
    </row>
    <row r="529" spans="2:3" x14ac:dyDescent="0.25">
      <c r="B529" s="810" t="s">
        <v>1023</v>
      </c>
      <c r="C529" s="820">
        <v>37605</v>
      </c>
    </row>
    <row r="530" spans="2:3" x14ac:dyDescent="0.25">
      <c r="B530" s="810" t="s">
        <v>1021</v>
      </c>
      <c r="C530" s="820">
        <v>37600</v>
      </c>
    </row>
    <row r="531" spans="2:3" x14ac:dyDescent="0.25">
      <c r="B531" s="810" t="s">
        <v>813</v>
      </c>
      <c r="C531" s="820">
        <v>13500</v>
      </c>
    </row>
    <row r="532" spans="2:3" x14ac:dyDescent="0.25">
      <c r="B532" s="810" t="s">
        <v>1025</v>
      </c>
      <c r="C532" s="820">
        <v>37700</v>
      </c>
    </row>
    <row r="533" spans="2:3" x14ac:dyDescent="0.25">
      <c r="B533" s="810" t="s">
        <v>1026</v>
      </c>
      <c r="C533" s="820">
        <v>37705</v>
      </c>
    </row>
    <row r="534" spans="2:3" x14ac:dyDescent="0.25">
      <c r="B534" s="810" t="s">
        <v>849</v>
      </c>
      <c r="C534" s="820">
        <v>30103</v>
      </c>
    </row>
    <row r="535" spans="2:3" x14ac:dyDescent="0.25">
      <c r="B535" s="810" t="s">
        <v>938</v>
      </c>
      <c r="C535" s="820">
        <v>34220</v>
      </c>
    </row>
    <row r="536" spans="2:3" x14ac:dyDescent="0.25">
      <c r="B536" s="810" t="s">
        <v>947</v>
      </c>
      <c r="C536" s="820">
        <v>34605</v>
      </c>
    </row>
    <row r="537" spans="2:3" x14ac:dyDescent="0.25">
      <c r="B537" s="810" t="s">
        <v>1029</v>
      </c>
      <c r="C537" s="820">
        <v>37805</v>
      </c>
    </row>
    <row r="538" spans="2:3" x14ac:dyDescent="0.25">
      <c r="B538" s="810" t="s">
        <v>1027</v>
      </c>
      <c r="C538" s="820">
        <v>37800</v>
      </c>
    </row>
    <row r="539" spans="2:3" x14ac:dyDescent="0.25">
      <c r="B539" s="810" t="s">
        <v>1032</v>
      </c>
      <c r="C539" s="820">
        <v>37905</v>
      </c>
    </row>
    <row r="540" spans="2:3" x14ac:dyDescent="0.25">
      <c r="B540" s="810" t="s">
        <v>1030</v>
      </c>
      <c r="C540" s="820">
        <v>37900</v>
      </c>
    </row>
    <row r="541" spans="2:3" x14ac:dyDescent="0.25">
      <c r="B541" s="810" t="s">
        <v>1034</v>
      </c>
      <c r="C541" s="820">
        <v>38005</v>
      </c>
    </row>
    <row r="542" spans="2:3" x14ac:dyDescent="0.25">
      <c r="B542" s="810" t="s">
        <v>1033</v>
      </c>
      <c r="C542" s="820">
        <v>38000</v>
      </c>
    </row>
    <row r="543" spans="2:3" x14ac:dyDescent="0.25">
      <c r="B543" s="810" t="s">
        <v>1016</v>
      </c>
      <c r="C543" s="820">
        <v>37301</v>
      </c>
    </row>
    <row r="544" spans="2:3" x14ac:dyDescent="0.25">
      <c r="B544" s="810" t="s">
        <v>1035</v>
      </c>
      <c r="C544" s="820">
        <v>38100</v>
      </c>
    </row>
    <row r="545" spans="2:3" x14ac:dyDescent="0.25">
      <c r="B545" s="810" t="s">
        <v>1038</v>
      </c>
      <c r="C545" s="820">
        <v>38205</v>
      </c>
    </row>
    <row r="546" spans="2:3" x14ac:dyDescent="0.25">
      <c r="B546" s="810" t="s">
        <v>1037</v>
      </c>
      <c r="C546" s="820">
        <v>38200</v>
      </c>
    </row>
    <row r="547" spans="2:3" x14ac:dyDescent="0.25">
      <c r="B547" s="810" t="s">
        <v>992</v>
      </c>
      <c r="C547" s="820">
        <v>36305</v>
      </c>
    </row>
    <row r="548" spans="2:3" x14ac:dyDescent="0.25">
      <c r="B548" s="810" t="s">
        <v>1040</v>
      </c>
      <c r="C548" s="820">
        <v>38300</v>
      </c>
    </row>
    <row r="549" spans="2:3" x14ac:dyDescent="0.25">
      <c r="B549" s="810" t="s">
        <v>814</v>
      </c>
      <c r="C549" s="820">
        <v>13700</v>
      </c>
    </row>
    <row r="550" spans="2:3" x14ac:dyDescent="0.25">
      <c r="B550" s="810" t="s">
        <v>1684</v>
      </c>
      <c r="C550" s="820">
        <v>32420</v>
      </c>
    </row>
    <row r="551" spans="2:3" x14ac:dyDescent="0.25">
      <c r="B551" s="810" t="s">
        <v>981</v>
      </c>
      <c r="C551" s="820">
        <v>36007</v>
      </c>
    </row>
    <row r="552" spans="2:3" x14ac:dyDescent="0.25">
      <c r="B552" s="810" t="s">
        <v>855</v>
      </c>
      <c r="C552" s="820">
        <v>30405</v>
      </c>
    </row>
    <row r="553" spans="2:3" x14ac:dyDescent="0.25">
      <c r="B553" s="810" t="s">
        <v>1028</v>
      </c>
      <c r="C553" s="820">
        <v>37801</v>
      </c>
    </row>
    <row r="554" spans="2:3" x14ac:dyDescent="0.25">
      <c r="B554" s="810" t="s">
        <v>895</v>
      </c>
      <c r="C554" s="820">
        <v>32405</v>
      </c>
    </row>
    <row r="555" spans="2:3" x14ac:dyDescent="0.25">
      <c r="B555" s="810" t="s">
        <v>1062</v>
      </c>
      <c r="C555" s="820">
        <v>39204</v>
      </c>
    </row>
    <row r="556" spans="2:3" x14ac:dyDescent="0.25">
      <c r="B556" s="810" t="s">
        <v>956</v>
      </c>
      <c r="C556" s="820">
        <v>35005</v>
      </c>
    </row>
    <row r="557" spans="2:3" x14ac:dyDescent="0.25">
      <c r="B557" s="810" t="s">
        <v>1043</v>
      </c>
      <c r="C557" s="820">
        <v>38405</v>
      </c>
    </row>
    <row r="558" spans="2:3" x14ac:dyDescent="0.25">
      <c r="B558" s="810" t="s">
        <v>1041</v>
      </c>
      <c r="C558" s="820">
        <v>38400</v>
      </c>
    </row>
    <row r="559" spans="2:3" x14ac:dyDescent="0.25">
      <c r="B559" s="810" t="s">
        <v>991</v>
      </c>
      <c r="C559" s="820">
        <v>36302</v>
      </c>
    </row>
    <row r="560" spans="2:3" x14ac:dyDescent="0.25">
      <c r="B560" s="810" t="s">
        <v>793</v>
      </c>
      <c r="C560" s="820">
        <v>10500</v>
      </c>
    </row>
    <row r="561" spans="2:3" x14ac:dyDescent="0.25">
      <c r="B561" s="810" t="s">
        <v>805</v>
      </c>
      <c r="C561" s="820">
        <v>11900</v>
      </c>
    </row>
    <row r="562" spans="2:3" x14ac:dyDescent="0.25">
      <c r="B562" s="810" t="s">
        <v>820</v>
      </c>
      <c r="C562" s="820">
        <v>18670</v>
      </c>
    </row>
    <row r="563" spans="2:3" x14ac:dyDescent="0.25">
      <c r="B563" s="810" t="s">
        <v>1165</v>
      </c>
      <c r="C563" s="820">
        <v>14300.2</v>
      </c>
    </row>
    <row r="564" spans="2:3" x14ac:dyDescent="0.25">
      <c r="B564" s="810" t="s">
        <v>1164</v>
      </c>
      <c r="C564" s="820">
        <v>14300</v>
      </c>
    </row>
    <row r="565" spans="2:3" x14ac:dyDescent="0.25">
      <c r="B565" s="810" t="s">
        <v>1044</v>
      </c>
      <c r="C565" s="820">
        <v>38500</v>
      </c>
    </row>
    <row r="566" spans="2:3" x14ac:dyDescent="0.25">
      <c r="B566" s="810" t="s">
        <v>952</v>
      </c>
      <c r="C566" s="820">
        <v>34903</v>
      </c>
    </row>
    <row r="567" spans="2:3" x14ac:dyDescent="0.25">
      <c r="B567" s="810" t="s">
        <v>1048</v>
      </c>
      <c r="C567" s="820">
        <v>38605</v>
      </c>
    </row>
    <row r="568" spans="2:3" x14ac:dyDescent="0.25">
      <c r="B568" s="810" t="s">
        <v>1045</v>
      </c>
      <c r="C568" s="820">
        <v>38600</v>
      </c>
    </row>
    <row r="569" spans="2:3" x14ac:dyDescent="0.25">
      <c r="B569" s="810" t="s">
        <v>1051</v>
      </c>
      <c r="C569" s="820">
        <v>38700</v>
      </c>
    </row>
    <row r="570" spans="2:3" x14ac:dyDescent="0.25">
      <c r="B570" s="810" t="s">
        <v>850</v>
      </c>
      <c r="C570" s="820">
        <v>30104</v>
      </c>
    </row>
    <row r="571" spans="2:3" x14ac:dyDescent="0.25">
      <c r="B571" s="810" t="s">
        <v>1667</v>
      </c>
      <c r="C571" s="820">
        <v>36303</v>
      </c>
    </row>
    <row r="572" spans="2:3" x14ac:dyDescent="0.25">
      <c r="B572" s="810" t="s">
        <v>908</v>
      </c>
      <c r="C572" s="820">
        <v>32920</v>
      </c>
    </row>
    <row r="573" spans="2:3" x14ac:dyDescent="0.25">
      <c r="B573" s="810" t="s">
        <v>1053</v>
      </c>
      <c r="C573" s="820">
        <v>38800</v>
      </c>
    </row>
    <row r="574" spans="2:3" x14ac:dyDescent="0.25">
      <c r="B574" s="810" t="s">
        <v>889</v>
      </c>
      <c r="C574" s="820">
        <v>32005</v>
      </c>
    </row>
    <row r="575" spans="2:3" x14ac:dyDescent="0.25">
      <c r="B575" s="810" t="s">
        <v>1071</v>
      </c>
      <c r="C575" s="820">
        <v>39501</v>
      </c>
    </row>
    <row r="576" spans="2:3" x14ac:dyDescent="0.25">
      <c r="B576" s="810" t="s">
        <v>1055</v>
      </c>
      <c r="C576" s="820">
        <v>38900</v>
      </c>
    </row>
    <row r="577" spans="2:3" x14ac:dyDescent="0.25">
      <c r="B577" s="810" t="s">
        <v>834</v>
      </c>
      <c r="C577" s="820">
        <v>21200</v>
      </c>
    </row>
    <row r="578" spans="2:3" x14ac:dyDescent="0.25">
      <c r="B578" s="810" t="s">
        <v>838</v>
      </c>
      <c r="C578" s="820">
        <v>21550</v>
      </c>
    </row>
    <row r="579" spans="2:3" x14ac:dyDescent="0.25">
      <c r="B579" s="810" t="s">
        <v>1547</v>
      </c>
      <c r="C579" s="820">
        <v>21520</v>
      </c>
    </row>
    <row r="580" spans="2:3" x14ac:dyDescent="0.25">
      <c r="B580" s="810" t="s">
        <v>1167</v>
      </c>
      <c r="C580" s="820">
        <v>21525.200000000001</v>
      </c>
    </row>
    <row r="581" spans="2:3" x14ac:dyDescent="0.25">
      <c r="B581" s="810" t="s">
        <v>1166</v>
      </c>
      <c r="C581" s="820">
        <v>21525</v>
      </c>
    </row>
    <row r="582" spans="2:3" x14ac:dyDescent="0.25">
      <c r="B582" s="810" t="s">
        <v>1056</v>
      </c>
      <c r="C582" s="820">
        <v>39000</v>
      </c>
    </row>
    <row r="583" spans="2:3" x14ac:dyDescent="0.25">
      <c r="B583" s="810" t="s">
        <v>843</v>
      </c>
      <c r="C583" s="820">
        <v>23000</v>
      </c>
    </row>
    <row r="584" spans="2:3" x14ac:dyDescent="0.25">
      <c r="B584" s="810" t="s">
        <v>844</v>
      </c>
      <c r="C584" s="820">
        <v>23100</v>
      </c>
    </row>
    <row r="585" spans="2:3" x14ac:dyDescent="0.25">
      <c r="B585" s="810" t="s">
        <v>833</v>
      </c>
      <c r="C585" s="820">
        <v>20900</v>
      </c>
    </row>
    <row r="586" spans="2:3" x14ac:dyDescent="0.25">
      <c r="B586" s="810" t="s">
        <v>845</v>
      </c>
      <c r="C586" s="820">
        <v>23200</v>
      </c>
    </row>
    <row r="587" spans="2:3" x14ac:dyDescent="0.25">
      <c r="B587" s="810" t="s">
        <v>839</v>
      </c>
      <c r="C587" s="820">
        <v>21570</v>
      </c>
    </row>
    <row r="588" spans="2:3" x14ac:dyDescent="0.25">
      <c r="B588" s="810" t="s">
        <v>1022</v>
      </c>
      <c r="C588" s="820">
        <v>37601</v>
      </c>
    </row>
    <row r="589" spans="2:3" x14ac:dyDescent="0.25">
      <c r="B589" s="810" t="s">
        <v>1058</v>
      </c>
      <c r="C589" s="820">
        <v>39101</v>
      </c>
    </row>
    <row r="590" spans="2:3" x14ac:dyDescent="0.25">
      <c r="B590" s="810" t="s">
        <v>1057</v>
      </c>
      <c r="C590" s="820">
        <v>39100</v>
      </c>
    </row>
    <row r="591" spans="2:3" x14ac:dyDescent="0.25">
      <c r="B591" s="810" t="s">
        <v>1059</v>
      </c>
      <c r="C591" s="820">
        <v>39105</v>
      </c>
    </row>
    <row r="592" spans="2:3" x14ac:dyDescent="0.25">
      <c r="B592" s="810" t="s">
        <v>917</v>
      </c>
      <c r="C592" s="820">
        <v>33204</v>
      </c>
    </row>
    <row r="593" spans="2:3" x14ac:dyDescent="0.25">
      <c r="B593" s="810" t="s">
        <v>1558</v>
      </c>
      <c r="C593" s="820">
        <v>39200</v>
      </c>
    </row>
    <row r="594" spans="2:3" x14ac:dyDescent="0.25">
      <c r="B594" s="810" t="s">
        <v>1063</v>
      </c>
      <c r="C594" s="820">
        <v>39205</v>
      </c>
    </row>
    <row r="595" spans="2:3" x14ac:dyDescent="0.25">
      <c r="B595" s="810" t="s">
        <v>1066</v>
      </c>
      <c r="C595" s="820">
        <v>39300</v>
      </c>
    </row>
    <row r="596" spans="2:3" x14ac:dyDescent="0.25">
      <c r="B596" s="810" t="s">
        <v>1068</v>
      </c>
      <c r="C596" s="820">
        <v>39400</v>
      </c>
    </row>
    <row r="597" spans="2:3" x14ac:dyDescent="0.25">
      <c r="B597" s="810" t="s">
        <v>1070</v>
      </c>
      <c r="C597" s="820">
        <v>39500</v>
      </c>
    </row>
    <row r="598" spans="2:3" x14ac:dyDescent="0.25">
      <c r="B598" s="810" t="s">
        <v>1073</v>
      </c>
      <c r="C598" s="820">
        <v>39605</v>
      </c>
    </row>
    <row r="599" spans="2:3" x14ac:dyDescent="0.25">
      <c r="B599" s="810" t="s">
        <v>1072</v>
      </c>
      <c r="C599" s="820">
        <v>39600</v>
      </c>
    </row>
    <row r="600" spans="2:3" x14ac:dyDescent="0.25">
      <c r="B600" s="810" t="s">
        <v>939</v>
      </c>
      <c r="C600" s="820">
        <v>34230</v>
      </c>
    </row>
    <row r="601" spans="2:3" x14ac:dyDescent="0.25">
      <c r="B601" s="810" t="s">
        <v>840</v>
      </c>
      <c r="C601" s="820">
        <v>21800</v>
      </c>
    </row>
    <row r="602" spans="2:3" x14ac:dyDescent="0.25">
      <c r="B602" s="810" t="s">
        <v>872</v>
      </c>
      <c r="C602" s="820">
        <v>31205</v>
      </c>
    </row>
    <row r="603" spans="2:3" x14ac:dyDescent="0.25">
      <c r="B603" s="810" t="s">
        <v>896</v>
      </c>
      <c r="C603" s="820">
        <v>32410</v>
      </c>
    </row>
    <row r="604" spans="2:3" x14ac:dyDescent="0.25">
      <c r="B604" s="810" t="s">
        <v>804</v>
      </c>
      <c r="C604" s="820">
        <v>11600</v>
      </c>
    </row>
    <row r="605" spans="2:3" x14ac:dyDescent="0.25">
      <c r="B605" s="810" t="s">
        <v>1076</v>
      </c>
      <c r="C605" s="820">
        <v>39705</v>
      </c>
    </row>
    <row r="606" spans="2:3" x14ac:dyDescent="0.25">
      <c r="B606" s="810" t="s">
        <v>1074</v>
      </c>
      <c r="C606" s="820">
        <v>39700</v>
      </c>
    </row>
    <row r="607" spans="2:3" x14ac:dyDescent="0.25">
      <c r="B607" s="810" t="s">
        <v>997</v>
      </c>
      <c r="C607" s="820">
        <v>36502</v>
      </c>
    </row>
    <row r="608" spans="2:3" x14ac:dyDescent="0.25">
      <c r="B608" s="810" t="s">
        <v>1078</v>
      </c>
      <c r="C608" s="820">
        <v>39805</v>
      </c>
    </row>
    <row r="609" spans="2:3" x14ac:dyDescent="0.25">
      <c r="B609" s="810" t="s">
        <v>1077</v>
      </c>
      <c r="C609" s="820">
        <v>39800</v>
      </c>
    </row>
    <row r="610" spans="2:3" x14ac:dyDescent="0.25">
      <c r="B610" s="810" t="s">
        <v>841</v>
      </c>
      <c r="C610" s="820">
        <v>21900</v>
      </c>
    </row>
    <row r="611" spans="2:3" x14ac:dyDescent="0.25">
      <c r="B611" s="810" t="s">
        <v>922</v>
      </c>
      <c r="C611" s="820">
        <v>33400</v>
      </c>
    </row>
    <row r="612" spans="2:3" x14ac:dyDescent="0.25">
      <c r="B612" s="810" t="s">
        <v>1079</v>
      </c>
      <c r="C612" s="820">
        <v>39900</v>
      </c>
    </row>
    <row r="613" spans="2:3" x14ac:dyDescent="0.25">
      <c r="B613" s="810" t="s">
        <v>846</v>
      </c>
      <c r="C613" s="820">
        <v>30000</v>
      </c>
    </row>
    <row r="614" spans="2:3" x14ac:dyDescent="0.25">
      <c r="B614" s="810" t="s">
        <v>1002</v>
      </c>
      <c r="C614" s="820">
        <v>36701</v>
      </c>
    </row>
    <row r="615" spans="2:3" x14ac:dyDescent="0.25">
      <c r="B615" s="1009" t="s">
        <v>1163</v>
      </c>
      <c r="C615" s="820" t="s">
        <v>1157</v>
      </c>
    </row>
  </sheetData>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3A47F-F377-4506-8EDE-A9D582059ADC}">
  <dimension ref="A1:E305"/>
  <sheetViews>
    <sheetView workbookViewId="0">
      <selection sqref="A1:B2"/>
    </sheetView>
  </sheetViews>
  <sheetFormatPr defaultRowHeight="15" x14ac:dyDescent="0.25"/>
  <cols>
    <col min="1" max="1" width="15.7109375" style="843" bestFit="1" customWidth="1"/>
    <col min="2" max="2" width="49.28515625" style="843" bestFit="1" customWidth="1"/>
    <col min="3" max="3" width="23.5703125" style="847" customWidth="1"/>
    <col min="4" max="4" width="9.140625" style="843"/>
    <col min="5" max="5" width="20.85546875" style="843" customWidth="1"/>
    <col min="6" max="16384" width="9.140625" style="843"/>
  </cols>
  <sheetData>
    <row r="1" spans="1:3" ht="30" x14ac:dyDescent="0.25">
      <c r="A1" s="841" t="s">
        <v>1695</v>
      </c>
      <c r="B1" s="841" t="s">
        <v>1083</v>
      </c>
      <c r="C1" s="842" t="s">
        <v>1694</v>
      </c>
    </row>
    <row r="2" spans="1:3" x14ac:dyDescent="0.25">
      <c r="A2" s="844" t="s">
        <v>533</v>
      </c>
      <c r="B2" s="845" t="s">
        <v>1543</v>
      </c>
      <c r="C2" s="846">
        <v>0</v>
      </c>
    </row>
    <row r="3" spans="1:3" x14ac:dyDescent="0.25">
      <c r="A3" s="843">
        <v>10200</v>
      </c>
      <c r="B3" s="843" t="s">
        <v>791</v>
      </c>
      <c r="C3" s="847">
        <v>1692672.66</v>
      </c>
    </row>
    <row r="4" spans="1:3" x14ac:dyDescent="0.25">
      <c r="A4" s="843">
        <v>10400</v>
      </c>
      <c r="B4" s="843" t="s">
        <v>792</v>
      </c>
      <c r="C4" s="847">
        <v>5183662.09</v>
      </c>
    </row>
    <row r="5" spans="1:3" x14ac:dyDescent="0.25">
      <c r="A5" s="843">
        <v>10500</v>
      </c>
      <c r="B5" s="843" t="s">
        <v>793</v>
      </c>
      <c r="C5" s="847">
        <v>1202787.73</v>
      </c>
    </row>
    <row r="6" spans="1:3" x14ac:dyDescent="0.25">
      <c r="A6" s="843">
        <v>10700</v>
      </c>
      <c r="B6" s="843" t="s">
        <v>1544</v>
      </c>
      <c r="C6" s="847">
        <v>8416506.4399999995</v>
      </c>
    </row>
    <row r="7" spans="1:3" x14ac:dyDescent="0.25">
      <c r="A7" s="843">
        <v>10800</v>
      </c>
      <c r="B7" s="843" t="s">
        <v>795</v>
      </c>
      <c r="C7" s="847">
        <v>34867723.049999997</v>
      </c>
    </row>
    <row r="8" spans="1:3" x14ac:dyDescent="0.25">
      <c r="A8" s="843">
        <v>10850</v>
      </c>
      <c r="B8" s="843" t="s">
        <v>796</v>
      </c>
      <c r="C8" s="847">
        <v>392120.53</v>
      </c>
    </row>
    <row r="9" spans="1:3" x14ac:dyDescent="0.25">
      <c r="A9" s="843">
        <v>10900</v>
      </c>
      <c r="B9" s="843" t="s">
        <v>797</v>
      </c>
      <c r="C9" s="847">
        <v>3139549.79</v>
      </c>
    </row>
    <row r="10" spans="1:3" x14ac:dyDescent="0.25">
      <c r="A10" s="843">
        <v>10910</v>
      </c>
      <c r="B10" s="843" t="s">
        <v>798</v>
      </c>
      <c r="C10" s="847">
        <v>489718.42</v>
      </c>
    </row>
    <row r="11" spans="1:3" x14ac:dyDescent="0.25">
      <c r="A11" s="843">
        <v>10930</v>
      </c>
      <c r="B11" s="843" t="s">
        <v>799</v>
      </c>
      <c r="C11" s="847">
        <v>5225498.79</v>
      </c>
    </row>
    <row r="12" spans="1:3" x14ac:dyDescent="0.25">
      <c r="A12" s="843">
        <v>10940</v>
      </c>
      <c r="B12" s="843" t="s">
        <v>800</v>
      </c>
      <c r="C12" s="847">
        <v>1285927.92</v>
      </c>
    </row>
    <row r="13" spans="1:3" x14ac:dyDescent="0.25">
      <c r="A13" s="843">
        <v>10950</v>
      </c>
      <c r="B13" s="843" t="s">
        <v>801</v>
      </c>
      <c r="C13" s="847">
        <v>1129182.78</v>
      </c>
    </row>
    <row r="14" spans="1:3" x14ac:dyDescent="0.25">
      <c r="A14" s="843">
        <v>11050</v>
      </c>
      <c r="B14" s="843" t="s">
        <v>1666</v>
      </c>
      <c r="C14" s="847">
        <v>458025.49</v>
      </c>
    </row>
    <row r="15" spans="1:3" x14ac:dyDescent="0.25">
      <c r="A15" s="843">
        <v>11300</v>
      </c>
      <c r="B15" s="843" t="s">
        <v>1676</v>
      </c>
      <c r="C15" s="847">
        <v>8790818.0299999993</v>
      </c>
    </row>
    <row r="16" spans="1:3" x14ac:dyDescent="0.25">
      <c r="A16" s="843">
        <v>11310</v>
      </c>
      <c r="B16" s="843" t="s">
        <v>803</v>
      </c>
      <c r="C16" s="847">
        <v>952807.18</v>
      </c>
    </row>
    <row r="17" spans="1:3" x14ac:dyDescent="0.25">
      <c r="A17" s="843">
        <v>11600</v>
      </c>
      <c r="B17" s="843" t="s">
        <v>804</v>
      </c>
      <c r="C17" s="847">
        <v>3408232.15</v>
      </c>
    </row>
    <row r="18" spans="1:3" x14ac:dyDescent="0.25">
      <c r="A18" s="843">
        <v>11900</v>
      </c>
      <c r="B18" s="843" t="s">
        <v>805</v>
      </c>
      <c r="C18" s="847">
        <v>361237.72</v>
      </c>
    </row>
    <row r="19" spans="1:3" x14ac:dyDescent="0.25">
      <c r="A19" s="843">
        <v>12100</v>
      </c>
      <c r="B19" s="843" t="s">
        <v>806</v>
      </c>
      <c r="C19" s="847">
        <v>422225.01</v>
      </c>
    </row>
    <row r="20" spans="1:3" x14ac:dyDescent="0.25">
      <c r="A20" s="843">
        <v>12150</v>
      </c>
      <c r="B20" s="843" t="s">
        <v>807</v>
      </c>
      <c r="C20" s="847">
        <v>63168.87</v>
      </c>
    </row>
    <row r="21" spans="1:3" x14ac:dyDescent="0.25">
      <c r="A21" s="843">
        <v>12160</v>
      </c>
      <c r="B21" s="843" t="s">
        <v>808</v>
      </c>
      <c r="C21" s="847">
        <v>3391841.47</v>
      </c>
    </row>
    <row r="22" spans="1:3" x14ac:dyDescent="0.25">
      <c r="A22" s="848" t="s">
        <v>1677</v>
      </c>
      <c r="B22" s="849" t="s">
        <v>1545</v>
      </c>
      <c r="C22" s="847">
        <v>0</v>
      </c>
    </row>
    <row r="23" spans="1:3" x14ac:dyDescent="0.25">
      <c r="A23" s="843">
        <v>12220</v>
      </c>
      <c r="B23" s="843" t="s">
        <v>1696</v>
      </c>
      <c r="C23" s="847">
        <v>85724029.099999994</v>
      </c>
    </row>
    <row r="24" spans="1:3" x14ac:dyDescent="0.25">
      <c r="A24" s="843">
        <v>12510</v>
      </c>
      <c r="B24" s="843" t="s">
        <v>810</v>
      </c>
      <c r="C24" s="847">
        <v>9368925.2300000004</v>
      </c>
    </row>
    <row r="25" spans="1:3" x14ac:dyDescent="0.25">
      <c r="A25" s="843">
        <v>12600</v>
      </c>
      <c r="B25" s="843" t="s">
        <v>811</v>
      </c>
      <c r="C25" s="847">
        <v>3448104.26</v>
      </c>
    </row>
    <row r="26" spans="1:3" x14ac:dyDescent="0.25">
      <c r="A26" s="843">
        <v>12700</v>
      </c>
      <c r="B26" s="843" t="s">
        <v>812</v>
      </c>
      <c r="C26" s="847">
        <v>2179758.09</v>
      </c>
    </row>
    <row r="27" spans="1:3" x14ac:dyDescent="0.25">
      <c r="A27" s="843">
        <v>13500</v>
      </c>
      <c r="B27" s="843" t="s">
        <v>813</v>
      </c>
      <c r="C27" s="847">
        <v>7772993.04</v>
      </c>
    </row>
    <row r="28" spans="1:3" x14ac:dyDescent="0.25">
      <c r="A28" s="843">
        <v>13700</v>
      </c>
      <c r="B28" s="843" t="s">
        <v>814</v>
      </c>
      <c r="C28" s="847">
        <v>920370.64</v>
      </c>
    </row>
    <row r="29" spans="1:3" x14ac:dyDescent="0.25">
      <c r="A29" s="843">
        <v>14200</v>
      </c>
      <c r="B29" s="843" t="s">
        <v>815</v>
      </c>
      <c r="C29" s="847">
        <v>0</v>
      </c>
    </row>
    <row r="30" spans="1:3" x14ac:dyDescent="0.25">
      <c r="A30" s="843">
        <v>14300</v>
      </c>
      <c r="B30" s="843" t="s">
        <v>816</v>
      </c>
      <c r="C30" s="847">
        <f>2844458.71-C31</f>
        <v>2539579.71</v>
      </c>
    </row>
    <row r="31" spans="1:3" x14ac:dyDescent="0.25">
      <c r="A31" s="843">
        <v>14300.2</v>
      </c>
      <c r="B31" s="843" t="s">
        <v>1165</v>
      </c>
      <c r="C31" s="847">
        <v>304879</v>
      </c>
    </row>
    <row r="32" spans="1:3" x14ac:dyDescent="0.25">
      <c r="A32" s="843">
        <v>18400</v>
      </c>
      <c r="B32" s="843" t="s">
        <v>1546</v>
      </c>
      <c r="C32" s="847">
        <v>9723142.4199999999</v>
      </c>
    </row>
    <row r="33" spans="1:3" x14ac:dyDescent="0.25">
      <c r="A33" s="843">
        <v>18600</v>
      </c>
      <c r="B33" s="843" t="s">
        <v>818</v>
      </c>
      <c r="C33" s="847">
        <v>28051.3</v>
      </c>
    </row>
    <row r="34" spans="1:3" x14ac:dyDescent="0.25">
      <c r="A34" s="843">
        <v>18640</v>
      </c>
      <c r="B34" s="843" t="s">
        <v>819</v>
      </c>
      <c r="C34" s="850">
        <v>3339.92</v>
      </c>
    </row>
    <row r="35" spans="1:3" x14ac:dyDescent="0.25">
      <c r="A35" s="843">
        <v>18670</v>
      </c>
      <c r="B35" s="843" t="s">
        <v>820</v>
      </c>
      <c r="C35" s="850">
        <v>0</v>
      </c>
    </row>
    <row r="36" spans="1:3" x14ac:dyDescent="0.25">
      <c r="A36" s="843">
        <v>18690</v>
      </c>
      <c r="B36" s="843" t="s">
        <v>821</v>
      </c>
      <c r="C36" s="847">
        <v>0</v>
      </c>
    </row>
    <row r="37" spans="1:3" x14ac:dyDescent="0.25">
      <c r="A37" s="843">
        <v>18740</v>
      </c>
      <c r="B37" s="843" t="s">
        <v>822</v>
      </c>
      <c r="C37" s="847">
        <v>14353.41</v>
      </c>
    </row>
    <row r="38" spans="1:3" x14ac:dyDescent="0.25">
      <c r="A38" s="843">
        <v>18780</v>
      </c>
      <c r="B38" s="843" t="s">
        <v>1682</v>
      </c>
      <c r="C38" s="847">
        <v>30444.45</v>
      </c>
    </row>
    <row r="39" spans="1:3" x14ac:dyDescent="0.25">
      <c r="A39" s="843">
        <v>19005</v>
      </c>
      <c r="B39" s="843" t="s">
        <v>824</v>
      </c>
      <c r="C39" s="847">
        <v>1560045.69</v>
      </c>
    </row>
    <row r="40" spans="1:3" x14ac:dyDescent="0.25">
      <c r="A40" s="843">
        <v>19100</v>
      </c>
      <c r="B40" s="843" t="s">
        <v>825</v>
      </c>
      <c r="C40" s="847">
        <v>116171266.56999999</v>
      </c>
    </row>
    <row r="41" spans="1:3" x14ac:dyDescent="0.25">
      <c r="A41" s="843">
        <v>20100</v>
      </c>
      <c r="B41" s="843" t="s">
        <v>826</v>
      </c>
      <c r="C41" s="847">
        <v>10151637.640000001</v>
      </c>
    </row>
    <row r="42" spans="1:3" x14ac:dyDescent="0.25">
      <c r="A42" s="843">
        <v>20200</v>
      </c>
      <c r="B42" s="843" t="s">
        <v>827</v>
      </c>
      <c r="C42" s="847">
        <v>1519944.46</v>
      </c>
    </row>
    <row r="43" spans="1:3" x14ac:dyDescent="0.25">
      <c r="A43" s="843">
        <v>20300</v>
      </c>
      <c r="B43" s="843" t="s">
        <v>828</v>
      </c>
      <c r="C43" s="847">
        <v>22341664.629999999</v>
      </c>
    </row>
    <row r="44" spans="1:3" x14ac:dyDescent="0.25">
      <c r="A44" s="843">
        <v>20400</v>
      </c>
      <c r="B44" s="843" t="s">
        <v>829</v>
      </c>
      <c r="C44" s="847">
        <v>1790390.15</v>
      </c>
    </row>
    <row r="45" spans="1:3" x14ac:dyDescent="0.25">
      <c r="A45" s="843">
        <v>20600</v>
      </c>
      <c r="B45" s="843" t="s">
        <v>830</v>
      </c>
      <c r="C45" s="847">
        <v>3620896.61</v>
      </c>
    </row>
    <row r="46" spans="1:3" x14ac:dyDescent="0.25">
      <c r="A46" s="843">
        <v>20700</v>
      </c>
      <c r="B46" s="843" t="s">
        <v>831</v>
      </c>
      <c r="C46" s="847">
        <v>7470953.2000000002</v>
      </c>
    </row>
    <row r="47" spans="1:3" x14ac:dyDescent="0.25">
      <c r="A47" s="843">
        <v>20800</v>
      </c>
      <c r="B47" s="843" t="s">
        <v>832</v>
      </c>
      <c r="C47" s="847">
        <v>6088310.1900000004</v>
      </c>
    </row>
    <row r="48" spans="1:3" x14ac:dyDescent="0.25">
      <c r="A48" s="843">
        <v>20900</v>
      </c>
      <c r="B48" s="843" t="s">
        <v>833</v>
      </c>
      <c r="C48" s="847">
        <v>8866979.0500000007</v>
      </c>
    </row>
    <row r="49" spans="1:5" x14ac:dyDescent="0.25">
      <c r="A49" s="843">
        <v>21200</v>
      </c>
      <c r="B49" s="843" t="s">
        <v>834</v>
      </c>
      <c r="C49" s="847">
        <v>3039923.2</v>
      </c>
    </row>
    <row r="50" spans="1:5" x14ac:dyDescent="0.25">
      <c r="A50" s="843">
        <v>21300</v>
      </c>
      <c r="B50" s="843" t="s">
        <v>835</v>
      </c>
      <c r="C50" s="847">
        <v>36047714.240000002</v>
      </c>
    </row>
    <row r="51" spans="1:5" x14ac:dyDescent="0.25">
      <c r="A51" s="843">
        <v>21520</v>
      </c>
      <c r="B51" s="843" t="s">
        <v>1547</v>
      </c>
      <c r="C51" s="847">
        <v>52618283.119999997</v>
      </c>
    </row>
    <row r="52" spans="1:5" x14ac:dyDescent="0.25">
      <c r="A52" s="843">
        <v>21525</v>
      </c>
      <c r="B52" s="843" t="s">
        <v>837</v>
      </c>
      <c r="C52" s="847">
        <f>2253392.76-C53</f>
        <v>1999806.76</v>
      </c>
      <c r="E52" s="847"/>
    </row>
    <row r="53" spans="1:5" x14ac:dyDescent="0.25">
      <c r="A53" s="843">
        <v>21525.200000000001</v>
      </c>
      <c r="B53" s="843" t="s">
        <v>1167</v>
      </c>
      <c r="C53" s="847">
        <v>253586</v>
      </c>
    </row>
    <row r="54" spans="1:5" x14ac:dyDescent="0.25">
      <c r="A54" s="843">
        <v>21550</v>
      </c>
      <c r="B54" s="843" t="s">
        <v>838</v>
      </c>
      <c r="C54" s="847">
        <v>57905226.020000003</v>
      </c>
    </row>
    <row r="55" spans="1:5" x14ac:dyDescent="0.25">
      <c r="A55" s="843">
        <v>21570</v>
      </c>
      <c r="B55" s="843" t="s">
        <v>839</v>
      </c>
      <c r="C55" s="847">
        <v>315916.31</v>
      </c>
    </row>
    <row r="56" spans="1:5" x14ac:dyDescent="0.25">
      <c r="A56" s="843">
        <v>21800</v>
      </c>
      <c r="B56" s="843" t="s">
        <v>840</v>
      </c>
      <c r="C56" s="847">
        <v>5169608.71</v>
      </c>
    </row>
    <row r="57" spans="1:5" x14ac:dyDescent="0.25">
      <c r="A57" s="843">
        <v>21900</v>
      </c>
      <c r="B57" s="843" t="s">
        <v>841</v>
      </c>
      <c r="C57" s="847">
        <v>3951749.71</v>
      </c>
    </row>
    <row r="58" spans="1:5" x14ac:dyDescent="0.25">
      <c r="A58" s="843">
        <v>22000</v>
      </c>
      <c r="B58" s="843" t="s">
        <v>842</v>
      </c>
      <c r="C58" s="847">
        <v>6756851.9800000004</v>
      </c>
    </row>
    <row r="59" spans="1:5" x14ac:dyDescent="0.25">
      <c r="A59" s="843">
        <v>23000</v>
      </c>
      <c r="B59" s="843" t="s">
        <v>843</v>
      </c>
      <c r="C59" s="847">
        <v>2057657.94</v>
      </c>
    </row>
    <row r="60" spans="1:5" x14ac:dyDescent="0.25">
      <c r="A60" s="843">
        <v>23100</v>
      </c>
      <c r="B60" s="843" t="s">
        <v>844</v>
      </c>
      <c r="C60" s="847">
        <v>12308972.060000001</v>
      </c>
    </row>
    <row r="61" spans="1:5" x14ac:dyDescent="0.25">
      <c r="A61" s="843">
        <v>23200</v>
      </c>
      <c r="B61" s="843" t="s">
        <v>845</v>
      </c>
      <c r="C61" s="847">
        <v>6706515.7000000002</v>
      </c>
    </row>
    <row r="62" spans="1:5" x14ac:dyDescent="0.25">
      <c r="A62" s="843">
        <v>30000</v>
      </c>
      <c r="B62" s="843" t="s">
        <v>846</v>
      </c>
      <c r="C62" s="847">
        <v>1486882.4</v>
      </c>
    </row>
    <row r="63" spans="1:5" x14ac:dyDescent="0.25">
      <c r="A63" s="843">
        <v>30100</v>
      </c>
      <c r="B63" s="843" t="s">
        <v>847</v>
      </c>
      <c r="C63" s="847">
        <v>12601792</v>
      </c>
    </row>
    <row r="64" spans="1:5" x14ac:dyDescent="0.25">
      <c r="A64" s="843">
        <v>30102</v>
      </c>
      <c r="B64" s="843" t="s">
        <v>848</v>
      </c>
      <c r="C64" s="847">
        <v>231393.66</v>
      </c>
    </row>
    <row r="65" spans="1:3" x14ac:dyDescent="0.25">
      <c r="A65" s="843">
        <v>30103</v>
      </c>
      <c r="B65" s="843" t="s">
        <v>849</v>
      </c>
      <c r="C65" s="847">
        <v>300250.03999999998</v>
      </c>
    </row>
    <row r="66" spans="1:3" x14ac:dyDescent="0.25">
      <c r="A66" s="843">
        <v>30104</v>
      </c>
      <c r="B66" s="843" t="s">
        <v>850</v>
      </c>
      <c r="C66" s="847">
        <v>156217.21</v>
      </c>
    </row>
    <row r="67" spans="1:3" x14ac:dyDescent="0.25">
      <c r="A67" s="843">
        <v>30105</v>
      </c>
      <c r="B67" s="843" t="s">
        <v>851</v>
      </c>
      <c r="C67" s="847">
        <v>1511208.12</v>
      </c>
    </row>
    <row r="68" spans="1:3" x14ac:dyDescent="0.25">
      <c r="A68" s="843">
        <v>30200</v>
      </c>
      <c r="B68" s="843" t="s">
        <v>852</v>
      </c>
      <c r="C68" s="847">
        <v>3032922.49</v>
      </c>
    </row>
    <row r="69" spans="1:3" x14ac:dyDescent="0.25">
      <c r="A69" s="843">
        <v>30300</v>
      </c>
      <c r="B69" s="843" t="s">
        <v>853</v>
      </c>
      <c r="C69" s="847">
        <v>992451.4</v>
      </c>
    </row>
    <row r="70" spans="1:3" x14ac:dyDescent="0.25">
      <c r="A70" s="843">
        <v>30400</v>
      </c>
      <c r="B70" s="843" t="s">
        <v>854</v>
      </c>
      <c r="C70" s="847">
        <v>1793474.38</v>
      </c>
    </row>
    <row r="71" spans="1:3" x14ac:dyDescent="0.25">
      <c r="A71" s="843">
        <v>30405</v>
      </c>
      <c r="B71" s="843" t="s">
        <v>855</v>
      </c>
      <c r="C71" s="847">
        <v>1170377.58</v>
      </c>
    </row>
    <row r="72" spans="1:3" x14ac:dyDescent="0.25">
      <c r="A72" s="843">
        <v>30500</v>
      </c>
      <c r="B72" s="843" t="s">
        <v>856</v>
      </c>
      <c r="C72" s="847">
        <v>1988742.33</v>
      </c>
    </row>
    <row r="73" spans="1:3" x14ac:dyDescent="0.25">
      <c r="A73" s="843">
        <v>30600</v>
      </c>
      <c r="B73" s="843" t="s">
        <v>857</v>
      </c>
      <c r="C73" s="847">
        <v>1502557.07</v>
      </c>
    </row>
    <row r="74" spans="1:3" x14ac:dyDescent="0.25">
      <c r="A74" s="843">
        <v>30601</v>
      </c>
      <c r="B74" s="843" t="s">
        <v>858</v>
      </c>
      <c r="C74" s="847">
        <v>33484.15</v>
      </c>
    </row>
    <row r="75" spans="1:3" x14ac:dyDescent="0.25">
      <c r="A75" s="843">
        <v>30700</v>
      </c>
      <c r="B75" s="843" t="s">
        <v>859</v>
      </c>
      <c r="C75" s="847">
        <v>4004376.26</v>
      </c>
    </row>
    <row r="76" spans="1:3" x14ac:dyDescent="0.25">
      <c r="A76" s="843">
        <v>30705</v>
      </c>
      <c r="B76" s="843" t="s">
        <v>860</v>
      </c>
      <c r="C76" s="847">
        <v>756864.34</v>
      </c>
    </row>
    <row r="77" spans="1:3" x14ac:dyDescent="0.25">
      <c r="A77" s="843">
        <v>30800</v>
      </c>
      <c r="B77" s="843" t="s">
        <v>861</v>
      </c>
      <c r="C77" s="847">
        <v>1436453.12</v>
      </c>
    </row>
    <row r="78" spans="1:3" x14ac:dyDescent="0.25">
      <c r="A78" s="843">
        <v>30900</v>
      </c>
      <c r="B78" s="843" t="s">
        <v>862</v>
      </c>
      <c r="C78" s="847">
        <v>2743957.71</v>
      </c>
    </row>
    <row r="79" spans="1:3" x14ac:dyDescent="0.25">
      <c r="A79" s="843">
        <v>30905</v>
      </c>
      <c r="B79" s="843" t="s">
        <v>863</v>
      </c>
      <c r="C79" s="847">
        <v>640966.24</v>
      </c>
    </row>
    <row r="80" spans="1:3" x14ac:dyDescent="0.25">
      <c r="A80" s="843">
        <v>31000</v>
      </c>
      <c r="B80" s="843" t="s">
        <v>864</v>
      </c>
      <c r="C80" s="847">
        <v>7635491.8499999996</v>
      </c>
    </row>
    <row r="81" spans="1:3" x14ac:dyDescent="0.25">
      <c r="A81" s="843">
        <v>31005</v>
      </c>
      <c r="B81" s="843" t="s">
        <v>865</v>
      </c>
      <c r="C81" s="847">
        <v>818472.04</v>
      </c>
    </row>
    <row r="82" spans="1:3" x14ac:dyDescent="0.25">
      <c r="A82" s="843">
        <v>31100</v>
      </c>
      <c r="B82" s="843" t="s">
        <v>866</v>
      </c>
      <c r="C82" s="847">
        <v>15565065.82</v>
      </c>
    </row>
    <row r="83" spans="1:3" x14ac:dyDescent="0.25">
      <c r="A83" s="843">
        <v>31101</v>
      </c>
      <c r="B83" s="843" t="s">
        <v>867</v>
      </c>
      <c r="C83" s="847">
        <v>87618.77</v>
      </c>
    </row>
    <row r="84" spans="1:3" x14ac:dyDescent="0.25">
      <c r="A84" s="843">
        <v>31102</v>
      </c>
      <c r="B84" s="843" t="s">
        <v>868</v>
      </c>
      <c r="C84" s="847">
        <v>231711.5</v>
      </c>
    </row>
    <row r="85" spans="1:3" x14ac:dyDescent="0.25">
      <c r="A85" s="843">
        <v>31105</v>
      </c>
      <c r="B85" s="843" t="s">
        <v>869</v>
      </c>
      <c r="C85" s="847">
        <v>2625604.69</v>
      </c>
    </row>
    <row r="86" spans="1:3" x14ac:dyDescent="0.25">
      <c r="A86" s="843">
        <v>31110</v>
      </c>
      <c r="B86" s="843" t="s">
        <v>870</v>
      </c>
      <c r="C86" s="847">
        <v>3521399.72</v>
      </c>
    </row>
    <row r="87" spans="1:3" x14ac:dyDescent="0.25">
      <c r="A87" s="843">
        <v>31200</v>
      </c>
      <c r="B87" s="843" t="s">
        <v>871</v>
      </c>
      <c r="C87" s="847">
        <v>6890770.0099999998</v>
      </c>
    </row>
    <row r="88" spans="1:3" x14ac:dyDescent="0.25">
      <c r="A88" s="843">
        <v>31205</v>
      </c>
      <c r="B88" s="843" t="s">
        <v>872</v>
      </c>
      <c r="C88" s="847">
        <v>922753.96</v>
      </c>
    </row>
    <row r="89" spans="1:3" x14ac:dyDescent="0.25">
      <c r="A89" s="843">
        <v>31300</v>
      </c>
      <c r="B89" s="843" t="s">
        <v>873</v>
      </c>
      <c r="C89" s="847">
        <v>17757020.77</v>
      </c>
    </row>
    <row r="90" spans="1:3" x14ac:dyDescent="0.25">
      <c r="A90" s="843">
        <v>31301</v>
      </c>
      <c r="B90" s="843" t="s">
        <v>874</v>
      </c>
      <c r="C90" s="847">
        <v>353671.9</v>
      </c>
    </row>
    <row r="91" spans="1:3" x14ac:dyDescent="0.25">
      <c r="A91" s="843">
        <v>31320</v>
      </c>
      <c r="B91" s="843" t="s">
        <v>875</v>
      </c>
      <c r="C91" s="847">
        <v>3162216.51</v>
      </c>
    </row>
    <row r="92" spans="1:3" x14ac:dyDescent="0.25">
      <c r="A92" s="843">
        <v>31400</v>
      </c>
      <c r="B92" s="843" t="s">
        <v>876</v>
      </c>
      <c r="C92" s="847">
        <v>7271181.8600000003</v>
      </c>
    </row>
    <row r="93" spans="1:3" x14ac:dyDescent="0.25">
      <c r="A93" s="843">
        <v>31405</v>
      </c>
      <c r="B93" s="843" t="s">
        <v>877</v>
      </c>
      <c r="C93" s="847">
        <v>1639692.49</v>
      </c>
    </row>
    <row r="94" spans="1:3" x14ac:dyDescent="0.25">
      <c r="A94" s="843">
        <v>31500</v>
      </c>
      <c r="B94" s="843" t="s">
        <v>878</v>
      </c>
      <c r="C94" s="847">
        <v>1163491.22</v>
      </c>
    </row>
    <row r="95" spans="1:3" x14ac:dyDescent="0.25">
      <c r="A95" s="843">
        <v>31600</v>
      </c>
      <c r="B95" s="843" t="s">
        <v>879</v>
      </c>
      <c r="C95" s="847">
        <v>5062724.8499999996</v>
      </c>
    </row>
    <row r="96" spans="1:3" x14ac:dyDescent="0.25">
      <c r="A96" s="843">
        <v>31601</v>
      </c>
      <c r="B96" s="843" t="s">
        <v>1683</v>
      </c>
      <c r="C96" s="847">
        <v>0</v>
      </c>
    </row>
    <row r="97" spans="1:3" x14ac:dyDescent="0.25">
      <c r="A97" s="843">
        <v>31605</v>
      </c>
      <c r="B97" s="843" t="s">
        <v>881</v>
      </c>
      <c r="C97" s="847">
        <v>822925.29</v>
      </c>
    </row>
    <row r="98" spans="1:3" x14ac:dyDescent="0.25">
      <c r="A98" s="843">
        <v>31700</v>
      </c>
      <c r="B98" s="843" t="s">
        <v>882</v>
      </c>
      <c r="C98" s="847">
        <v>1630016.76</v>
      </c>
    </row>
    <row r="99" spans="1:3" x14ac:dyDescent="0.25">
      <c r="A99" s="843">
        <v>31800</v>
      </c>
      <c r="B99" s="843" t="s">
        <v>883</v>
      </c>
      <c r="C99" s="847">
        <v>9034559.3499999996</v>
      </c>
    </row>
    <row r="100" spans="1:3" x14ac:dyDescent="0.25">
      <c r="A100" s="843">
        <v>31805</v>
      </c>
      <c r="B100" s="843" t="s">
        <v>884</v>
      </c>
      <c r="C100" s="847">
        <v>2007237.1</v>
      </c>
    </row>
    <row r="101" spans="1:3" x14ac:dyDescent="0.25">
      <c r="A101" s="843">
        <v>31810</v>
      </c>
      <c r="B101" s="843" t="s">
        <v>885</v>
      </c>
      <c r="C101" s="847">
        <v>2358064.09</v>
      </c>
    </row>
    <row r="102" spans="1:3" x14ac:dyDescent="0.25">
      <c r="A102" s="843">
        <v>31820</v>
      </c>
      <c r="B102" s="843" t="s">
        <v>886</v>
      </c>
      <c r="C102" s="847">
        <v>1907625.7</v>
      </c>
    </row>
    <row r="103" spans="1:3" x14ac:dyDescent="0.25">
      <c r="A103" s="843">
        <v>31900</v>
      </c>
      <c r="B103" s="843" t="s">
        <v>887</v>
      </c>
      <c r="C103" s="847">
        <v>5543920.2800000003</v>
      </c>
    </row>
    <row r="104" spans="1:3" x14ac:dyDescent="0.25">
      <c r="A104" s="843">
        <v>32000</v>
      </c>
      <c r="B104" s="843" t="s">
        <v>888</v>
      </c>
      <c r="C104" s="847">
        <v>2268964.9700000002</v>
      </c>
    </row>
    <row r="105" spans="1:3" x14ac:dyDescent="0.25">
      <c r="A105" s="843">
        <v>32005</v>
      </c>
      <c r="B105" s="843" t="s">
        <v>889</v>
      </c>
      <c r="C105" s="847">
        <v>541676.51</v>
      </c>
    </row>
    <row r="106" spans="1:3" x14ac:dyDescent="0.25">
      <c r="A106" s="843">
        <v>32100</v>
      </c>
      <c r="B106" s="843" t="s">
        <v>890</v>
      </c>
      <c r="C106" s="847">
        <v>1374211.93</v>
      </c>
    </row>
    <row r="107" spans="1:3" x14ac:dyDescent="0.25">
      <c r="A107" s="843">
        <v>32200</v>
      </c>
      <c r="B107" s="843" t="s">
        <v>891</v>
      </c>
      <c r="C107" s="847">
        <v>884452.08</v>
      </c>
    </row>
    <row r="108" spans="1:3" x14ac:dyDescent="0.25">
      <c r="A108" s="843">
        <v>32300</v>
      </c>
      <c r="B108" s="843" t="s">
        <v>892</v>
      </c>
      <c r="C108" s="847">
        <v>9198230.4499999993</v>
      </c>
    </row>
    <row r="109" spans="1:3" x14ac:dyDescent="0.25">
      <c r="A109" s="843">
        <v>32305</v>
      </c>
      <c r="B109" s="843" t="s">
        <v>1548</v>
      </c>
      <c r="C109" s="847">
        <v>1055696.93</v>
      </c>
    </row>
    <row r="110" spans="1:3" x14ac:dyDescent="0.25">
      <c r="A110" s="843">
        <v>32400</v>
      </c>
      <c r="B110" s="843" t="s">
        <v>894</v>
      </c>
      <c r="C110" s="847">
        <v>3509484.03</v>
      </c>
    </row>
    <row r="111" spans="1:3" x14ac:dyDescent="0.25">
      <c r="A111" s="843">
        <v>32405</v>
      </c>
      <c r="B111" s="843" t="s">
        <v>895</v>
      </c>
      <c r="C111" s="847">
        <v>967902.54</v>
      </c>
    </row>
    <row r="112" spans="1:3" x14ac:dyDescent="0.25">
      <c r="A112" s="843">
        <v>32410</v>
      </c>
      <c r="B112" s="843" t="s">
        <v>896</v>
      </c>
      <c r="C112" s="847">
        <v>1406061.39</v>
      </c>
    </row>
    <row r="113" spans="1:3" x14ac:dyDescent="0.25">
      <c r="A113" s="843">
        <v>32420</v>
      </c>
      <c r="B113" s="843" t="s">
        <v>1684</v>
      </c>
      <c r="C113" s="847">
        <v>0</v>
      </c>
    </row>
    <row r="114" spans="1:3" x14ac:dyDescent="0.25">
      <c r="A114" s="843">
        <v>32500</v>
      </c>
      <c r="B114" s="843" t="s">
        <v>1549</v>
      </c>
      <c r="C114" s="847">
        <v>7548070.2400000002</v>
      </c>
    </row>
    <row r="115" spans="1:3" x14ac:dyDescent="0.25">
      <c r="A115" s="843">
        <v>32505</v>
      </c>
      <c r="B115" s="843" t="s">
        <v>899</v>
      </c>
      <c r="C115" s="847">
        <v>1239246.02</v>
      </c>
    </row>
    <row r="116" spans="1:3" x14ac:dyDescent="0.25">
      <c r="A116" s="843">
        <v>32600</v>
      </c>
      <c r="B116" s="843" t="s">
        <v>900</v>
      </c>
      <c r="C116" s="847">
        <v>27386804.079999998</v>
      </c>
    </row>
    <row r="117" spans="1:3" x14ac:dyDescent="0.25">
      <c r="A117" s="843">
        <v>32605</v>
      </c>
      <c r="B117" s="843" t="s">
        <v>901</v>
      </c>
      <c r="C117" s="847">
        <v>4369440</v>
      </c>
    </row>
    <row r="118" spans="1:3" x14ac:dyDescent="0.25">
      <c r="A118" s="843">
        <v>32700</v>
      </c>
      <c r="B118" s="843" t="s">
        <v>902</v>
      </c>
      <c r="C118" s="847">
        <v>2511603.84</v>
      </c>
    </row>
    <row r="119" spans="1:3" x14ac:dyDescent="0.25">
      <c r="A119" s="843">
        <v>32800</v>
      </c>
      <c r="B119" s="843" t="s">
        <v>903</v>
      </c>
      <c r="C119" s="847">
        <v>3753142.96</v>
      </c>
    </row>
    <row r="120" spans="1:3" x14ac:dyDescent="0.25">
      <c r="A120" s="843">
        <v>32900</v>
      </c>
      <c r="B120" s="843" t="s">
        <v>904</v>
      </c>
      <c r="C120" s="847">
        <v>10109093.439999999</v>
      </c>
    </row>
    <row r="121" spans="1:3" x14ac:dyDescent="0.25">
      <c r="A121" s="843">
        <v>32901</v>
      </c>
      <c r="B121" s="843" t="s">
        <v>1550</v>
      </c>
      <c r="C121" s="847">
        <v>221897.7</v>
      </c>
    </row>
    <row r="122" spans="1:3" x14ac:dyDescent="0.25">
      <c r="A122" s="843">
        <v>32905</v>
      </c>
      <c r="B122" s="843" t="s">
        <v>906</v>
      </c>
      <c r="C122" s="847">
        <v>1577053.85</v>
      </c>
    </row>
    <row r="123" spans="1:3" x14ac:dyDescent="0.25">
      <c r="A123" s="843">
        <v>32910</v>
      </c>
      <c r="B123" s="843" t="s">
        <v>907</v>
      </c>
      <c r="C123" s="847">
        <v>1990879.94</v>
      </c>
    </row>
    <row r="124" spans="1:3" x14ac:dyDescent="0.25">
      <c r="A124" s="843">
        <v>32920</v>
      </c>
      <c r="B124" s="843" t="s">
        <v>908</v>
      </c>
      <c r="C124" s="847">
        <v>1571808.91</v>
      </c>
    </row>
    <row r="125" spans="1:3" x14ac:dyDescent="0.25">
      <c r="A125" s="843">
        <v>33000</v>
      </c>
      <c r="B125" s="843" t="s">
        <v>909</v>
      </c>
      <c r="C125" s="847">
        <v>3743565.77</v>
      </c>
    </row>
    <row r="126" spans="1:3" x14ac:dyDescent="0.25">
      <c r="A126" s="843">
        <v>33001</v>
      </c>
      <c r="B126" s="843" t="s">
        <v>910</v>
      </c>
      <c r="C126" s="847">
        <v>97035.36</v>
      </c>
    </row>
    <row r="127" spans="1:3" x14ac:dyDescent="0.25">
      <c r="A127" s="843">
        <v>33027</v>
      </c>
      <c r="B127" s="843" t="s">
        <v>911</v>
      </c>
      <c r="C127" s="847">
        <v>403774.13</v>
      </c>
    </row>
    <row r="128" spans="1:3" x14ac:dyDescent="0.25">
      <c r="A128" s="843">
        <v>33100</v>
      </c>
      <c r="B128" s="843" t="s">
        <v>912</v>
      </c>
      <c r="C128" s="847">
        <v>5446618.1600000001</v>
      </c>
    </row>
    <row r="129" spans="1:3" x14ac:dyDescent="0.25">
      <c r="A129" s="843">
        <v>33105</v>
      </c>
      <c r="B129" s="843" t="s">
        <v>913</v>
      </c>
      <c r="C129" s="847">
        <v>641740.06000000006</v>
      </c>
    </row>
    <row r="130" spans="1:3" x14ac:dyDescent="0.25">
      <c r="A130" s="843">
        <v>33200</v>
      </c>
      <c r="B130" s="843" t="s">
        <v>914</v>
      </c>
      <c r="C130" s="847">
        <v>22995671.690000001</v>
      </c>
    </row>
    <row r="131" spans="1:3" x14ac:dyDescent="0.25">
      <c r="A131" s="843">
        <v>33202</v>
      </c>
      <c r="B131" s="843" t="s">
        <v>915</v>
      </c>
      <c r="C131" s="847">
        <v>336555.92</v>
      </c>
    </row>
    <row r="132" spans="1:3" x14ac:dyDescent="0.25">
      <c r="A132" s="843">
        <v>33203</v>
      </c>
      <c r="B132" s="843" t="s">
        <v>916</v>
      </c>
      <c r="C132" s="847">
        <v>170614.56</v>
      </c>
    </row>
    <row r="133" spans="1:3" x14ac:dyDescent="0.25">
      <c r="A133" s="843">
        <v>33204</v>
      </c>
      <c r="B133" s="843" t="s">
        <v>917</v>
      </c>
      <c r="C133" s="847">
        <v>538293.79</v>
      </c>
    </row>
    <row r="134" spans="1:3" x14ac:dyDescent="0.25">
      <c r="A134" s="843">
        <v>33205</v>
      </c>
      <c r="B134" s="843" t="s">
        <v>918</v>
      </c>
      <c r="C134" s="847">
        <v>2042301.01</v>
      </c>
    </row>
    <row r="135" spans="1:3" x14ac:dyDescent="0.25">
      <c r="A135" s="843">
        <v>33206</v>
      </c>
      <c r="B135" s="843" t="s">
        <v>919</v>
      </c>
      <c r="C135" s="847">
        <v>183832.71</v>
      </c>
    </row>
    <row r="136" spans="1:3" x14ac:dyDescent="0.25">
      <c r="A136" s="843">
        <v>33207</v>
      </c>
      <c r="B136" s="843" t="s">
        <v>1134</v>
      </c>
      <c r="C136" s="850">
        <v>412371.51</v>
      </c>
    </row>
    <row r="137" spans="1:3" x14ac:dyDescent="0.25">
      <c r="A137" s="843">
        <v>33208</v>
      </c>
      <c r="B137" s="843" t="s">
        <v>1135</v>
      </c>
    </row>
    <row r="138" spans="1:3" x14ac:dyDescent="0.25">
      <c r="A138" s="843">
        <v>33209</v>
      </c>
      <c r="B138" s="843" t="s">
        <v>1136</v>
      </c>
      <c r="C138" s="847">
        <v>149857.24</v>
      </c>
    </row>
    <row r="139" spans="1:3" x14ac:dyDescent="0.25">
      <c r="A139" s="843">
        <v>33300</v>
      </c>
      <c r="B139" s="843" t="s">
        <v>920</v>
      </c>
      <c r="C139" s="847">
        <v>3572119.28</v>
      </c>
    </row>
    <row r="140" spans="1:3" x14ac:dyDescent="0.25">
      <c r="A140" s="843">
        <v>33305</v>
      </c>
      <c r="B140" s="843" t="s">
        <v>921</v>
      </c>
      <c r="C140" s="847">
        <v>1048310.01</v>
      </c>
    </row>
    <row r="141" spans="1:3" x14ac:dyDescent="0.25">
      <c r="A141" s="843">
        <v>33400</v>
      </c>
      <c r="B141" s="843" t="s">
        <v>922</v>
      </c>
      <c r="C141" s="847">
        <v>32523387.109999999</v>
      </c>
    </row>
    <row r="142" spans="1:3" x14ac:dyDescent="0.25">
      <c r="A142" s="843">
        <v>33402</v>
      </c>
      <c r="B142" s="843" t="s">
        <v>923</v>
      </c>
      <c r="C142" s="847">
        <v>233141.39</v>
      </c>
    </row>
    <row r="143" spans="1:3" x14ac:dyDescent="0.25">
      <c r="A143" s="843">
        <v>33403</v>
      </c>
      <c r="B143" s="843" t="s">
        <v>1685</v>
      </c>
      <c r="C143" s="847">
        <v>0</v>
      </c>
    </row>
    <row r="144" spans="1:3" x14ac:dyDescent="0.25">
      <c r="A144" s="843">
        <v>33405</v>
      </c>
      <c r="B144" s="843" t="s">
        <v>925</v>
      </c>
      <c r="C144" s="847">
        <v>3191006.49</v>
      </c>
    </row>
    <row r="145" spans="1:3" x14ac:dyDescent="0.25">
      <c r="A145" s="843">
        <v>33500</v>
      </c>
      <c r="B145" s="843" t="s">
        <v>926</v>
      </c>
      <c r="C145" s="847">
        <v>4663451.4800000004</v>
      </c>
    </row>
    <row r="146" spans="1:3" x14ac:dyDescent="0.25">
      <c r="A146" s="843">
        <v>33501</v>
      </c>
      <c r="B146" s="843" t="s">
        <v>927</v>
      </c>
      <c r="C146" s="847">
        <v>107183.71</v>
      </c>
    </row>
    <row r="147" spans="1:3" x14ac:dyDescent="0.25">
      <c r="A147" s="843">
        <v>33600</v>
      </c>
      <c r="B147" s="843" t="s">
        <v>928</v>
      </c>
      <c r="C147" s="847">
        <v>16905232.07</v>
      </c>
    </row>
    <row r="148" spans="1:3" x14ac:dyDescent="0.25">
      <c r="A148" s="843">
        <v>33605</v>
      </c>
      <c r="B148" s="843" t="s">
        <v>929</v>
      </c>
      <c r="C148" s="847">
        <v>2419232.87</v>
      </c>
    </row>
    <row r="149" spans="1:3" x14ac:dyDescent="0.25">
      <c r="A149" s="843">
        <v>33700</v>
      </c>
      <c r="B149" s="843" t="s">
        <v>930</v>
      </c>
      <c r="C149" s="847">
        <v>1179195.6499999999</v>
      </c>
    </row>
    <row r="150" spans="1:3" x14ac:dyDescent="0.25">
      <c r="A150" s="843">
        <v>33800</v>
      </c>
      <c r="B150" s="843" t="s">
        <v>931</v>
      </c>
      <c r="C150" s="847">
        <v>872606.61</v>
      </c>
    </row>
    <row r="151" spans="1:3" x14ac:dyDescent="0.25">
      <c r="A151" s="843">
        <v>33900</v>
      </c>
      <c r="B151" s="843" t="s">
        <v>1686</v>
      </c>
      <c r="C151" s="847">
        <v>4511295.1100000003</v>
      </c>
    </row>
    <row r="152" spans="1:3" x14ac:dyDescent="0.25">
      <c r="A152" s="843">
        <v>34000</v>
      </c>
      <c r="B152" s="843" t="s">
        <v>933</v>
      </c>
      <c r="C152" s="847">
        <v>1936628.93</v>
      </c>
    </row>
    <row r="153" spans="1:3" x14ac:dyDescent="0.25">
      <c r="A153" s="843">
        <v>34100</v>
      </c>
      <c r="B153" s="843" t="s">
        <v>934</v>
      </c>
      <c r="C153" s="847">
        <v>43238716.560000002</v>
      </c>
    </row>
    <row r="154" spans="1:3" x14ac:dyDescent="0.25">
      <c r="A154" s="843">
        <v>34105</v>
      </c>
      <c r="B154" s="843" t="s">
        <v>935</v>
      </c>
      <c r="C154" s="847">
        <v>4002889.48</v>
      </c>
    </row>
    <row r="155" spans="1:3" x14ac:dyDescent="0.25">
      <c r="A155" s="843">
        <v>34200</v>
      </c>
      <c r="B155" s="843" t="s">
        <v>936</v>
      </c>
      <c r="C155" s="847">
        <v>1656841</v>
      </c>
    </row>
    <row r="156" spans="1:3" x14ac:dyDescent="0.25">
      <c r="A156" s="843">
        <v>34205</v>
      </c>
      <c r="B156" s="843" t="s">
        <v>937</v>
      </c>
      <c r="C156" s="847">
        <v>726946.84</v>
      </c>
    </row>
    <row r="157" spans="1:3" x14ac:dyDescent="0.25">
      <c r="A157" s="843">
        <v>34220</v>
      </c>
      <c r="B157" s="843" t="s">
        <v>938</v>
      </c>
      <c r="C157" s="847">
        <v>1819687.26</v>
      </c>
    </row>
    <row r="158" spans="1:3" x14ac:dyDescent="0.25">
      <c r="A158" s="843">
        <v>34230</v>
      </c>
      <c r="B158" s="843" t="s">
        <v>939</v>
      </c>
      <c r="C158" s="847">
        <v>700494.32</v>
      </c>
    </row>
    <row r="159" spans="1:3" x14ac:dyDescent="0.25">
      <c r="A159" s="843">
        <v>34300</v>
      </c>
      <c r="B159" s="843" t="s">
        <v>940</v>
      </c>
      <c r="C159" s="847">
        <v>10768005.619999999</v>
      </c>
    </row>
    <row r="160" spans="1:3" x14ac:dyDescent="0.25">
      <c r="A160" s="843">
        <v>34400</v>
      </c>
      <c r="B160" s="843" t="s">
        <v>941</v>
      </c>
      <c r="C160" s="847">
        <v>4298748.43</v>
      </c>
    </row>
    <row r="161" spans="1:3" x14ac:dyDescent="0.25">
      <c r="A161" s="843">
        <v>34405</v>
      </c>
      <c r="B161" s="843" t="s">
        <v>942</v>
      </c>
      <c r="C161" s="847">
        <v>891020.84</v>
      </c>
    </row>
    <row r="162" spans="1:3" x14ac:dyDescent="0.25">
      <c r="A162" s="843">
        <v>34500</v>
      </c>
      <c r="B162" s="843" t="s">
        <v>943</v>
      </c>
      <c r="C162" s="847">
        <v>7754746.1200000001</v>
      </c>
    </row>
    <row r="163" spans="1:3" x14ac:dyDescent="0.25">
      <c r="A163" s="843">
        <v>34501</v>
      </c>
      <c r="B163" s="843" t="s">
        <v>944</v>
      </c>
      <c r="C163" s="847">
        <v>93442.92</v>
      </c>
    </row>
    <row r="164" spans="1:3" x14ac:dyDescent="0.25">
      <c r="A164" s="843">
        <v>34505</v>
      </c>
      <c r="B164" s="843" t="s">
        <v>945</v>
      </c>
      <c r="C164" s="847">
        <v>1116587.06</v>
      </c>
    </row>
    <row r="165" spans="1:3" x14ac:dyDescent="0.25">
      <c r="A165" s="843">
        <v>34600</v>
      </c>
      <c r="B165" s="843" t="s">
        <v>946</v>
      </c>
      <c r="C165" s="847">
        <v>1954462.41</v>
      </c>
    </row>
    <row r="166" spans="1:3" x14ac:dyDescent="0.25">
      <c r="A166" s="843">
        <v>34605</v>
      </c>
      <c r="B166" s="843" t="s">
        <v>947</v>
      </c>
      <c r="C166" s="847">
        <v>393629.49</v>
      </c>
    </row>
    <row r="167" spans="1:3" x14ac:dyDescent="0.25">
      <c r="A167" s="843">
        <v>34700</v>
      </c>
      <c r="B167" s="843" t="s">
        <v>948</v>
      </c>
      <c r="C167" s="847">
        <v>4710060.6100000003</v>
      </c>
    </row>
    <row r="168" spans="1:3" x14ac:dyDescent="0.25">
      <c r="A168" s="843">
        <v>34800</v>
      </c>
      <c r="B168" s="843" t="s">
        <v>949</v>
      </c>
      <c r="C168" s="847">
        <v>607656.76</v>
      </c>
    </row>
    <row r="169" spans="1:3" x14ac:dyDescent="0.25">
      <c r="A169" s="843">
        <v>34900</v>
      </c>
      <c r="B169" s="843" t="s">
        <v>1551</v>
      </c>
      <c r="C169" s="847">
        <v>11234401.84</v>
      </c>
    </row>
    <row r="170" spans="1:3" x14ac:dyDescent="0.25">
      <c r="A170" s="843">
        <v>34901</v>
      </c>
      <c r="B170" s="843" t="s">
        <v>1552</v>
      </c>
      <c r="C170" s="847">
        <v>253722.1</v>
      </c>
    </row>
    <row r="171" spans="1:3" x14ac:dyDescent="0.25">
      <c r="A171" s="843">
        <v>34903</v>
      </c>
      <c r="B171" s="843" t="s">
        <v>952</v>
      </c>
      <c r="C171" s="847">
        <v>25777.3</v>
      </c>
    </row>
    <row r="172" spans="1:3" x14ac:dyDescent="0.25">
      <c r="A172" s="843">
        <v>34905</v>
      </c>
      <c r="B172" s="843" t="s">
        <v>953</v>
      </c>
      <c r="C172" s="847">
        <v>1117719.6000000001</v>
      </c>
    </row>
    <row r="173" spans="1:3" x14ac:dyDescent="0.25">
      <c r="A173" s="843">
        <v>34910</v>
      </c>
      <c r="B173" s="843" t="s">
        <v>954</v>
      </c>
      <c r="C173" s="847">
        <v>3408147.85</v>
      </c>
    </row>
    <row r="174" spans="1:3" x14ac:dyDescent="0.25">
      <c r="A174" s="843">
        <v>35000</v>
      </c>
      <c r="B174" s="843" t="s">
        <v>955</v>
      </c>
      <c r="C174" s="847">
        <v>2266860.17</v>
      </c>
    </row>
    <row r="175" spans="1:3" x14ac:dyDescent="0.25">
      <c r="A175" s="843">
        <v>35005</v>
      </c>
      <c r="B175" s="843" t="s">
        <v>956</v>
      </c>
      <c r="C175" s="847">
        <v>1124943.83</v>
      </c>
    </row>
    <row r="176" spans="1:3" x14ac:dyDescent="0.25">
      <c r="A176" s="843">
        <v>35100</v>
      </c>
      <c r="B176" s="843" t="s">
        <v>957</v>
      </c>
      <c r="C176" s="847">
        <v>19760758.370000001</v>
      </c>
    </row>
    <row r="177" spans="1:3" x14ac:dyDescent="0.25">
      <c r="A177" s="843">
        <v>35105</v>
      </c>
      <c r="B177" s="843" t="s">
        <v>958</v>
      </c>
      <c r="C177" s="847">
        <v>1793027.96</v>
      </c>
    </row>
    <row r="178" spans="1:3" x14ac:dyDescent="0.25">
      <c r="A178" s="843">
        <v>35106</v>
      </c>
      <c r="B178" s="843" t="s">
        <v>959</v>
      </c>
      <c r="C178" s="847">
        <v>383389.47</v>
      </c>
    </row>
    <row r="179" spans="1:3" x14ac:dyDescent="0.25">
      <c r="A179" s="843">
        <v>35200</v>
      </c>
      <c r="B179" s="843" t="s">
        <v>960</v>
      </c>
      <c r="C179" s="847">
        <v>937937.31</v>
      </c>
    </row>
    <row r="180" spans="1:3" x14ac:dyDescent="0.25">
      <c r="A180" s="843">
        <v>35300</v>
      </c>
      <c r="B180" s="843" t="s">
        <v>1687</v>
      </c>
      <c r="C180" s="847">
        <v>5907846.4699999997</v>
      </c>
    </row>
    <row r="181" spans="1:3" x14ac:dyDescent="0.25">
      <c r="A181" s="843">
        <v>35305</v>
      </c>
      <c r="B181" s="843" t="s">
        <v>962</v>
      </c>
      <c r="C181" s="847">
        <v>2334207.63</v>
      </c>
    </row>
    <row r="182" spans="1:3" x14ac:dyDescent="0.25">
      <c r="A182" s="843">
        <v>35400</v>
      </c>
      <c r="B182" s="843" t="s">
        <v>963</v>
      </c>
      <c r="C182" s="847">
        <v>4677849.28</v>
      </c>
    </row>
    <row r="183" spans="1:3" x14ac:dyDescent="0.25">
      <c r="A183" s="843">
        <v>35401</v>
      </c>
      <c r="B183" s="843" t="s">
        <v>964</v>
      </c>
      <c r="C183" s="847">
        <v>47883.61</v>
      </c>
    </row>
    <row r="184" spans="1:3" x14ac:dyDescent="0.25">
      <c r="A184" s="843">
        <v>35402</v>
      </c>
      <c r="B184" s="843" t="s">
        <v>1688</v>
      </c>
      <c r="C184" s="847">
        <v>0</v>
      </c>
    </row>
    <row r="185" spans="1:3" x14ac:dyDescent="0.25">
      <c r="A185" s="843">
        <v>35405</v>
      </c>
      <c r="B185" s="843" t="s">
        <v>966</v>
      </c>
      <c r="C185" s="847">
        <v>1562262.35</v>
      </c>
    </row>
    <row r="186" spans="1:3" x14ac:dyDescent="0.25">
      <c r="A186" s="843">
        <v>35500</v>
      </c>
      <c r="B186" s="843" t="s">
        <v>967</v>
      </c>
      <c r="C186" s="847">
        <v>6138495.96</v>
      </c>
    </row>
    <row r="187" spans="1:3" x14ac:dyDescent="0.25">
      <c r="A187" s="843">
        <v>35600</v>
      </c>
      <c r="B187" s="843" t="s">
        <v>968</v>
      </c>
      <c r="C187" s="847">
        <v>2673806.25</v>
      </c>
    </row>
    <row r="188" spans="1:3" x14ac:dyDescent="0.25">
      <c r="A188" s="843">
        <v>35700</v>
      </c>
      <c r="B188" s="843" t="s">
        <v>969</v>
      </c>
      <c r="C188" s="847">
        <v>1466531.48</v>
      </c>
    </row>
    <row r="189" spans="1:3" x14ac:dyDescent="0.25">
      <c r="A189" s="843">
        <v>35800</v>
      </c>
      <c r="B189" s="843" t="s">
        <v>970</v>
      </c>
      <c r="C189" s="847">
        <v>2202776.7200000002</v>
      </c>
    </row>
    <row r="190" spans="1:3" x14ac:dyDescent="0.25">
      <c r="A190" s="843">
        <v>35805</v>
      </c>
      <c r="B190" s="843" t="s">
        <v>971</v>
      </c>
      <c r="C190" s="847">
        <v>460897.85</v>
      </c>
    </row>
    <row r="191" spans="1:3" x14ac:dyDescent="0.25">
      <c r="A191" s="843">
        <v>35900</v>
      </c>
      <c r="B191" s="843" t="s">
        <v>972</v>
      </c>
      <c r="C191" s="847">
        <v>3824353</v>
      </c>
    </row>
    <row r="192" spans="1:3" x14ac:dyDescent="0.25">
      <c r="A192" s="843">
        <v>35905</v>
      </c>
      <c r="B192" s="843" t="s">
        <v>973</v>
      </c>
      <c r="C192" s="847">
        <v>609742.84</v>
      </c>
    </row>
    <row r="193" spans="1:3" x14ac:dyDescent="0.25">
      <c r="A193" s="843">
        <v>36000</v>
      </c>
      <c r="B193" s="843" t="s">
        <v>974</v>
      </c>
      <c r="C193" s="850">
        <v>87146345.819999993</v>
      </c>
    </row>
    <row r="194" spans="1:3" x14ac:dyDescent="0.25">
      <c r="A194" s="843">
        <v>36001</v>
      </c>
      <c r="B194" s="843" t="s">
        <v>975</v>
      </c>
    </row>
    <row r="195" spans="1:3" x14ac:dyDescent="0.25">
      <c r="A195" s="843">
        <v>36002</v>
      </c>
      <c r="B195" s="843" t="s">
        <v>1689</v>
      </c>
      <c r="C195" s="847">
        <v>0</v>
      </c>
    </row>
    <row r="196" spans="1:3" x14ac:dyDescent="0.25">
      <c r="A196" s="843">
        <v>36003</v>
      </c>
      <c r="B196" s="843" t="s">
        <v>977</v>
      </c>
      <c r="C196" s="847">
        <v>575866.47</v>
      </c>
    </row>
    <row r="197" spans="1:3" x14ac:dyDescent="0.25">
      <c r="A197" s="843">
        <v>36004</v>
      </c>
      <c r="B197" s="843" t="s">
        <v>1554</v>
      </c>
      <c r="C197" s="847">
        <v>330599.89</v>
      </c>
    </row>
    <row r="198" spans="1:3" x14ac:dyDescent="0.25">
      <c r="A198" s="843">
        <v>36005</v>
      </c>
      <c r="B198" s="843" t="s">
        <v>979</v>
      </c>
      <c r="C198" s="847">
        <v>8048713.71</v>
      </c>
    </row>
    <row r="199" spans="1:3" x14ac:dyDescent="0.25">
      <c r="A199" s="843">
        <v>36006</v>
      </c>
      <c r="B199" s="843" t="s">
        <v>980</v>
      </c>
      <c r="C199" s="847">
        <v>853685.95</v>
      </c>
    </row>
    <row r="200" spans="1:3" x14ac:dyDescent="0.25">
      <c r="A200" s="843">
        <v>36007</v>
      </c>
      <c r="B200" s="843" t="s">
        <v>981</v>
      </c>
      <c r="C200" s="847">
        <v>286684.76</v>
      </c>
    </row>
    <row r="201" spans="1:3" x14ac:dyDescent="0.25">
      <c r="A201" s="843">
        <v>36008</v>
      </c>
      <c r="B201" s="843" t="s">
        <v>982</v>
      </c>
      <c r="C201" s="847">
        <v>740639.8</v>
      </c>
    </row>
    <row r="202" spans="1:3" x14ac:dyDescent="0.25">
      <c r="A202" s="843">
        <v>36009</v>
      </c>
      <c r="B202" s="843" t="s">
        <v>983</v>
      </c>
      <c r="C202" s="847">
        <v>163065.4</v>
      </c>
    </row>
    <row r="203" spans="1:3" x14ac:dyDescent="0.25">
      <c r="A203" s="843">
        <v>36100</v>
      </c>
      <c r="B203" s="843" t="s">
        <v>984</v>
      </c>
      <c r="C203" s="847">
        <v>1215862.53</v>
      </c>
    </row>
    <row r="204" spans="1:3" x14ac:dyDescent="0.25">
      <c r="A204" s="843">
        <v>36102</v>
      </c>
      <c r="B204" s="843" t="s">
        <v>985</v>
      </c>
      <c r="C204" s="847">
        <v>328151.28999999998</v>
      </c>
    </row>
    <row r="205" spans="1:3" x14ac:dyDescent="0.25">
      <c r="A205" s="843">
        <v>36105</v>
      </c>
      <c r="B205" s="843" t="s">
        <v>986</v>
      </c>
      <c r="C205" s="847">
        <v>661798.77</v>
      </c>
    </row>
    <row r="206" spans="1:3" x14ac:dyDescent="0.25">
      <c r="A206" s="843">
        <v>36200</v>
      </c>
      <c r="B206" s="843" t="s">
        <v>987</v>
      </c>
      <c r="C206" s="847">
        <v>2541607.83</v>
      </c>
    </row>
    <row r="207" spans="1:3" x14ac:dyDescent="0.25">
      <c r="A207" s="843">
        <v>36205</v>
      </c>
      <c r="B207" s="843" t="s">
        <v>988</v>
      </c>
      <c r="C207" s="847">
        <v>442006.94</v>
      </c>
    </row>
    <row r="208" spans="1:3" x14ac:dyDescent="0.25">
      <c r="A208" s="843">
        <v>36300</v>
      </c>
      <c r="B208" s="843" t="s">
        <v>989</v>
      </c>
      <c r="C208" s="847">
        <v>7652318.1699999999</v>
      </c>
    </row>
    <row r="209" spans="1:3" x14ac:dyDescent="0.25">
      <c r="A209" s="843">
        <v>36301</v>
      </c>
      <c r="B209" s="843" t="s">
        <v>990</v>
      </c>
      <c r="C209" s="847">
        <v>116225.06</v>
      </c>
    </row>
    <row r="210" spans="1:3" x14ac:dyDescent="0.25">
      <c r="A210" s="843">
        <v>36302</v>
      </c>
      <c r="B210" s="843" t="s">
        <v>991</v>
      </c>
      <c r="C210" s="847">
        <v>177415.64</v>
      </c>
    </row>
    <row r="211" spans="1:3" x14ac:dyDescent="0.25">
      <c r="A211" s="843">
        <v>36303</v>
      </c>
      <c r="B211" s="843" t="s">
        <v>1667</v>
      </c>
      <c r="C211" s="847">
        <v>219524.68</v>
      </c>
    </row>
    <row r="212" spans="1:3" x14ac:dyDescent="0.25">
      <c r="A212" s="843">
        <v>36305</v>
      </c>
      <c r="B212" s="843" t="s">
        <v>992</v>
      </c>
      <c r="C212" s="847">
        <v>1658202.25</v>
      </c>
    </row>
    <row r="213" spans="1:3" x14ac:dyDescent="0.25">
      <c r="A213" s="843">
        <v>36310</v>
      </c>
      <c r="B213" s="843" t="s">
        <v>1555</v>
      </c>
      <c r="C213" s="847">
        <v>4820.99</v>
      </c>
    </row>
    <row r="214" spans="1:3" x14ac:dyDescent="0.25">
      <c r="A214" s="843">
        <v>36400</v>
      </c>
      <c r="B214" s="843" t="s">
        <v>993</v>
      </c>
      <c r="C214" s="847">
        <v>8735378.5700000003</v>
      </c>
    </row>
    <row r="215" spans="1:3" x14ac:dyDescent="0.25">
      <c r="A215" s="843">
        <v>36405</v>
      </c>
      <c r="B215" s="843" t="s">
        <v>1556</v>
      </c>
      <c r="C215" s="847">
        <v>1406238.82</v>
      </c>
    </row>
    <row r="216" spans="1:3" x14ac:dyDescent="0.25">
      <c r="A216" s="843">
        <v>36500</v>
      </c>
      <c r="B216" s="843" t="s">
        <v>995</v>
      </c>
      <c r="C216" s="847">
        <v>16750008.220000001</v>
      </c>
    </row>
    <row r="217" spans="1:3" x14ac:dyDescent="0.25">
      <c r="A217" s="843">
        <v>36501</v>
      </c>
      <c r="B217" s="843" t="s">
        <v>996</v>
      </c>
      <c r="C217" s="847">
        <v>194457.46</v>
      </c>
    </row>
    <row r="218" spans="1:3" x14ac:dyDescent="0.25">
      <c r="A218" s="843">
        <v>36502</v>
      </c>
      <c r="B218" s="843" t="s">
        <v>997</v>
      </c>
      <c r="C218" s="847">
        <v>67429.81</v>
      </c>
    </row>
    <row r="219" spans="1:3" x14ac:dyDescent="0.25">
      <c r="A219" s="843">
        <v>36505</v>
      </c>
      <c r="B219" s="843" t="s">
        <v>998</v>
      </c>
      <c r="C219" s="847">
        <v>3498739.72</v>
      </c>
    </row>
    <row r="220" spans="1:3" x14ac:dyDescent="0.25">
      <c r="A220" s="843">
        <v>36600</v>
      </c>
      <c r="B220" s="843" t="s">
        <v>999</v>
      </c>
      <c r="C220" s="847">
        <v>1302699.71</v>
      </c>
    </row>
    <row r="221" spans="1:3" x14ac:dyDescent="0.25">
      <c r="A221" s="843">
        <v>36601</v>
      </c>
      <c r="B221" s="843" t="s">
        <v>1000</v>
      </c>
      <c r="C221" s="847">
        <v>599872.24</v>
      </c>
    </row>
    <row r="222" spans="1:3" x14ac:dyDescent="0.25">
      <c r="A222" s="843">
        <v>36700</v>
      </c>
      <c r="B222" s="843" t="s">
        <v>1001</v>
      </c>
      <c r="C222" s="847">
        <v>14210070.85</v>
      </c>
    </row>
    <row r="223" spans="1:3" x14ac:dyDescent="0.25">
      <c r="A223" s="843">
        <v>36701</v>
      </c>
      <c r="B223" s="843" t="s">
        <v>1002</v>
      </c>
      <c r="C223" s="847">
        <v>50139.46</v>
      </c>
    </row>
    <row r="224" spans="1:3" x14ac:dyDescent="0.25">
      <c r="A224" s="843">
        <v>36705</v>
      </c>
      <c r="B224" s="843" t="s">
        <v>1003</v>
      </c>
      <c r="C224" s="847">
        <v>1747676.21</v>
      </c>
    </row>
    <row r="225" spans="1:3" x14ac:dyDescent="0.25">
      <c r="A225" s="843">
        <v>36800</v>
      </c>
      <c r="B225" s="843" t="s">
        <v>1004</v>
      </c>
      <c r="C225" s="847">
        <v>5484590.5800000001</v>
      </c>
    </row>
    <row r="226" spans="1:3" x14ac:dyDescent="0.25">
      <c r="A226" s="843">
        <v>36801</v>
      </c>
      <c r="B226" s="843" t="s">
        <v>1690</v>
      </c>
      <c r="C226" s="847">
        <v>0</v>
      </c>
    </row>
    <row r="227" spans="1:3" x14ac:dyDescent="0.25">
      <c r="A227" s="843">
        <v>36802</v>
      </c>
      <c r="B227" s="843" t="s">
        <v>1006</v>
      </c>
      <c r="C227" s="847">
        <v>260279.82</v>
      </c>
    </row>
    <row r="228" spans="1:3" x14ac:dyDescent="0.25">
      <c r="A228" s="843">
        <v>36810</v>
      </c>
      <c r="B228" s="843" t="s">
        <v>1557</v>
      </c>
      <c r="C228" s="847">
        <v>9941225.1899999995</v>
      </c>
    </row>
    <row r="229" spans="1:3" x14ac:dyDescent="0.25">
      <c r="A229" s="843">
        <v>36900</v>
      </c>
      <c r="B229" s="843" t="s">
        <v>1008</v>
      </c>
      <c r="C229" s="847">
        <v>1024217.72</v>
      </c>
    </row>
    <row r="230" spans="1:3" x14ac:dyDescent="0.25">
      <c r="A230" s="843">
        <v>36901</v>
      </c>
      <c r="B230" s="843" t="s">
        <v>1009</v>
      </c>
      <c r="C230" s="847">
        <v>364550.56</v>
      </c>
    </row>
    <row r="231" spans="1:3" x14ac:dyDescent="0.25">
      <c r="A231" s="843">
        <v>36905</v>
      </c>
      <c r="B231" s="843" t="s">
        <v>1010</v>
      </c>
      <c r="C231" s="847">
        <v>401381.86</v>
      </c>
    </row>
    <row r="232" spans="1:3" x14ac:dyDescent="0.25">
      <c r="A232" s="843">
        <v>37000</v>
      </c>
      <c r="B232" s="843" t="s">
        <v>1011</v>
      </c>
      <c r="C232" s="847">
        <v>3342654.2</v>
      </c>
    </row>
    <row r="233" spans="1:3" x14ac:dyDescent="0.25">
      <c r="A233" s="843">
        <v>37001</v>
      </c>
      <c r="B233" s="843" t="s">
        <v>1168</v>
      </c>
      <c r="C233" s="847">
        <v>153999.23000000001</v>
      </c>
    </row>
    <row r="234" spans="1:3" x14ac:dyDescent="0.25">
      <c r="A234" s="843">
        <v>37005</v>
      </c>
      <c r="B234" s="843" t="s">
        <v>1012</v>
      </c>
      <c r="C234" s="847">
        <v>934533.52</v>
      </c>
    </row>
    <row r="235" spans="1:3" x14ac:dyDescent="0.25">
      <c r="A235" s="843">
        <v>37100</v>
      </c>
      <c r="B235" s="843" t="s">
        <v>1013</v>
      </c>
      <c r="C235" s="847">
        <v>4857306.32</v>
      </c>
    </row>
    <row r="236" spans="1:3" x14ac:dyDescent="0.25">
      <c r="A236" s="843">
        <v>37200</v>
      </c>
      <c r="B236" s="843" t="s">
        <v>1014</v>
      </c>
      <c r="C236" s="847">
        <v>1088150.3799999999</v>
      </c>
    </row>
    <row r="237" spans="1:3" x14ac:dyDescent="0.25">
      <c r="A237" s="843">
        <v>37300</v>
      </c>
      <c r="B237" s="843" t="s">
        <v>1015</v>
      </c>
      <c r="C237" s="847">
        <v>2883715.93</v>
      </c>
    </row>
    <row r="238" spans="1:3" x14ac:dyDescent="0.25">
      <c r="A238" s="843">
        <v>37301</v>
      </c>
      <c r="B238" s="843" t="s">
        <v>1016</v>
      </c>
      <c r="C238" s="847">
        <v>324533.95</v>
      </c>
    </row>
    <row r="239" spans="1:3" x14ac:dyDescent="0.25">
      <c r="A239" s="843">
        <v>37305</v>
      </c>
      <c r="B239" s="843" t="s">
        <v>1017</v>
      </c>
      <c r="C239" s="847">
        <v>908233.06</v>
      </c>
    </row>
    <row r="240" spans="1:3" x14ac:dyDescent="0.25">
      <c r="A240" s="843">
        <v>37400</v>
      </c>
      <c r="B240" s="843" t="s">
        <v>1018</v>
      </c>
      <c r="C240" s="847">
        <v>13243741.439999999</v>
      </c>
    </row>
    <row r="241" spans="1:3" x14ac:dyDescent="0.25">
      <c r="A241" s="843">
        <v>37405</v>
      </c>
      <c r="B241" s="843" t="s">
        <v>1019</v>
      </c>
      <c r="C241" s="847">
        <v>3157134.05</v>
      </c>
    </row>
    <row r="242" spans="1:3" x14ac:dyDescent="0.25">
      <c r="A242" s="843">
        <v>37500</v>
      </c>
      <c r="B242" s="843" t="s">
        <v>1020</v>
      </c>
      <c r="C242" s="847">
        <v>1639677.83</v>
      </c>
    </row>
    <row r="243" spans="1:3" x14ac:dyDescent="0.25">
      <c r="A243" s="843">
        <v>37600</v>
      </c>
      <c r="B243" s="843" t="s">
        <v>1021</v>
      </c>
      <c r="C243" s="847">
        <v>9369335.2400000002</v>
      </c>
    </row>
    <row r="244" spans="1:3" x14ac:dyDescent="0.25">
      <c r="A244" s="843">
        <v>37601</v>
      </c>
      <c r="B244" s="843" t="s">
        <v>1022</v>
      </c>
      <c r="C244" s="847">
        <v>381844.44</v>
      </c>
    </row>
    <row r="245" spans="1:3" x14ac:dyDescent="0.25">
      <c r="A245" s="843">
        <v>37605</v>
      </c>
      <c r="B245" s="843" t="s">
        <v>1023</v>
      </c>
      <c r="C245" s="847">
        <v>1186895.58</v>
      </c>
    </row>
    <row r="246" spans="1:3" x14ac:dyDescent="0.25">
      <c r="A246" s="843">
        <v>37610</v>
      </c>
      <c r="B246" s="843" t="s">
        <v>1024</v>
      </c>
      <c r="C246" s="847">
        <v>2782604.55</v>
      </c>
    </row>
    <row r="247" spans="1:3" x14ac:dyDescent="0.25">
      <c r="A247" s="843">
        <v>37700</v>
      </c>
      <c r="B247" s="843" t="s">
        <v>1025</v>
      </c>
      <c r="C247" s="847">
        <v>4095080.42</v>
      </c>
    </row>
    <row r="248" spans="1:3" x14ac:dyDescent="0.25">
      <c r="A248" s="843">
        <v>37705</v>
      </c>
      <c r="B248" s="843" t="s">
        <v>1026</v>
      </c>
      <c r="C248" s="847">
        <v>1302106.8999999999</v>
      </c>
    </row>
    <row r="249" spans="1:3" x14ac:dyDescent="0.25">
      <c r="A249" s="843">
        <v>37800</v>
      </c>
      <c r="B249" s="843" t="s">
        <v>1027</v>
      </c>
      <c r="C249" s="847">
        <v>13207892.43</v>
      </c>
    </row>
    <row r="250" spans="1:3" x14ac:dyDescent="0.25">
      <c r="A250" s="843">
        <v>37801</v>
      </c>
      <c r="B250" s="843" t="s">
        <v>1028</v>
      </c>
      <c r="C250" s="847">
        <v>81923.039999999994</v>
      </c>
    </row>
    <row r="251" spans="1:3" x14ac:dyDescent="0.25">
      <c r="A251" s="843">
        <v>37805</v>
      </c>
      <c r="B251" s="843" t="s">
        <v>1029</v>
      </c>
      <c r="C251" s="847">
        <v>1024196.76</v>
      </c>
    </row>
    <row r="252" spans="1:3" x14ac:dyDescent="0.25">
      <c r="A252" s="843">
        <v>37900</v>
      </c>
      <c r="B252" s="843" t="s">
        <v>1030</v>
      </c>
      <c r="C252" s="847">
        <v>6700348.0899999999</v>
      </c>
    </row>
    <row r="253" spans="1:3" x14ac:dyDescent="0.25">
      <c r="A253" s="843">
        <v>37901</v>
      </c>
      <c r="B253" s="843" t="s">
        <v>1031</v>
      </c>
      <c r="C253" s="847">
        <v>124590.81</v>
      </c>
    </row>
    <row r="254" spans="1:3" x14ac:dyDescent="0.25">
      <c r="A254" s="843">
        <v>37905</v>
      </c>
      <c r="B254" s="843" t="s">
        <v>1032</v>
      </c>
      <c r="C254" s="847">
        <v>862451.83</v>
      </c>
    </row>
    <row r="255" spans="1:3" x14ac:dyDescent="0.25">
      <c r="A255" s="843">
        <v>38000</v>
      </c>
      <c r="B255" s="843" t="s">
        <v>1033</v>
      </c>
      <c r="C255" s="847">
        <v>11123492.890000001</v>
      </c>
    </row>
    <row r="256" spans="1:3" x14ac:dyDescent="0.25">
      <c r="A256" s="843">
        <v>38005</v>
      </c>
      <c r="B256" s="843" t="s">
        <v>1034</v>
      </c>
      <c r="C256" s="847">
        <v>2194516.17</v>
      </c>
    </row>
    <row r="257" spans="1:3" x14ac:dyDescent="0.25">
      <c r="A257" s="843">
        <v>38100</v>
      </c>
      <c r="B257" s="843" t="s">
        <v>1035</v>
      </c>
      <c r="C257" s="847">
        <v>5116810.9800000004</v>
      </c>
    </row>
    <row r="258" spans="1:3" x14ac:dyDescent="0.25">
      <c r="A258" s="843">
        <v>38105</v>
      </c>
      <c r="B258" s="843" t="s">
        <v>1036</v>
      </c>
      <c r="C258" s="847">
        <v>1028050.26</v>
      </c>
    </row>
    <row r="259" spans="1:3" x14ac:dyDescent="0.25">
      <c r="A259" s="843">
        <v>38200</v>
      </c>
      <c r="B259" s="843" t="s">
        <v>1037</v>
      </c>
      <c r="C259" s="847">
        <v>4709246.3099999996</v>
      </c>
    </row>
    <row r="260" spans="1:3" x14ac:dyDescent="0.25">
      <c r="A260" s="843">
        <v>38205</v>
      </c>
      <c r="B260" s="843" t="s">
        <v>1038</v>
      </c>
      <c r="C260" s="847">
        <v>721929.57</v>
      </c>
    </row>
    <row r="261" spans="1:3" x14ac:dyDescent="0.25">
      <c r="A261" s="843">
        <v>38210</v>
      </c>
      <c r="B261" s="843" t="s">
        <v>1039</v>
      </c>
      <c r="C261" s="847">
        <v>1816253.09</v>
      </c>
    </row>
    <row r="262" spans="1:3" x14ac:dyDescent="0.25">
      <c r="A262" s="843">
        <v>38300</v>
      </c>
      <c r="B262" s="843" t="s">
        <v>1040</v>
      </c>
      <c r="C262" s="847">
        <v>3727456.33</v>
      </c>
    </row>
    <row r="263" spans="1:3" x14ac:dyDescent="0.25">
      <c r="A263" s="843">
        <v>38400</v>
      </c>
      <c r="B263" s="843" t="s">
        <v>1041</v>
      </c>
      <c r="C263" s="847">
        <v>4740066.46</v>
      </c>
    </row>
    <row r="264" spans="1:3" x14ac:dyDescent="0.25">
      <c r="A264" s="843">
        <v>38402</v>
      </c>
      <c r="B264" s="843" t="s">
        <v>1042</v>
      </c>
      <c r="C264" s="847">
        <v>270084.90999999997</v>
      </c>
    </row>
    <row r="265" spans="1:3" x14ac:dyDescent="0.25">
      <c r="A265" s="843">
        <v>38405</v>
      </c>
      <c r="B265" s="843" t="s">
        <v>1043</v>
      </c>
      <c r="C265" s="847">
        <v>1204569.31</v>
      </c>
    </row>
    <row r="266" spans="1:3" x14ac:dyDescent="0.25">
      <c r="A266" s="843">
        <v>38500</v>
      </c>
      <c r="B266" s="843" t="s">
        <v>1044</v>
      </c>
      <c r="C266" s="847">
        <v>3654353.54</v>
      </c>
    </row>
    <row r="267" spans="1:3" x14ac:dyDescent="0.25">
      <c r="A267" s="843">
        <v>38600</v>
      </c>
      <c r="B267" s="843" t="s">
        <v>1045</v>
      </c>
      <c r="C267" s="847">
        <v>4622884.03</v>
      </c>
    </row>
    <row r="268" spans="1:3" x14ac:dyDescent="0.25">
      <c r="A268" s="843">
        <v>38601</v>
      </c>
      <c r="B268" s="843" t="s">
        <v>1046</v>
      </c>
      <c r="C268" s="847">
        <v>52863.88</v>
      </c>
    </row>
    <row r="269" spans="1:3" x14ac:dyDescent="0.25">
      <c r="A269" s="843">
        <v>38602</v>
      </c>
      <c r="B269" s="843" t="s">
        <v>1047</v>
      </c>
      <c r="C269" s="847">
        <v>373488.17</v>
      </c>
    </row>
    <row r="270" spans="1:3" x14ac:dyDescent="0.25">
      <c r="A270" s="843">
        <v>38605</v>
      </c>
      <c r="B270" s="843" t="s">
        <v>1048</v>
      </c>
      <c r="C270" s="847">
        <v>1303798.3500000001</v>
      </c>
    </row>
    <row r="271" spans="1:3" x14ac:dyDescent="0.25">
      <c r="A271" s="843">
        <v>38610</v>
      </c>
      <c r="B271" s="843" t="s">
        <v>1049</v>
      </c>
      <c r="C271" s="847">
        <v>1013284.16</v>
      </c>
    </row>
    <row r="272" spans="1:3" x14ac:dyDescent="0.25">
      <c r="A272" s="843">
        <v>38620</v>
      </c>
      <c r="B272" s="843" t="s">
        <v>1050</v>
      </c>
      <c r="C272" s="847">
        <v>769251.6</v>
      </c>
    </row>
    <row r="273" spans="1:3" x14ac:dyDescent="0.25">
      <c r="A273" s="843">
        <v>38700</v>
      </c>
      <c r="B273" s="843" t="s">
        <v>1051</v>
      </c>
      <c r="C273" s="847">
        <v>1304124.43</v>
      </c>
    </row>
    <row r="274" spans="1:3" x14ac:dyDescent="0.25">
      <c r="A274" s="843">
        <v>38701</v>
      </c>
      <c r="B274" s="843" t="s">
        <v>1052</v>
      </c>
      <c r="C274" s="847">
        <v>85617.63</v>
      </c>
    </row>
    <row r="275" spans="1:3" x14ac:dyDescent="0.25">
      <c r="A275" s="843">
        <v>38800</v>
      </c>
      <c r="B275" s="843" t="s">
        <v>1053</v>
      </c>
      <c r="C275" s="847">
        <v>2356799.06</v>
      </c>
    </row>
    <row r="276" spans="1:3" x14ac:dyDescent="0.25">
      <c r="A276" s="843">
        <v>38801</v>
      </c>
      <c r="B276" s="843" t="s">
        <v>1054</v>
      </c>
      <c r="C276" s="847">
        <v>169723.35</v>
      </c>
    </row>
    <row r="277" spans="1:3" x14ac:dyDescent="0.25">
      <c r="A277" s="843">
        <v>38900</v>
      </c>
      <c r="B277" s="843" t="s">
        <v>1055</v>
      </c>
      <c r="C277" s="847">
        <v>536093.29</v>
      </c>
    </row>
    <row r="278" spans="1:3" x14ac:dyDescent="0.25">
      <c r="A278" s="843">
        <v>39000</v>
      </c>
      <c r="B278" s="843" t="s">
        <v>1056</v>
      </c>
      <c r="C278" s="847">
        <v>23105823.879999999</v>
      </c>
    </row>
    <row r="279" spans="1:3" x14ac:dyDescent="0.25">
      <c r="A279" s="843">
        <v>39100</v>
      </c>
      <c r="B279" s="843" t="s">
        <v>1057</v>
      </c>
      <c r="C279" s="847">
        <v>3661267.65</v>
      </c>
    </row>
    <row r="280" spans="1:3" x14ac:dyDescent="0.25">
      <c r="A280" s="843">
        <v>39101</v>
      </c>
      <c r="B280" s="843" t="s">
        <v>1058</v>
      </c>
      <c r="C280" s="847">
        <v>363078.19</v>
      </c>
    </row>
    <row r="281" spans="1:3" x14ac:dyDescent="0.25">
      <c r="A281" s="843">
        <v>39105</v>
      </c>
      <c r="B281" s="843" t="s">
        <v>1059</v>
      </c>
      <c r="C281" s="847">
        <v>1404489.62</v>
      </c>
    </row>
    <row r="282" spans="1:3" x14ac:dyDescent="0.25">
      <c r="A282" s="843">
        <v>39200</v>
      </c>
      <c r="B282" s="843" t="s">
        <v>1558</v>
      </c>
      <c r="C282" s="847">
        <v>97833506.920000002</v>
      </c>
    </row>
    <row r="283" spans="1:3" x14ac:dyDescent="0.25">
      <c r="A283" s="843">
        <v>39201</v>
      </c>
      <c r="B283" s="843" t="s">
        <v>1061</v>
      </c>
      <c r="C283" s="847">
        <v>236882.95</v>
      </c>
    </row>
    <row r="284" spans="1:3" x14ac:dyDescent="0.25">
      <c r="A284" s="843">
        <v>39204</v>
      </c>
      <c r="B284" s="843" t="s">
        <v>1062</v>
      </c>
      <c r="C284" s="847">
        <v>314460.09999999998</v>
      </c>
    </row>
    <row r="285" spans="1:3" x14ac:dyDescent="0.25">
      <c r="A285" s="843">
        <v>39205</v>
      </c>
      <c r="B285" s="843" t="s">
        <v>1063</v>
      </c>
      <c r="C285" s="847">
        <v>8616939.5700000003</v>
      </c>
    </row>
    <row r="286" spans="1:3" x14ac:dyDescent="0.25">
      <c r="A286" s="843">
        <v>39208</v>
      </c>
      <c r="B286" s="843" t="s">
        <v>1559</v>
      </c>
      <c r="C286" s="847">
        <v>519866.26</v>
      </c>
    </row>
    <row r="287" spans="1:3" x14ac:dyDescent="0.25">
      <c r="A287" s="843">
        <v>39209</v>
      </c>
      <c r="B287" s="843" t="s">
        <v>1065</v>
      </c>
      <c r="C287" s="847">
        <v>251790.13</v>
      </c>
    </row>
    <row r="288" spans="1:3" x14ac:dyDescent="0.25">
      <c r="A288" s="843">
        <v>39300</v>
      </c>
      <c r="B288" s="843" t="s">
        <v>1066</v>
      </c>
      <c r="C288" s="847">
        <v>1373075.8</v>
      </c>
    </row>
    <row r="289" spans="1:3" x14ac:dyDescent="0.25">
      <c r="A289" s="843">
        <v>39301</v>
      </c>
      <c r="B289" s="843" t="s">
        <v>1067</v>
      </c>
      <c r="C289" s="847">
        <v>63017.98</v>
      </c>
    </row>
    <row r="290" spans="1:3" x14ac:dyDescent="0.25">
      <c r="A290" s="843">
        <v>39400</v>
      </c>
      <c r="B290" s="843" t="s">
        <v>1068</v>
      </c>
      <c r="C290" s="847">
        <v>1056833.18</v>
      </c>
    </row>
    <row r="291" spans="1:3" x14ac:dyDescent="0.25">
      <c r="A291" s="843">
        <v>39401</v>
      </c>
      <c r="B291" s="843" t="s">
        <v>1069</v>
      </c>
      <c r="C291" s="847">
        <v>461481.72</v>
      </c>
    </row>
    <row r="292" spans="1:3" x14ac:dyDescent="0.25">
      <c r="A292" s="843">
        <v>39500</v>
      </c>
      <c r="B292" s="843" t="s">
        <v>1070</v>
      </c>
      <c r="C292" s="847">
        <v>3062421.16</v>
      </c>
    </row>
    <row r="293" spans="1:3" x14ac:dyDescent="0.25">
      <c r="A293" s="843">
        <v>39501</v>
      </c>
      <c r="B293" s="843" t="s">
        <v>1071</v>
      </c>
      <c r="C293" s="847">
        <v>84967.43</v>
      </c>
    </row>
    <row r="294" spans="1:3" x14ac:dyDescent="0.25">
      <c r="A294" s="843">
        <v>39600</v>
      </c>
      <c r="B294" s="843" t="s">
        <v>1072</v>
      </c>
      <c r="C294" s="847">
        <v>10343838.34</v>
      </c>
    </row>
    <row r="295" spans="1:3" x14ac:dyDescent="0.25">
      <c r="A295" s="843">
        <v>39605</v>
      </c>
      <c r="B295" s="843" t="s">
        <v>1073</v>
      </c>
      <c r="C295" s="847">
        <v>1586688.97</v>
      </c>
    </row>
    <row r="296" spans="1:3" x14ac:dyDescent="0.25">
      <c r="A296" s="843">
        <v>39700</v>
      </c>
      <c r="B296" s="843" t="s">
        <v>1074</v>
      </c>
      <c r="C296" s="847">
        <v>5593225.5999999996</v>
      </c>
    </row>
    <row r="297" spans="1:3" x14ac:dyDescent="0.25">
      <c r="A297" s="843">
        <v>39703</v>
      </c>
      <c r="B297" s="843" t="s">
        <v>1075</v>
      </c>
      <c r="C297" s="847">
        <v>283112.15999999997</v>
      </c>
    </row>
    <row r="298" spans="1:3" x14ac:dyDescent="0.25">
      <c r="A298" s="843">
        <v>39705</v>
      </c>
      <c r="B298" s="843" t="s">
        <v>1076</v>
      </c>
      <c r="C298" s="847">
        <v>1465171.88</v>
      </c>
    </row>
    <row r="299" spans="1:3" ht="16.899999999999999" customHeight="1" x14ac:dyDescent="0.25">
      <c r="A299" s="843">
        <v>39800</v>
      </c>
      <c r="B299" s="843" t="s">
        <v>1077</v>
      </c>
      <c r="C299" s="847">
        <v>6673987.4100000001</v>
      </c>
    </row>
    <row r="300" spans="1:3" x14ac:dyDescent="0.25">
      <c r="A300" s="843">
        <v>39805</v>
      </c>
      <c r="B300" s="843" t="s">
        <v>1078</v>
      </c>
      <c r="C300" s="847">
        <v>823104.4</v>
      </c>
    </row>
    <row r="301" spans="1:3" x14ac:dyDescent="0.25">
      <c r="A301" s="843">
        <v>39900</v>
      </c>
      <c r="B301" s="843" t="s">
        <v>1079</v>
      </c>
      <c r="C301" s="851">
        <v>3302004.71</v>
      </c>
    </row>
    <row r="302" spans="1:3" x14ac:dyDescent="0.25">
      <c r="A302" s="843">
        <v>51000</v>
      </c>
      <c r="B302" s="843" t="s">
        <v>1169</v>
      </c>
      <c r="C302" s="852">
        <f>55357290.75-69011-1356638</f>
        <v>53931641.75</v>
      </c>
    </row>
    <row r="303" spans="1:3" x14ac:dyDescent="0.25">
      <c r="A303" s="843">
        <v>51000.2</v>
      </c>
      <c r="B303" s="843" t="s">
        <v>1170</v>
      </c>
      <c r="C303" s="847">
        <v>69011</v>
      </c>
    </row>
    <row r="304" spans="1:3" x14ac:dyDescent="0.25">
      <c r="A304" s="843">
        <v>51000.3</v>
      </c>
      <c r="B304" s="843" t="s">
        <v>1171</v>
      </c>
      <c r="C304" s="847">
        <v>1356638</v>
      </c>
    </row>
    <row r="305" spans="3:3" x14ac:dyDescent="0.25">
      <c r="C305" s="847">
        <f>SUM(C3:C304)</f>
        <v>1592389730.3299999</v>
      </c>
    </row>
  </sheetData>
  <pageMargins left="0.7" right="0.7" top="0.75" bottom="0.75" header="0.3" footer="0.3"/>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U614"/>
  <sheetViews>
    <sheetView workbookViewId="0"/>
  </sheetViews>
  <sheetFormatPr defaultRowHeight="15" x14ac:dyDescent="0.25"/>
  <cols>
    <col min="1" max="1" width="13" style="584" customWidth="1"/>
    <col min="2" max="2" width="35.140625" style="584" customWidth="1"/>
    <col min="3" max="4" width="13.85546875" style="584" customWidth="1"/>
    <col min="5" max="5" width="18.85546875" style="584" customWidth="1"/>
    <col min="6" max="6" width="13.85546875" style="584" customWidth="1"/>
    <col min="7" max="7" width="18.28515625" style="584" customWidth="1"/>
    <col min="8" max="8" width="1.7109375" style="584" customWidth="1"/>
    <col min="9" max="9" width="12" style="584" customWidth="1"/>
    <col min="10" max="10" width="20" style="584" customWidth="1"/>
    <col min="11" max="11" width="15.140625" style="584" customWidth="1"/>
    <col min="12" max="12" width="19.42578125" style="584" customWidth="1"/>
    <col min="13" max="13" width="1.28515625" style="584" customWidth="1"/>
    <col min="14" max="14" width="18.28515625" style="584" customWidth="1"/>
    <col min="15" max="15" width="20" style="584" customWidth="1"/>
    <col min="16" max="16" width="11.28515625" style="584" customWidth="1"/>
    <col min="17" max="17" width="19.42578125" style="584" customWidth="1"/>
    <col min="18" max="18" width="2" style="584" customWidth="1"/>
    <col min="19" max="19" width="16.42578125" style="584" bestFit="1" customWidth="1"/>
    <col min="20" max="20" width="22.42578125" style="584" customWidth="1"/>
    <col min="21" max="21" width="16" style="584" bestFit="1" customWidth="1"/>
    <col min="22" max="16384" width="9.140625" style="584"/>
  </cols>
  <sheetData>
    <row r="1" spans="1:21" x14ac:dyDescent="0.25">
      <c r="A1" s="583"/>
      <c r="I1" s="585" t="s">
        <v>778</v>
      </c>
      <c r="J1" s="585"/>
      <c r="K1" s="585"/>
      <c r="L1" s="585"/>
      <c r="N1" s="585" t="s">
        <v>779</v>
      </c>
      <c r="O1" s="585"/>
      <c r="P1" s="585"/>
      <c r="Q1" s="585"/>
      <c r="S1" s="585" t="s">
        <v>780</v>
      </c>
      <c r="T1" s="585"/>
      <c r="U1" s="585"/>
    </row>
    <row r="2" spans="1:21" ht="120" x14ac:dyDescent="0.25">
      <c r="A2" s="586" t="s">
        <v>781</v>
      </c>
      <c r="B2" s="586" t="s">
        <v>782</v>
      </c>
      <c r="C2" s="586" t="s">
        <v>1129</v>
      </c>
      <c r="D2" s="586" t="s">
        <v>1130</v>
      </c>
      <c r="E2" s="586" t="s">
        <v>783</v>
      </c>
      <c r="F2" s="586" t="s">
        <v>1131</v>
      </c>
      <c r="G2" s="586" t="s">
        <v>1132</v>
      </c>
      <c r="H2" s="586"/>
      <c r="I2" s="586" t="s">
        <v>784</v>
      </c>
      <c r="J2" s="586" t="s">
        <v>785</v>
      </c>
      <c r="K2" s="586" t="s">
        <v>786</v>
      </c>
      <c r="L2" s="586" t="s">
        <v>787</v>
      </c>
      <c r="M2" s="586"/>
      <c r="N2" s="586" t="s">
        <v>784</v>
      </c>
      <c r="O2" s="586" t="s">
        <v>785</v>
      </c>
      <c r="P2" s="586" t="s">
        <v>786</v>
      </c>
      <c r="Q2" s="586" t="s">
        <v>787</v>
      </c>
      <c r="R2" s="586"/>
      <c r="S2" s="586" t="s">
        <v>788</v>
      </c>
      <c r="T2" s="586" t="s">
        <v>789</v>
      </c>
      <c r="U2" s="586" t="s">
        <v>790</v>
      </c>
    </row>
    <row r="3" spans="1:21" x14ac:dyDescent="0.25">
      <c r="A3" s="587">
        <v>10200</v>
      </c>
      <c r="B3" s="588" t="s">
        <v>791</v>
      </c>
      <c r="C3" s="589">
        <v>1.1054000000000001E-3</v>
      </c>
      <c r="D3" s="589">
        <v>1.1215000000000001E-3</v>
      </c>
      <c r="E3" s="590">
        <v>1368412.67</v>
      </c>
      <c r="F3" s="590">
        <v>4132950</v>
      </c>
      <c r="G3" s="590">
        <v>10159768</v>
      </c>
      <c r="H3" s="590"/>
      <c r="I3" s="591">
        <v>0</v>
      </c>
      <c r="J3" s="591">
        <v>5812643</v>
      </c>
      <c r="K3" s="591">
        <v>1498319</v>
      </c>
      <c r="L3" s="590">
        <v>87774</v>
      </c>
      <c r="M3" s="590"/>
      <c r="N3" s="591">
        <v>480165</v>
      </c>
      <c r="O3" s="591">
        <v>2189344</v>
      </c>
      <c r="P3" s="591">
        <v>0</v>
      </c>
      <c r="Q3" s="590">
        <v>127082</v>
      </c>
      <c r="R3" s="590"/>
      <c r="S3" s="591">
        <v>1946468</v>
      </c>
      <c r="T3" s="592">
        <v>8634</v>
      </c>
      <c r="U3" s="592">
        <v>1955102</v>
      </c>
    </row>
    <row r="4" spans="1:21" x14ac:dyDescent="0.25">
      <c r="A4" s="587">
        <v>10400</v>
      </c>
      <c r="B4" s="588" t="s">
        <v>792</v>
      </c>
      <c r="C4" s="589">
        <v>3.2499999999999999E-3</v>
      </c>
      <c r="D4" s="589">
        <v>3.2226999999999998E-3</v>
      </c>
      <c r="E4" s="590">
        <v>4427733</v>
      </c>
      <c r="F4" s="590">
        <v>11876288</v>
      </c>
      <c r="G4" s="590">
        <v>29870857</v>
      </c>
      <c r="H4" s="590"/>
      <c r="I4" s="591">
        <v>0</v>
      </c>
      <c r="J4" s="591">
        <v>17089823</v>
      </c>
      <c r="K4" s="591">
        <v>4405225.5</v>
      </c>
      <c r="L4" s="590">
        <v>323386</v>
      </c>
      <c r="M4" s="590"/>
      <c r="N4" s="591">
        <v>1411738.25</v>
      </c>
      <c r="O4" s="591">
        <v>6436918</v>
      </c>
      <c r="P4" s="591">
        <v>0</v>
      </c>
      <c r="Q4" s="590">
        <v>4527611</v>
      </c>
      <c r="R4" s="590"/>
      <c r="S4" s="591">
        <v>5722834</v>
      </c>
      <c r="T4" s="592">
        <v>-1642250</v>
      </c>
      <c r="U4" s="592">
        <v>4080584</v>
      </c>
    </row>
    <row r="5" spans="1:21" x14ac:dyDescent="0.25">
      <c r="A5" s="587">
        <v>10500</v>
      </c>
      <c r="B5" s="588" t="s">
        <v>793</v>
      </c>
      <c r="C5" s="589">
        <v>7.2939999999999995E-4</v>
      </c>
      <c r="D5" s="589">
        <v>7.291E-4</v>
      </c>
      <c r="E5" s="590">
        <v>973166.72</v>
      </c>
      <c r="F5" s="590">
        <v>2686878</v>
      </c>
      <c r="G5" s="590">
        <v>6703939</v>
      </c>
      <c r="H5" s="590"/>
      <c r="I5" s="591">
        <v>0</v>
      </c>
      <c r="J5" s="591">
        <v>3835482</v>
      </c>
      <c r="K5" s="591">
        <v>988668</v>
      </c>
      <c r="L5" s="590">
        <v>44187</v>
      </c>
      <c r="M5" s="590"/>
      <c r="N5" s="591">
        <v>316838</v>
      </c>
      <c r="O5" s="591">
        <v>1444642</v>
      </c>
      <c r="P5" s="591">
        <v>0</v>
      </c>
      <c r="Q5" s="590">
        <v>56922</v>
      </c>
      <c r="R5" s="590"/>
      <c r="S5" s="591">
        <v>1284380</v>
      </c>
      <c r="T5" s="592">
        <v>-18368</v>
      </c>
      <c r="U5" s="592">
        <v>1266012</v>
      </c>
    </row>
    <row r="6" spans="1:21" x14ac:dyDescent="0.25">
      <c r="A6" s="587">
        <v>10700</v>
      </c>
      <c r="B6" s="588" t="s">
        <v>794</v>
      </c>
      <c r="C6" s="589">
        <v>4.5304999999999998E-3</v>
      </c>
      <c r="D6" s="589">
        <v>1.854E-3</v>
      </c>
      <c r="E6" s="590">
        <v>5454043</v>
      </c>
      <c r="F6" s="590">
        <v>6832357</v>
      </c>
      <c r="G6" s="590">
        <v>41639975</v>
      </c>
      <c r="H6" s="590"/>
      <c r="I6" s="591">
        <v>0</v>
      </c>
      <c r="J6" s="591">
        <v>23823213</v>
      </c>
      <c r="K6" s="591">
        <v>6140884</v>
      </c>
      <c r="L6" s="590">
        <v>9291283</v>
      </c>
      <c r="M6" s="590"/>
      <c r="N6" s="591">
        <v>1967963</v>
      </c>
      <c r="O6" s="591">
        <v>8973063</v>
      </c>
      <c r="P6" s="591">
        <v>0</v>
      </c>
      <c r="Q6" s="590">
        <v>0</v>
      </c>
      <c r="R6" s="590"/>
      <c r="S6" s="591">
        <v>7977631</v>
      </c>
      <c r="T6" s="592">
        <v>2692937</v>
      </c>
      <c r="U6" s="592">
        <v>10670568</v>
      </c>
    </row>
    <row r="7" spans="1:21" x14ac:dyDescent="0.25">
      <c r="A7" s="587">
        <v>10800</v>
      </c>
      <c r="B7" s="588" t="s">
        <v>795</v>
      </c>
      <c r="C7" s="589">
        <v>1.9146300000000002E-2</v>
      </c>
      <c r="D7" s="589">
        <v>1.9480399999999998E-2</v>
      </c>
      <c r="E7" s="590">
        <v>26198397</v>
      </c>
      <c r="F7" s="590">
        <v>71789131</v>
      </c>
      <c r="G7" s="590">
        <v>175974275</v>
      </c>
      <c r="H7" s="590"/>
      <c r="I7" s="591">
        <v>0</v>
      </c>
      <c r="J7" s="591">
        <v>100679038</v>
      </c>
      <c r="K7" s="591">
        <v>25951929</v>
      </c>
      <c r="L7" s="590">
        <v>384557</v>
      </c>
      <c r="M7" s="590"/>
      <c r="N7" s="591">
        <v>8316789</v>
      </c>
      <c r="O7" s="591">
        <v>37920970</v>
      </c>
      <c r="P7" s="591">
        <v>0</v>
      </c>
      <c r="Q7" s="590">
        <v>397121</v>
      </c>
      <c r="R7" s="590"/>
      <c r="S7" s="591">
        <v>33714184</v>
      </c>
      <c r="T7" s="592">
        <v>-8384</v>
      </c>
      <c r="U7" s="592">
        <v>33705800</v>
      </c>
    </row>
    <row r="8" spans="1:21" x14ac:dyDescent="0.25">
      <c r="A8" s="587">
        <v>10850</v>
      </c>
      <c r="B8" s="588" t="s">
        <v>796</v>
      </c>
      <c r="C8" s="589">
        <v>1.383E-4</v>
      </c>
      <c r="D8" s="589">
        <v>1.2410000000000001E-4</v>
      </c>
      <c r="E8" s="590">
        <v>267939</v>
      </c>
      <c r="F8" s="590">
        <v>457333</v>
      </c>
      <c r="G8" s="590">
        <v>1271120</v>
      </c>
      <c r="H8" s="590"/>
      <c r="I8" s="591">
        <v>0</v>
      </c>
      <c r="J8" s="591">
        <v>727238</v>
      </c>
      <c r="K8" s="591">
        <v>187459</v>
      </c>
      <c r="L8" s="590">
        <v>264047</v>
      </c>
      <c r="M8" s="590"/>
      <c r="N8" s="591">
        <v>60075</v>
      </c>
      <c r="O8" s="591">
        <v>273916</v>
      </c>
      <c r="P8" s="591">
        <v>0</v>
      </c>
      <c r="Q8" s="590">
        <v>0</v>
      </c>
      <c r="R8" s="590"/>
      <c r="S8" s="591">
        <v>243529</v>
      </c>
      <c r="T8" s="592">
        <v>103484</v>
      </c>
      <c r="U8" s="592">
        <v>347013</v>
      </c>
    </row>
    <row r="9" spans="1:21" x14ac:dyDescent="0.25">
      <c r="A9" s="587">
        <v>10900</v>
      </c>
      <c r="B9" s="588" t="s">
        <v>797</v>
      </c>
      <c r="C9" s="589">
        <v>1.9082000000000001E-3</v>
      </c>
      <c r="D9" s="589">
        <v>1.9277000000000001E-3</v>
      </c>
      <c r="E9" s="590">
        <v>3000627.11</v>
      </c>
      <c r="F9" s="590">
        <v>7103956</v>
      </c>
      <c r="G9" s="590">
        <v>17538329</v>
      </c>
      <c r="H9" s="590"/>
      <c r="I9" s="591">
        <v>0</v>
      </c>
      <c r="J9" s="591">
        <v>10034092</v>
      </c>
      <c r="K9" s="591">
        <v>2586477</v>
      </c>
      <c r="L9" s="590">
        <v>1355906</v>
      </c>
      <c r="M9" s="590"/>
      <c r="N9" s="591">
        <v>828886</v>
      </c>
      <c r="O9" s="591">
        <v>3779362</v>
      </c>
      <c r="P9" s="591">
        <v>0</v>
      </c>
      <c r="Q9" s="590">
        <v>0</v>
      </c>
      <c r="R9" s="590"/>
      <c r="S9" s="591">
        <v>3360096</v>
      </c>
      <c r="T9" s="592">
        <v>555722</v>
      </c>
      <c r="U9" s="592">
        <v>3915818</v>
      </c>
    </row>
    <row r="10" spans="1:21" x14ac:dyDescent="0.25">
      <c r="A10" s="587">
        <v>10910</v>
      </c>
      <c r="B10" s="588" t="s">
        <v>798</v>
      </c>
      <c r="C10" s="589">
        <v>2.6919999999999998E-4</v>
      </c>
      <c r="D10" s="589">
        <v>3.3819999999999998E-4</v>
      </c>
      <c r="E10" s="590">
        <v>373716</v>
      </c>
      <c r="F10" s="590">
        <v>1246334</v>
      </c>
      <c r="G10" s="590">
        <v>2474226</v>
      </c>
      <c r="H10" s="590"/>
      <c r="I10" s="591">
        <v>0</v>
      </c>
      <c r="J10" s="591">
        <v>1415563</v>
      </c>
      <c r="K10" s="591">
        <v>364888</v>
      </c>
      <c r="L10" s="590">
        <v>142463</v>
      </c>
      <c r="M10" s="590"/>
      <c r="N10" s="591">
        <v>116935</v>
      </c>
      <c r="O10" s="591">
        <v>533175</v>
      </c>
      <c r="P10" s="591">
        <v>0</v>
      </c>
      <c r="Q10" s="590">
        <v>248392</v>
      </c>
      <c r="R10" s="590"/>
      <c r="S10" s="591">
        <v>474027</v>
      </c>
      <c r="T10" s="592">
        <v>-25064</v>
      </c>
      <c r="U10" s="592">
        <v>448963</v>
      </c>
    </row>
    <row r="11" spans="1:21" x14ac:dyDescent="0.25">
      <c r="A11" s="587">
        <v>10930</v>
      </c>
      <c r="B11" s="588" t="s">
        <v>799</v>
      </c>
      <c r="C11" s="589">
        <v>2.5428E-3</v>
      </c>
      <c r="D11" s="589">
        <v>2.6234000000000001E-3</v>
      </c>
      <c r="E11" s="590">
        <v>3811103.52</v>
      </c>
      <c r="F11" s="590">
        <v>9667748</v>
      </c>
      <c r="G11" s="590">
        <v>23370959</v>
      </c>
      <c r="H11" s="590"/>
      <c r="I11" s="591">
        <v>0</v>
      </c>
      <c r="J11" s="591">
        <v>13371077</v>
      </c>
      <c r="K11" s="591">
        <v>3446648</v>
      </c>
      <c r="L11" s="590">
        <v>1086418</v>
      </c>
      <c r="M11" s="590"/>
      <c r="N11" s="591">
        <v>1104544</v>
      </c>
      <c r="O11" s="591">
        <v>5036244</v>
      </c>
      <c r="P11" s="591">
        <v>0</v>
      </c>
      <c r="Q11" s="590">
        <v>139752</v>
      </c>
      <c r="R11" s="590"/>
      <c r="S11" s="591">
        <v>4477545</v>
      </c>
      <c r="T11" s="592">
        <v>322169</v>
      </c>
      <c r="U11" s="592">
        <v>4799715</v>
      </c>
    </row>
    <row r="12" spans="1:21" x14ac:dyDescent="0.25">
      <c r="A12" s="587">
        <v>10940</v>
      </c>
      <c r="B12" s="588" t="s">
        <v>800</v>
      </c>
      <c r="C12" s="589">
        <v>6.9930000000000003E-4</v>
      </c>
      <c r="D12" s="589">
        <v>7.228E-4</v>
      </c>
      <c r="E12" s="590">
        <v>1046822</v>
      </c>
      <c r="F12" s="590">
        <v>2663661</v>
      </c>
      <c r="G12" s="590">
        <v>6427289</v>
      </c>
      <c r="H12" s="590"/>
      <c r="I12" s="591">
        <v>0</v>
      </c>
      <c r="J12" s="591">
        <v>3677204</v>
      </c>
      <c r="K12" s="591">
        <v>947869</v>
      </c>
      <c r="L12" s="590">
        <v>39909</v>
      </c>
      <c r="M12" s="590"/>
      <c r="N12" s="591">
        <v>303763</v>
      </c>
      <c r="O12" s="591">
        <v>1385027</v>
      </c>
      <c r="P12" s="591">
        <v>0</v>
      </c>
      <c r="Q12" s="590">
        <v>358660</v>
      </c>
      <c r="R12" s="590"/>
      <c r="S12" s="591">
        <v>1231378</v>
      </c>
      <c r="T12" s="592">
        <v>-130950</v>
      </c>
      <c r="U12" s="592">
        <v>1100428</v>
      </c>
    </row>
    <row r="13" spans="1:21" x14ac:dyDescent="0.25">
      <c r="A13" s="587">
        <v>10950</v>
      </c>
      <c r="B13" s="588" t="s">
        <v>801</v>
      </c>
      <c r="C13" s="589">
        <v>6.8150000000000003E-4</v>
      </c>
      <c r="D13" s="589">
        <v>6.7480000000000003E-4</v>
      </c>
      <c r="E13" s="590">
        <v>943660</v>
      </c>
      <c r="F13" s="590">
        <v>2486772</v>
      </c>
      <c r="G13" s="590">
        <v>6263689</v>
      </c>
      <c r="H13" s="590"/>
      <c r="I13" s="591">
        <v>0</v>
      </c>
      <c r="J13" s="591">
        <v>3583604</v>
      </c>
      <c r="K13" s="591">
        <v>923742</v>
      </c>
      <c r="L13" s="590">
        <v>257180</v>
      </c>
      <c r="M13" s="590"/>
      <c r="N13" s="591">
        <v>296031</v>
      </c>
      <c r="O13" s="591">
        <v>1349772</v>
      </c>
      <c r="P13" s="591">
        <v>0</v>
      </c>
      <c r="Q13" s="590">
        <v>0</v>
      </c>
      <c r="R13" s="590"/>
      <c r="S13" s="591">
        <v>1200034</v>
      </c>
      <c r="T13" s="592">
        <v>110112</v>
      </c>
      <c r="U13" s="592">
        <v>1310146</v>
      </c>
    </row>
    <row r="14" spans="1:21" x14ac:dyDescent="0.25">
      <c r="A14" s="587">
        <v>11300</v>
      </c>
      <c r="B14" s="588" t="s">
        <v>802</v>
      </c>
      <c r="C14" s="589">
        <v>5.2521E-3</v>
      </c>
      <c r="D14" s="589">
        <v>8.1285999999999997E-3</v>
      </c>
      <c r="E14" s="590">
        <v>8514290</v>
      </c>
      <c r="F14" s="590">
        <v>29955500</v>
      </c>
      <c r="G14" s="590">
        <v>48272224</v>
      </c>
      <c r="H14" s="590"/>
      <c r="I14" s="591">
        <v>0</v>
      </c>
      <c r="J14" s="591">
        <v>27617679</v>
      </c>
      <c r="K14" s="591">
        <v>7118980</v>
      </c>
      <c r="L14" s="590">
        <v>0</v>
      </c>
      <c r="M14" s="590"/>
      <c r="N14" s="591">
        <v>2281412</v>
      </c>
      <c r="O14" s="591">
        <v>10402257</v>
      </c>
      <c r="P14" s="591">
        <v>0</v>
      </c>
      <c r="Q14" s="590">
        <v>9492954</v>
      </c>
      <c r="R14" s="590"/>
      <c r="S14" s="591">
        <v>9248276</v>
      </c>
      <c r="T14" s="592">
        <v>-2825960</v>
      </c>
      <c r="U14" s="592">
        <v>6422316</v>
      </c>
    </row>
    <row r="15" spans="1:21" x14ac:dyDescent="0.25">
      <c r="A15" s="587">
        <v>11310</v>
      </c>
      <c r="B15" s="588" t="s">
        <v>803</v>
      </c>
      <c r="C15" s="589">
        <v>5.0109999999999998E-4</v>
      </c>
      <c r="D15" s="589">
        <v>5.1639999999999998E-4</v>
      </c>
      <c r="E15" s="590">
        <v>719213.91</v>
      </c>
      <c r="F15" s="590">
        <v>1903036</v>
      </c>
      <c r="G15" s="590">
        <v>4605627</v>
      </c>
      <c r="H15" s="590"/>
      <c r="I15" s="591">
        <v>0</v>
      </c>
      <c r="J15" s="591">
        <v>2634988</v>
      </c>
      <c r="K15" s="591">
        <v>679218</v>
      </c>
      <c r="L15" s="590">
        <v>56069</v>
      </c>
      <c r="M15" s="590"/>
      <c r="N15" s="591">
        <v>217668</v>
      </c>
      <c r="O15" s="591">
        <v>992474</v>
      </c>
      <c r="P15" s="591">
        <v>0</v>
      </c>
      <c r="Q15" s="590">
        <v>0</v>
      </c>
      <c r="R15" s="590"/>
      <c r="S15" s="591">
        <v>882373</v>
      </c>
      <c r="T15" s="592">
        <v>23055</v>
      </c>
      <c r="U15" s="592">
        <v>905428</v>
      </c>
    </row>
    <row r="16" spans="1:21" x14ac:dyDescent="0.25">
      <c r="A16" s="587">
        <v>11600</v>
      </c>
      <c r="B16" s="588" t="s">
        <v>804</v>
      </c>
      <c r="C16" s="589">
        <v>2.1102E-3</v>
      </c>
      <c r="D16" s="589">
        <v>2.1665E-3</v>
      </c>
      <c r="E16" s="590">
        <v>2680079</v>
      </c>
      <c r="F16" s="590">
        <v>7983981</v>
      </c>
      <c r="G16" s="590">
        <v>19394918</v>
      </c>
      <c r="H16" s="590"/>
      <c r="I16" s="591">
        <v>0</v>
      </c>
      <c r="J16" s="591">
        <v>11096290</v>
      </c>
      <c r="K16" s="591">
        <v>2860279</v>
      </c>
      <c r="L16" s="590">
        <v>98558</v>
      </c>
      <c r="M16" s="590"/>
      <c r="N16" s="591">
        <v>916631</v>
      </c>
      <c r="O16" s="591">
        <v>4179441</v>
      </c>
      <c r="P16" s="591">
        <v>0</v>
      </c>
      <c r="Q16" s="590">
        <v>408215</v>
      </c>
      <c r="R16" s="590"/>
      <c r="S16" s="591">
        <v>3715792</v>
      </c>
      <c r="T16" s="592">
        <v>-81966</v>
      </c>
      <c r="U16" s="592">
        <v>3633826</v>
      </c>
    </row>
    <row r="17" spans="1:21" x14ac:dyDescent="0.25">
      <c r="A17" s="587">
        <v>11900</v>
      </c>
      <c r="B17" s="588" t="s">
        <v>805</v>
      </c>
      <c r="C17" s="589">
        <v>2.4699999999999999E-4</v>
      </c>
      <c r="D17" s="589">
        <v>2.474E-4</v>
      </c>
      <c r="E17" s="590">
        <v>297961</v>
      </c>
      <c r="F17" s="590">
        <v>911718</v>
      </c>
      <c r="G17" s="590">
        <v>2270185</v>
      </c>
      <c r="H17" s="590"/>
      <c r="I17" s="591">
        <v>0</v>
      </c>
      <c r="J17" s="591">
        <v>1298827</v>
      </c>
      <c r="K17" s="591">
        <v>334797</v>
      </c>
      <c r="L17" s="590">
        <v>70027</v>
      </c>
      <c r="M17" s="590"/>
      <c r="N17" s="591">
        <v>107292</v>
      </c>
      <c r="O17" s="591">
        <v>489205.73</v>
      </c>
      <c r="P17" s="591">
        <v>0</v>
      </c>
      <c r="Q17" s="590">
        <v>42325</v>
      </c>
      <c r="R17" s="590"/>
      <c r="S17" s="591">
        <v>434935</v>
      </c>
      <c r="T17" s="592">
        <v>7007</v>
      </c>
      <c r="U17" s="592">
        <v>441943</v>
      </c>
    </row>
    <row r="18" spans="1:21" x14ac:dyDescent="0.25">
      <c r="A18" s="587">
        <v>12100</v>
      </c>
      <c r="B18" s="588" t="s">
        <v>806</v>
      </c>
      <c r="C18" s="589">
        <v>2.6439999999999998E-4</v>
      </c>
      <c r="D18" s="589">
        <v>2.677E-4</v>
      </c>
      <c r="E18" s="590">
        <v>378243.38</v>
      </c>
      <c r="F18" s="590">
        <v>986528</v>
      </c>
      <c r="G18" s="590">
        <v>2430109</v>
      </c>
      <c r="H18" s="590"/>
      <c r="I18" s="591">
        <v>0</v>
      </c>
      <c r="J18" s="591">
        <v>1390323</v>
      </c>
      <c r="K18" s="591">
        <v>358382</v>
      </c>
      <c r="L18" s="590">
        <v>211401</v>
      </c>
      <c r="M18" s="590"/>
      <c r="N18" s="591">
        <v>114850</v>
      </c>
      <c r="O18" s="591">
        <v>523668</v>
      </c>
      <c r="P18" s="591">
        <v>0</v>
      </c>
      <c r="Q18" s="590">
        <v>0</v>
      </c>
      <c r="R18" s="590"/>
      <c r="S18" s="591">
        <v>465575</v>
      </c>
      <c r="T18" s="592">
        <v>100753</v>
      </c>
      <c r="U18" s="592">
        <v>566328</v>
      </c>
    </row>
    <row r="19" spans="1:21" x14ac:dyDescent="0.25">
      <c r="A19" s="587">
        <v>12150</v>
      </c>
      <c r="B19" s="588" t="s">
        <v>807</v>
      </c>
      <c r="C19" s="589">
        <v>4.0200000000000001E-5</v>
      </c>
      <c r="D19" s="589">
        <v>4.3000000000000002E-5</v>
      </c>
      <c r="E19" s="590">
        <v>44062</v>
      </c>
      <c r="F19" s="590">
        <v>158464</v>
      </c>
      <c r="G19" s="590">
        <v>369480</v>
      </c>
      <c r="H19" s="590"/>
      <c r="I19" s="591">
        <v>0</v>
      </c>
      <c r="J19" s="591">
        <v>211388</v>
      </c>
      <c r="K19" s="591">
        <v>54489</v>
      </c>
      <c r="L19" s="590">
        <v>28067</v>
      </c>
      <c r="M19" s="590"/>
      <c r="N19" s="591">
        <v>17462</v>
      </c>
      <c r="O19" s="591">
        <v>79620</v>
      </c>
      <c r="P19" s="591">
        <v>0</v>
      </c>
      <c r="Q19" s="590">
        <v>15305</v>
      </c>
      <c r="R19" s="590"/>
      <c r="S19" s="591">
        <v>70787</v>
      </c>
      <c r="T19" s="592">
        <v>7324</v>
      </c>
      <c r="U19" s="592">
        <v>78111</v>
      </c>
    </row>
    <row r="20" spans="1:21" x14ac:dyDescent="0.25">
      <c r="A20" s="587">
        <v>12160</v>
      </c>
      <c r="B20" s="588" t="s">
        <v>808</v>
      </c>
      <c r="C20" s="589">
        <v>1.8841000000000001E-3</v>
      </c>
      <c r="D20" s="589">
        <v>1.8278000000000001E-3</v>
      </c>
      <c r="E20" s="590">
        <v>2668037</v>
      </c>
      <c r="F20" s="590">
        <v>6735805</v>
      </c>
      <c r="G20" s="590">
        <v>17316825</v>
      </c>
      <c r="H20" s="590"/>
      <c r="I20" s="591">
        <v>0</v>
      </c>
      <c r="J20" s="591">
        <v>9907365</v>
      </c>
      <c r="K20" s="591">
        <v>2553811</v>
      </c>
      <c r="L20" s="590">
        <v>935381</v>
      </c>
      <c r="M20" s="590"/>
      <c r="N20" s="591">
        <v>818417</v>
      </c>
      <c r="O20" s="591">
        <v>3731630</v>
      </c>
      <c r="P20" s="591">
        <v>0</v>
      </c>
      <c r="Q20" s="590">
        <v>0</v>
      </c>
      <c r="R20" s="590"/>
      <c r="S20" s="591">
        <v>3317659</v>
      </c>
      <c r="T20" s="592">
        <v>385282</v>
      </c>
      <c r="U20" s="592">
        <v>3702941</v>
      </c>
    </row>
    <row r="21" spans="1:21" x14ac:dyDescent="0.25">
      <c r="A21" s="587">
        <v>12220</v>
      </c>
      <c r="B21" s="588" t="s">
        <v>809</v>
      </c>
      <c r="C21" s="589">
        <v>4.7691699999999997E-2</v>
      </c>
      <c r="D21" s="589">
        <v>4.9292900000000001E-2</v>
      </c>
      <c r="E21" s="590">
        <v>67600774</v>
      </c>
      <c r="F21" s="590">
        <v>181654096</v>
      </c>
      <c r="G21" s="590">
        <v>438335989</v>
      </c>
      <c r="H21" s="590"/>
      <c r="I21" s="591">
        <v>0</v>
      </c>
      <c r="J21" s="591">
        <v>250782369</v>
      </c>
      <c r="K21" s="591">
        <v>64643906</v>
      </c>
      <c r="L21" s="590">
        <v>4166992</v>
      </c>
      <c r="M21" s="590"/>
      <c r="N21" s="591">
        <v>20716368</v>
      </c>
      <c r="O21" s="591">
        <v>94457704</v>
      </c>
      <c r="P21" s="591">
        <v>0</v>
      </c>
      <c r="Q21" s="590">
        <v>220180</v>
      </c>
      <c r="R21" s="590"/>
      <c r="S21" s="591">
        <v>83978979</v>
      </c>
      <c r="T21" s="592">
        <v>1715732</v>
      </c>
      <c r="U21" s="592">
        <v>85694712</v>
      </c>
    </row>
    <row r="22" spans="1:21" x14ac:dyDescent="0.25">
      <c r="A22" s="587">
        <v>12510</v>
      </c>
      <c r="B22" s="588" t="s">
        <v>810</v>
      </c>
      <c r="C22" s="589">
        <v>5.4278E-3</v>
      </c>
      <c r="D22" s="589">
        <v>5.705E-3</v>
      </c>
      <c r="E22" s="590">
        <v>8288805</v>
      </c>
      <c r="F22" s="590">
        <v>21024055</v>
      </c>
      <c r="G22" s="590">
        <v>49887089</v>
      </c>
      <c r="H22" s="590"/>
      <c r="I22" s="591">
        <v>0</v>
      </c>
      <c r="J22" s="591">
        <v>28541582</v>
      </c>
      <c r="K22" s="591">
        <v>7357133</v>
      </c>
      <c r="L22" s="590">
        <v>266475</v>
      </c>
      <c r="M22" s="590"/>
      <c r="N22" s="591">
        <v>2357733</v>
      </c>
      <c r="O22" s="591">
        <v>10750246</v>
      </c>
      <c r="P22" s="591">
        <v>0</v>
      </c>
      <c r="Q22" s="590">
        <v>1031684</v>
      </c>
      <c r="R22" s="590"/>
      <c r="S22" s="591">
        <v>9557661</v>
      </c>
      <c r="T22" s="592">
        <v>-275016</v>
      </c>
      <c r="U22" s="592">
        <v>9282645</v>
      </c>
    </row>
    <row r="23" spans="1:21" x14ac:dyDescent="0.25">
      <c r="A23" s="587">
        <v>12600</v>
      </c>
      <c r="B23" s="588" t="s">
        <v>811</v>
      </c>
      <c r="C23" s="589">
        <v>1.4882000000000001E-3</v>
      </c>
      <c r="D23" s="589">
        <v>1.5257000000000001E-3</v>
      </c>
      <c r="E23" s="590">
        <v>2245693</v>
      </c>
      <c r="F23" s="590">
        <v>5622507</v>
      </c>
      <c r="G23" s="590">
        <v>13678095</v>
      </c>
      <c r="H23" s="590"/>
      <c r="I23" s="591">
        <v>0</v>
      </c>
      <c r="J23" s="591">
        <v>7825561</v>
      </c>
      <c r="K23" s="591">
        <v>2017187</v>
      </c>
      <c r="L23" s="590">
        <v>178502</v>
      </c>
      <c r="M23" s="590"/>
      <c r="N23" s="591">
        <v>646446</v>
      </c>
      <c r="O23" s="591">
        <v>2947514</v>
      </c>
      <c r="P23" s="591">
        <v>0</v>
      </c>
      <c r="Q23" s="590">
        <v>32241</v>
      </c>
      <c r="R23" s="590"/>
      <c r="S23" s="591">
        <v>2620530</v>
      </c>
      <c r="T23" s="592">
        <v>36597</v>
      </c>
      <c r="U23" s="592">
        <v>2657127</v>
      </c>
    </row>
    <row r="24" spans="1:21" x14ac:dyDescent="0.25">
      <c r="A24" s="587">
        <v>12700</v>
      </c>
      <c r="B24" s="588" t="s">
        <v>812</v>
      </c>
      <c r="C24" s="589">
        <v>1.1444999999999999E-3</v>
      </c>
      <c r="D24" s="589">
        <v>1.1758000000000001E-3</v>
      </c>
      <c r="E24" s="590">
        <v>1696550.85</v>
      </c>
      <c r="F24" s="590">
        <v>4333056</v>
      </c>
      <c r="G24" s="590">
        <v>10519137</v>
      </c>
      <c r="H24" s="590"/>
      <c r="I24" s="591">
        <v>0</v>
      </c>
      <c r="J24" s="591">
        <v>6018247</v>
      </c>
      <c r="K24" s="591">
        <v>1551317</v>
      </c>
      <c r="L24" s="590">
        <v>77391</v>
      </c>
      <c r="M24" s="590"/>
      <c r="N24" s="591">
        <v>497149</v>
      </c>
      <c r="O24" s="591">
        <v>2266785</v>
      </c>
      <c r="P24" s="591">
        <v>0</v>
      </c>
      <c r="Q24" s="590">
        <v>45855</v>
      </c>
      <c r="R24" s="590"/>
      <c r="S24" s="591">
        <v>2015318</v>
      </c>
      <c r="T24" s="592">
        <v>3400</v>
      </c>
      <c r="U24" s="592">
        <v>2018718</v>
      </c>
    </row>
    <row r="25" spans="1:21" x14ac:dyDescent="0.25">
      <c r="A25" s="587">
        <v>13500</v>
      </c>
      <c r="B25" s="588" t="s">
        <v>813</v>
      </c>
      <c r="C25" s="589">
        <v>4.3654999999999996E-3</v>
      </c>
      <c r="D25" s="589">
        <v>4.2383999999999998E-3</v>
      </c>
      <c r="E25" s="590">
        <v>6111936</v>
      </c>
      <c r="F25" s="590">
        <v>15619343</v>
      </c>
      <c r="G25" s="590">
        <v>40123455</v>
      </c>
      <c r="H25" s="590"/>
      <c r="I25" s="591">
        <v>0</v>
      </c>
      <c r="J25" s="591">
        <v>22955576</v>
      </c>
      <c r="K25" s="591">
        <v>5917234</v>
      </c>
      <c r="L25" s="590">
        <v>1147174</v>
      </c>
      <c r="M25" s="590"/>
      <c r="N25" s="591">
        <v>1896290</v>
      </c>
      <c r="O25" s="591">
        <v>8646266</v>
      </c>
      <c r="P25" s="591">
        <v>0</v>
      </c>
      <c r="Q25" s="590">
        <v>0</v>
      </c>
      <c r="R25" s="590"/>
      <c r="S25" s="591">
        <v>7687087</v>
      </c>
      <c r="T25" s="592">
        <v>370257</v>
      </c>
      <c r="U25" s="592">
        <v>8057344</v>
      </c>
    </row>
    <row r="26" spans="1:21" x14ac:dyDescent="0.25">
      <c r="A26" s="587">
        <v>13700</v>
      </c>
      <c r="B26" s="588" t="s">
        <v>814</v>
      </c>
      <c r="C26" s="589">
        <v>5.1610000000000002E-4</v>
      </c>
      <c r="D26" s="589">
        <v>5.3370000000000002E-4</v>
      </c>
      <c r="E26" s="590">
        <v>750673.48</v>
      </c>
      <c r="F26" s="590">
        <v>1966790</v>
      </c>
      <c r="G26" s="590">
        <v>4743492</v>
      </c>
      <c r="H26" s="590"/>
      <c r="I26" s="591">
        <v>0</v>
      </c>
      <c r="J26" s="591">
        <v>2713864</v>
      </c>
      <c r="K26" s="591">
        <v>699550</v>
      </c>
      <c r="L26" s="590">
        <v>29670</v>
      </c>
      <c r="M26" s="590"/>
      <c r="N26" s="591">
        <v>224184</v>
      </c>
      <c r="O26" s="591">
        <v>1022182</v>
      </c>
      <c r="P26" s="591">
        <v>0</v>
      </c>
      <c r="Q26" s="590">
        <v>74198</v>
      </c>
      <c r="R26" s="590"/>
      <c r="S26" s="591">
        <v>908786</v>
      </c>
      <c r="T26" s="592">
        <v>-14991</v>
      </c>
      <c r="U26" s="592">
        <v>893796</v>
      </c>
    </row>
    <row r="27" spans="1:21" x14ac:dyDescent="0.25">
      <c r="A27" s="587">
        <v>14200</v>
      </c>
      <c r="B27" s="588" t="s">
        <v>815</v>
      </c>
      <c r="C27" s="589">
        <v>0</v>
      </c>
      <c r="D27" s="589">
        <v>0</v>
      </c>
      <c r="E27" s="590"/>
      <c r="F27" s="590">
        <v>0</v>
      </c>
      <c r="G27" s="590">
        <v>0</v>
      </c>
      <c r="H27" s="590"/>
      <c r="I27" s="591">
        <v>0</v>
      </c>
      <c r="J27" s="591">
        <v>0</v>
      </c>
      <c r="K27" s="591">
        <v>0</v>
      </c>
      <c r="L27" s="590">
        <v>0</v>
      </c>
      <c r="M27" s="590"/>
      <c r="N27" s="591">
        <v>0</v>
      </c>
      <c r="O27" s="591">
        <v>0</v>
      </c>
      <c r="P27" s="591">
        <v>0</v>
      </c>
      <c r="Q27" s="590">
        <v>4537</v>
      </c>
      <c r="R27" s="590"/>
      <c r="S27" s="591">
        <v>0</v>
      </c>
      <c r="T27" s="592">
        <v>-2535</v>
      </c>
      <c r="U27" s="592">
        <v>-2535</v>
      </c>
    </row>
    <row r="28" spans="1:21" x14ac:dyDescent="0.25">
      <c r="A28" s="587">
        <v>14300</v>
      </c>
      <c r="B28" s="588" t="s">
        <v>1164</v>
      </c>
      <c r="C28" s="589">
        <v>1.4986999999999999E-3</v>
      </c>
      <c r="D28" s="589">
        <v>1.3797E-3</v>
      </c>
      <c r="E28" s="590">
        <v>2263219.52</v>
      </c>
      <c r="F28" s="590">
        <v>5771389</v>
      </c>
      <c r="G28" s="590">
        <v>13774601</v>
      </c>
      <c r="H28" s="590"/>
      <c r="I28" s="591">
        <v>0</v>
      </c>
      <c r="J28" s="591">
        <v>7880775</v>
      </c>
      <c r="K28" s="591">
        <v>2031419</v>
      </c>
      <c r="L28" s="590">
        <v>560748</v>
      </c>
      <c r="M28" s="590"/>
      <c r="N28" s="591">
        <v>651007</v>
      </c>
      <c r="O28" s="591">
        <v>2968310</v>
      </c>
      <c r="P28" s="591">
        <v>0</v>
      </c>
      <c r="Q28" s="590">
        <v>31733</v>
      </c>
      <c r="R28" s="590"/>
      <c r="S28" s="591">
        <v>2639019</v>
      </c>
      <c r="T28" s="592">
        <v>148991</v>
      </c>
      <c r="U28" s="592">
        <v>2788010</v>
      </c>
    </row>
    <row r="29" spans="1:21" x14ac:dyDescent="0.25">
      <c r="A29" s="587">
        <v>14300.2</v>
      </c>
      <c r="B29" s="588" t="s">
        <v>1165</v>
      </c>
      <c r="C29" s="589">
        <v>1.694E-4</v>
      </c>
      <c r="D29" s="589">
        <v>1.864E-4</v>
      </c>
      <c r="E29" s="590"/>
      <c r="F29" s="590"/>
      <c r="G29" s="590">
        <v>1556961</v>
      </c>
      <c r="H29" s="590"/>
      <c r="I29" s="591">
        <v>0</v>
      </c>
      <c r="J29" s="591">
        <v>890774</v>
      </c>
      <c r="K29" s="591">
        <v>229614</v>
      </c>
      <c r="L29" s="590">
        <v>8453</v>
      </c>
      <c r="M29" s="590"/>
      <c r="N29" s="591">
        <v>73584</v>
      </c>
      <c r="O29" s="591">
        <v>335512</v>
      </c>
      <c r="P29" s="591">
        <v>0</v>
      </c>
      <c r="Q29" s="590">
        <v>35751</v>
      </c>
      <c r="R29" s="590"/>
      <c r="S29" s="591">
        <v>298292</v>
      </c>
      <c r="T29" s="592">
        <v>-8172</v>
      </c>
      <c r="U29" s="592">
        <v>290120</v>
      </c>
    </row>
    <row r="30" spans="1:21" x14ac:dyDescent="0.25">
      <c r="A30" s="587">
        <v>18400</v>
      </c>
      <c r="B30" s="588" t="s">
        <v>817</v>
      </c>
      <c r="C30" s="589">
        <v>5.6007000000000001E-3</v>
      </c>
      <c r="D30" s="589">
        <v>5.7102999999999998E-3</v>
      </c>
      <c r="E30" s="590">
        <v>7896104</v>
      </c>
      <c r="F30" s="590">
        <v>21043586</v>
      </c>
      <c r="G30" s="590">
        <v>51476219</v>
      </c>
      <c r="H30" s="590"/>
      <c r="I30" s="591">
        <v>0</v>
      </c>
      <c r="J30" s="591">
        <v>29450760</v>
      </c>
      <c r="K30" s="591">
        <v>7591491</v>
      </c>
      <c r="L30" s="590">
        <v>886093</v>
      </c>
      <c r="M30" s="590"/>
      <c r="N30" s="591">
        <v>2432838</v>
      </c>
      <c r="O30" s="591">
        <v>11092690</v>
      </c>
      <c r="P30" s="591">
        <v>0</v>
      </c>
      <c r="Q30" s="590">
        <v>0</v>
      </c>
      <c r="R30" s="590"/>
      <c r="S30" s="591">
        <v>9862116</v>
      </c>
      <c r="T30" s="592">
        <v>386763</v>
      </c>
      <c r="U30" s="592">
        <v>10248879</v>
      </c>
    </row>
    <row r="31" spans="1:21" x14ac:dyDescent="0.25">
      <c r="A31" s="587">
        <v>18600</v>
      </c>
      <c r="B31" s="588" t="s">
        <v>818</v>
      </c>
      <c r="C31" s="589">
        <v>2.19E-5</v>
      </c>
      <c r="D31" s="589">
        <v>1.8600000000000001E-5</v>
      </c>
      <c r="E31" s="590">
        <v>31180</v>
      </c>
      <c r="F31" s="590">
        <v>68545</v>
      </c>
      <c r="G31" s="590">
        <v>201284</v>
      </c>
      <c r="H31" s="590"/>
      <c r="I31" s="591">
        <v>0</v>
      </c>
      <c r="J31" s="591">
        <v>115159</v>
      </c>
      <c r="K31" s="591">
        <v>29684</v>
      </c>
      <c r="L31" s="590">
        <v>16996</v>
      </c>
      <c r="M31" s="590"/>
      <c r="N31" s="591">
        <v>9513</v>
      </c>
      <c r="O31" s="591">
        <v>43375</v>
      </c>
      <c r="P31" s="591">
        <v>0</v>
      </c>
      <c r="Q31" s="590">
        <v>10775</v>
      </c>
      <c r="R31" s="590"/>
      <c r="S31" s="591">
        <v>38563</v>
      </c>
      <c r="T31" s="592">
        <v>1521</v>
      </c>
      <c r="U31" s="592">
        <v>40084</v>
      </c>
    </row>
    <row r="32" spans="1:21" x14ac:dyDescent="0.25">
      <c r="A32" s="587">
        <v>18640</v>
      </c>
      <c r="B32" s="588" t="s">
        <v>819</v>
      </c>
      <c r="C32" s="589">
        <v>0</v>
      </c>
      <c r="D32" s="589">
        <v>0</v>
      </c>
      <c r="E32" s="590">
        <v>0</v>
      </c>
      <c r="F32" s="590">
        <v>0</v>
      </c>
      <c r="G32" s="590">
        <v>0</v>
      </c>
      <c r="H32" s="590"/>
      <c r="I32" s="591">
        <v>0</v>
      </c>
      <c r="J32" s="591">
        <v>0</v>
      </c>
      <c r="K32" s="591">
        <v>0</v>
      </c>
      <c r="L32" s="590">
        <v>0</v>
      </c>
      <c r="M32" s="590"/>
      <c r="N32" s="591">
        <v>0</v>
      </c>
      <c r="O32" s="591">
        <v>0</v>
      </c>
      <c r="P32" s="591">
        <v>0</v>
      </c>
      <c r="Q32" s="590">
        <v>10248</v>
      </c>
      <c r="R32" s="590"/>
      <c r="S32" s="591">
        <v>0</v>
      </c>
      <c r="T32" s="592">
        <v>-4758</v>
      </c>
      <c r="U32" s="592">
        <v>-4758</v>
      </c>
    </row>
    <row r="33" spans="1:21" x14ac:dyDescent="0.25">
      <c r="A33" s="587">
        <v>18670</v>
      </c>
      <c r="B33" s="588" t="s">
        <v>820</v>
      </c>
      <c r="C33" s="589">
        <v>0</v>
      </c>
      <c r="D33" s="589">
        <v>0</v>
      </c>
      <c r="E33" s="590"/>
      <c r="F33" s="590">
        <v>0</v>
      </c>
      <c r="G33" s="590">
        <v>0</v>
      </c>
      <c r="H33" s="590"/>
      <c r="I33" s="591">
        <v>0</v>
      </c>
      <c r="J33" s="591">
        <v>0</v>
      </c>
      <c r="K33" s="591">
        <v>0</v>
      </c>
      <c r="L33" s="590">
        <v>0</v>
      </c>
      <c r="M33" s="590"/>
      <c r="N33" s="591">
        <v>0</v>
      </c>
      <c r="O33" s="591">
        <v>0</v>
      </c>
      <c r="P33" s="591">
        <v>0</v>
      </c>
      <c r="Q33" s="590">
        <v>13373</v>
      </c>
      <c r="R33" s="590"/>
      <c r="S33" s="591">
        <v>0</v>
      </c>
      <c r="T33" s="592">
        <v>-5591</v>
      </c>
      <c r="U33" s="592">
        <v>-5591</v>
      </c>
    </row>
    <row r="34" spans="1:21" x14ac:dyDescent="0.25">
      <c r="A34" s="587">
        <v>18690</v>
      </c>
      <c r="B34" s="588" t="s">
        <v>821</v>
      </c>
      <c r="C34" s="589">
        <v>5.2000000000000002E-6</v>
      </c>
      <c r="D34" s="589">
        <v>8.6999999999999997E-6</v>
      </c>
      <c r="E34" s="590">
        <v>17512.64</v>
      </c>
      <c r="F34" s="590">
        <v>32061</v>
      </c>
      <c r="G34" s="590">
        <v>47793</v>
      </c>
      <c r="H34" s="590"/>
      <c r="I34" s="591">
        <v>0</v>
      </c>
      <c r="J34" s="591">
        <v>27344</v>
      </c>
      <c r="K34" s="591">
        <v>7048</v>
      </c>
      <c r="L34" s="590">
        <v>11143</v>
      </c>
      <c r="M34" s="590"/>
      <c r="N34" s="591">
        <v>2259</v>
      </c>
      <c r="O34" s="591">
        <v>10299</v>
      </c>
      <c r="P34" s="591">
        <v>0</v>
      </c>
      <c r="Q34" s="590">
        <v>5844</v>
      </c>
      <c r="R34" s="590"/>
      <c r="S34" s="591">
        <v>9157</v>
      </c>
      <c r="T34" s="592">
        <v>4351</v>
      </c>
      <c r="U34" s="592">
        <v>13508</v>
      </c>
    </row>
    <row r="35" spans="1:21" x14ac:dyDescent="0.25">
      <c r="A35" s="587">
        <v>18740</v>
      </c>
      <c r="B35" s="588" t="s">
        <v>822</v>
      </c>
      <c r="C35" s="589">
        <v>7.7999999999999999E-6</v>
      </c>
      <c r="D35" s="589">
        <v>6.2999999999999998E-6</v>
      </c>
      <c r="E35" s="590">
        <v>9499</v>
      </c>
      <c r="F35" s="590">
        <v>23217</v>
      </c>
      <c r="G35" s="590">
        <v>71690</v>
      </c>
      <c r="H35" s="590"/>
      <c r="I35" s="591">
        <v>0</v>
      </c>
      <c r="J35" s="591">
        <v>41016</v>
      </c>
      <c r="K35" s="591">
        <v>10573</v>
      </c>
      <c r="L35" s="590">
        <v>5197</v>
      </c>
      <c r="M35" s="590"/>
      <c r="N35" s="591">
        <v>3388</v>
      </c>
      <c r="O35" s="591">
        <v>15449</v>
      </c>
      <c r="P35" s="591">
        <v>0</v>
      </c>
      <c r="Q35" s="590">
        <v>933</v>
      </c>
      <c r="R35" s="590"/>
      <c r="S35" s="591">
        <v>13735</v>
      </c>
      <c r="T35" s="592">
        <v>1206</v>
      </c>
      <c r="U35" s="592">
        <v>14941</v>
      </c>
    </row>
    <row r="36" spans="1:21" x14ac:dyDescent="0.25">
      <c r="A36" s="587">
        <v>18780</v>
      </c>
      <c r="B36" s="588" t="s">
        <v>823</v>
      </c>
      <c r="C36" s="589">
        <v>1.5500000000000001E-5</v>
      </c>
      <c r="D36" s="589">
        <v>1.3200000000000001E-5</v>
      </c>
      <c r="E36" s="590">
        <v>22954</v>
      </c>
      <c r="F36" s="590">
        <v>48645</v>
      </c>
      <c r="G36" s="590">
        <v>142461</v>
      </c>
      <c r="H36" s="590"/>
      <c r="I36" s="591">
        <v>0</v>
      </c>
      <c r="J36" s="591">
        <v>81505</v>
      </c>
      <c r="K36" s="591">
        <v>21010</v>
      </c>
      <c r="L36" s="590">
        <v>21003</v>
      </c>
      <c r="M36" s="590"/>
      <c r="N36" s="591">
        <v>6733</v>
      </c>
      <c r="O36" s="591">
        <v>30699</v>
      </c>
      <c r="P36" s="591">
        <v>0</v>
      </c>
      <c r="Q36" s="590">
        <v>0</v>
      </c>
      <c r="R36" s="590"/>
      <c r="S36" s="591">
        <v>27294</v>
      </c>
      <c r="T36" s="592">
        <v>8228</v>
      </c>
      <c r="U36" s="592">
        <v>35521</v>
      </c>
    </row>
    <row r="37" spans="1:21" x14ac:dyDescent="0.25">
      <c r="A37" s="587">
        <v>19005</v>
      </c>
      <c r="B37" s="588" t="s">
        <v>824</v>
      </c>
      <c r="C37" s="589">
        <v>7.7099999999999998E-4</v>
      </c>
      <c r="D37" s="589">
        <v>8.0519999999999995E-4</v>
      </c>
      <c r="E37" s="590">
        <v>1180058.3</v>
      </c>
      <c r="F37" s="590">
        <v>2967321</v>
      </c>
      <c r="G37" s="590">
        <v>7086286</v>
      </c>
      <c r="H37" s="590"/>
      <c r="I37" s="591">
        <v>0</v>
      </c>
      <c r="J37" s="591">
        <v>4054232</v>
      </c>
      <c r="K37" s="591">
        <v>1045055</v>
      </c>
      <c r="L37" s="590">
        <v>159264</v>
      </c>
      <c r="M37" s="590"/>
      <c r="N37" s="591">
        <v>334908</v>
      </c>
      <c r="O37" s="591">
        <v>1527034.89</v>
      </c>
      <c r="P37" s="591">
        <v>0</v>
      </c>
      <c r="Q37" s="590">
        <v>0</v>
      </c>
      <c r="R37" s="590"/>
      <c r="S37" s="591">
        <v>1357632</v>
      </c>
      <c r="T37" s="592">
        <v>61818</v>
      </c>
      <c r="U37" s="592">
        <v>1419450</v>
      </c>
    </row>
    <row r="38" spans="1:21" x14ac:dyDescent="0.25">
      <c r="A38" s="587">
        <v>19100</v>
      </c>
      <c r="B38" s="588" t="s">
        <v>825</v>
      </c>
      <c r="C38" s="589">
        <v>6.9063399999999997E-2</v>
      </c>
      <c r="D38" s="589">
        <v>7.0273699999999995E-2</v>
      </c>
      <c r="E38" s="590">
        <v>90973310</v>
      </c>
      <c r="F38" s="590">
        <v>258972499</v>
      </c>
      <c r="G38" s="590">
        <v>634763988</v>
      </c>
      <c r="H38" s="590"/>
      <c r="I38" s="591">
        <v>0</v>
      </c>
      <c r="J38" s="591">
        <v>363163466</v>
      </c>
      <c r="K38" s="591">
        <v>93612262</v>
      </c>
      <c r="L38" s="590">
        <v>2943403</v>
      </c>
      <c r="M38" s="590"/>
      <c r="N38" s="591">
        <v>29999829</v>
      </c>
      <c r="O38" s="591">
        <v>136786279</v>
      </c>
      <c r="P38" s="591">
        <v>0</v>
      </c>
      <c r="Q38" s="590">
        <v>4601332</v>
      </c>
      <c r="R38" s="590"/>
      <c r="S38" s="591">
        <v>121611807</v>
      </c>
      <c r="T38" s="592">
        <v>-948034</v>
      </c>
      <c r="U38" s="592">
        <v>120663773</v>
      </c>
    </row>
    <row r="39" spans="1:21" x14ac:dyDescent="0.25">
      <c r="A39" s="587">
        <v>20100</v>
      </c>
      <c r="B39" s="588" t="s">
        <v>826</v>
      </c>
      <c r="C39" s="589">
        <v>5.9985000000000004E-3</v>
      </c>
      <c r="D39" s="589">
        <v>5.7920999999999997E-3</v>
      </c>
      <c r="E39" s="590">
        <v>7786601</v>
      </c>
      <c r="F39" s="590">
        <v>21345035</v>
      </c>
      <c r="G39" s="590">
        <v>55132411</v>
      </c>
      <c r="H39" s="590"/>
      <c r="I39" s="591">
        <v>0</v>
      </c>
      <c r="J39" s="591">
        <v>31542554</v>
      </c>
      <c r="K39" s="591">
        <v>8130691</v>
      </c>
      <c r="L39" s="590">
        <v>1759842</v>
      </c>
      <c r="M39" s="590"/>
      <c r="N39" s="591">
        <v>2605634</v>
      </c>
      <c r="O39" s="591">
        <v>11880569</v>
      </c>
      <c r="P39" s="591">
        <v>0</v>
      </c>
      <c r="Q39" s="590">
        <v>0</v>
      </c>
      <c r="R39" s="590"/>
      <c r="S39" s="591">
        <v>10562591</v>
      </c>
      <c r="T39" s="592">
        <v>642093</v>
      </c>
      <c r="U39" s="592">
        <v>11204684</v>
      </c>
    </row>
    <row r="40" spans="1:21" x14ac:dyDescent="0.25">
      <c r="A40" s="587">
        <v>20200</v>
      </c>
      <c r="B40" s="588" t="s">
        <v>827</v>
      </c>
      <c r="C40" s="589">
        <v>8.2930000000000005E-4</v>
      </c>
      <c r="D40" s="589">
        <v>8.0079999999999995E-4</v>
      </c>
      <c r="E40" s="590">
        <v>1198426.92</v>
      </c>
      <c r="F40" s="590">
        <v>2951107</v>
      </c>
      <c r="G40" s="590">
        <v>7622124</v>
      </c>
      <c r="H40" s="590"/>
      <c r="I40" s="591">
        <v>0</v>
      </c>
      <c r="J40" s="591">
        <v>4360797</v>
      </c>
      <c r="K40" s="591">
        <v>1124078</v>
      </c>
      <c r="L40" s="590">
        <v>314828</v>
      </c>
      <c r="M40" s="590"/>
      <c r="N40" s="591">
        <v>360232</v>
      </c>
      <c r="O40" s="591">
        <v>1642503</v>
      </c>
      <c r="P40" s="591">
        <v>0</v>
      </c>
      <c r="Q40" s="590">
        <v>0</v>
      </c>
      <c r="R40" s="590"/>
      <c r="S40" s="591">
        <v>1460291</v>
      </c>
      <c r="T40" s="592">
        <v>108975</v>
      </c>
      <c r="U40" s="592">
        <v>1569267</v>
      </c>
    </row>
    <row r="41" spans="1:21" x14ac:dyDescent="0.25">
      <c r="A41" s="587">
        <v>20300</v>
      </c>
      <c r="B41" s="588" t="s">
        <v>828</v>
      </c>
      <c r="C41" s="589">
        <v>1.3350000000000001E-2</v>
      </c>
      <c r="D41" s="589">
        <v>1.34568E-2</v>
      </c>
      <c r="E41" s="590">
        <v>17641709</v>
      </c>
      <c r="F41" s="590">
        <v>49590972</v>
      </c>
      <c r="G41" s="590">
        <v>122700291</v>
      </c>
      <c r="H41" s="590"/>
      <c r="I41" s="591">
        <v>0</v>
      </c>
      <c r="J41" s="591">
        <v>70199733</v>
      </c>
      <c r="K41" s="591">
        <v>18095311</v>
      </c>
      <c r="L41" s="590">
        <v>1446477</v>
      </c>
      <c r="M41" s="590"/>
      <c r="N41" s="591">
        <v>5798986</v>
      </c>
      <c r="O41" s="591">
        <v>26440877</v>
      </c>
      <c r="P41" s="591">
        <v>0</v>
      </c>
      <c r="Q41" s="590">
        <v>582528</v>
      </c>
      <c r="R41" s="590"/>
      <c r="S41" s="591">
        <v>23507641</v>
      </c>
      <c r="T41" s="592">
        <v>547469</v>
      </c>
      <c r="U41" s="592">
        <v>24055110</v>
      </c>
    </row>
    <row r="42" spans="1:21" x14ac:dyDescent="0.25">
      <c r="A42" s="587">
        <v>20400</v>
      </c>
      <c r="B42" s="588" t="s">
        <v>829</v>
      </c>
      <c r="C42" s="589">
        <v>1.0759999999999999E-3</v>
      </c>
      <c r="D42" s="589">
        <v>1.1751999999999999E-3</v>
      </c>
      <c r="E42" s="590">
        <v>1557396</v>
      </c>
      <c r="F42" s="590">
        <v>4330845</v>
      </c>
      <c r="G42" s="590">
        <v>9889552</v>
      </c>
      <c r="H42" s="590"/>
      <c r="I42" s="591">
        <v>0</v>
      </c>
      <c r="J42" s="591">
        <v>5658046</v>
      </c>
      <c r="K42" s="591">
        <v>1458469</v>
      </c>
      <c r="L42" s="590">
        <v>0</v>
      </c>
      <c r="M42" s="590"/>
      <c r="N42" s="591">
        <v>467394</v>
      </c>
      <c r="O42" s="591">
        <v>2131114.84</v>
      </c>
      <c r="P42" s="591">
        <v>0</v>
      </c>
      <c r="Q42" s="590">
        <v>1447937</v>
      </c>
      <c r="R42" s="590"/>
      <c r="S42" s="591">
        <v>1894698</v>
      </c>
      <c r="T42" s="592">
        <v>-616117</v>
      </c>
      <c r="U42" s="592">
        <v>1278581</v>
      </c>
    </row>
    <row r="43" spans="1:21" x14ac:dyDescent="0.25">
      <c r="A43" s="587">
        <v>20600</v>
      </c>
      <c r="B43" s="588" t="s">
        <v>830</v>
      </c>
      <c r="C43" s="589">
        <v>1.9053E-3</v>
      </c>
      <c r="D43" s="589">
        <v>1.9930999999999998E-3</v>
      </c>
      <c r="E43" s="590">
        <v>2715457.72</v>
      </c>
      <c r="F43" s="590">
        <v>7344968</v>
      </c>
      <c r="G43" s="590">
        <v>17511675</v>
      </c>
      <c r="H43" s="590"/>
      <c r="I43" s="591">
        <v>0</v>
      </c>
      <c r="J43" s="591">
        <v>10018843</v>
      </c>
      <c r="K43" s="591">
        <v>2582547</v>
      </c>
      <c r="L43" s="590">
        <v>5704</v>
      </c>
      <c r="M43" s="590"/>
      <c r="N43" s="591">
        <v>827626</v>
      </c>
      <c r="O43" s="591">
        <v>3773618</v>
      </c>
      <c r="P43" s="591">
        <v>0</v>
      </c>
      <c r="Q43" s="590">
        <v>296973</v>
      </c>
      <c r="R43" s="590"/>
      <c r="S43" s="591">
        <v>3354989</v>
      </c>
      <c r="T43" s="592">
        <v>-102797</v>
      </c>
      <c r="U43" s="592">
        <v>3252192</v>
      </c>
    </row>
    <row r="44" spans="1:21" x14ac:dyDescent="0.25">
      <c r="A44" s="587">
        <v>20700</v>
      </c>
      <c r="B44" s="588" t="s">
        <v>831</v>
      </c>
      <c r="C44" s="589">
        <v>4.0360999999999999E-3</v>
      </c>
      <c r="D44" s="589">
        <v>3.9925000000000004E-3</v>
      </c>
      <c r="E44" s="590">
        <v>5852681</v>
      </c>
      <c r="F44" s="590">
        <v>14713153</v>
      </c>
      <c r="G44" s="590">
        <v>37095928</v>
      </c>
      <c r="H44" s="590"/>
      <c r="I44" s="591">
        <v>0</v>
      </c>
      <c r="J44" s="591">
        <v>21223456</v>
      </c>
      <c r="K44" s="591">
        <v>5470748</v>
      </c>
      <c r="L44" s="590">
        <v>845405</v>
      </c>
      <c r="M44" s="590"/>
      <c r="N44" s="591">
        <v>1753205</v>
      </c>
      <c r="O44" s="591">
        <v>7993859</v>
      </c>
      <c r="P44" s="591">
        <v>0</v>
      </c>
      <c r="Q44" s="590">
        <v>0</v>
      </c>
      <c r="R44" s="590"/>
      <c r="S44" s="591">
        <v>7107055</v>
      </c>
      <c r="T44" s="592">
        <v>272503</v>
      </c>
      <c r="U44" s="592">
        <v>7379559</v>
      </c>
    </row>
    <row r="45" spans="1:21" x14ac:dyDescent="0.25">
      <c r="A45" s="587">
        <v>20800</v>
      </c>
      <c r="B45" s="588" t="s">
        <v>832</v>
      </c>
      <c r="C45" s="589">
        <v>3.6143E-3</v>
      </c>
      <c r="D45" s="589">
        <v>3.6311E-3</v>
      </c>
      <c r="E45" s="590">
        <v>4969462</v>
      </c>
      <c r="F45" s="590">
        <v>13381322</v>
      </c>
      <c r="G45" s="590">
        <v>33219151</v>
      </c>
      <c r="H45" s="590"/>
      <c r="I45" s="591">
        <v>0</v>
      </c>
      <c r="J45" s="591">
        <v>19005460</v>
      </c>
      <c r="K45" s="591">
        <v>4899017</v>
      </c>
      <c r="L45" s="590">
        <v>321737</v>
      </c>
      <c r="M45" s="590"/>
      <c r="N45" s="591">
        <v>1569983</v>
      </c>
      <c r="O45" s="591">
        <v>7158446</v>
      </c>
      <c r="P45" s="591">
        <v>0</v>
      </c>
      <c r="Q45" s="590">
        <v>598392</v>
      </c>
      <c r="R45" s="590"/>
      <c r="S45" s="591">
        <v>6364320</v>
      </c>
      <c r="T45" s="592">
        <v>-112076</v>
      </c>
      <c r="U45" s="592">
        <v>6252243</v>
      </c>
    </row>
    <row r="46" spans="1:21" x14ac:dyDescent="0.25">
      <c r="A46" s="587">
        <v>20900</v>
      </c>
      <c r="B46" s="588" t="s">
        <v>833</v>
      </c>
      <c r="C46" s="589">
        <v>4.7756999999999999E-3</v>
      </c>
      <c r="D46" s="589">
        <v>4.9801000000000003E-3</v>
      </c>
      <c r="E46" s="590">
        <v>6786867</v>
      </c>
      <c r="F46" s="590">
        <v>18352655</v>
      </c>
      <c r="G46" s="590">
        <v>43893616</v>
      </c>
      <c r="H46" s="590"/>
      <c r="I46" s="591">
        <v>0</v>
      </c>
      <c r="J46" s="591">
        <v>25112574</v>
      </c>
      <c r="K46" s="591">
        <v>6473242</v>
      </c>
      <c r="L46" s="590">
        <v>0</v>
      </c>
      <c r="M46" s="590"/>
      <c r="N46" s="591">
        <v>2074473</v>
      </c>
      <c r="O46" s="591">
        <v>9458704</v>
      </c>
      <c r="P46" s="591">
        <v>0</v>
      </c>
      <c r="Q46" s="590">
        <v>1237001</v>
      </c>
      <c r="R46" s="590"/>
      <c r="S46" s="591">
        <v>8409396</v>
      </c>
      <c r="T46" s="592">
        <v>-520026</v>
      </c>
      <c r="U46" s="592">
        <v>7889371</v>
      </c>
    </row>
    <row r="47" spans="1:21" x14ac:dyDescent="0.25">
      <c r="A47" s="587">
        <v>21200</v>
      </c>
      <c r="B47" s="588" t="s">
        <v>834</v>
      </c>
      <c r="C47" s="589">
        <v>1.7662000000000001E-3</v>
      </c>
      <c r="D47" s="589">
        <v>1.6559000000000001E-3</v>
      </c>
      <c r="E47" s="590">
        <v>2326806.46</v>
      </c>
      <c r="F47" s="590">
        <v>6102319</v>
      </c>
      <c r="G47" s="590">
        <v>16233202</v>
      </c>
      <c r="H47" s="590"/>
      <c r="I47" s="591">
        <v>0</v>
      </c>
      <c r="J47" s="591">
        <v>9287398</v>
      </c>
      <c r="K47" s="591">
        <v>2394003</v>
      </c>
      <c r="L47" s="590">
        <v>531802</v>
      </c>
      <c r="M47" s="590"/>
      <c r="N47" s="591">
        <v>767204</v>
      </c>
      <c r="O47" s="591">
        <v>3498118</v>
      </c>
      <c r="P47" s="591">
        <v>0</v>
      </c>
      <c r="Q47" s="590">
        <v>83285</v>
      </c>
      <c r="R47" s="590"/>
      <c r="S47" s="591">
        <v>3110052</v>
      </c>
      <c r="T47" s="592">
        <v>113930</v>
      </c>
      <c r="U47" s="592">
        <v>3223982</v>
      </c>
    </row>
    <row r="48" spans="1:21" x14ac:dyDescent="0.25">
      <c r="A48" s="587">
        <v>21300</v>
      </c>
      <c r="B48" s="588" t="s">
        <v>835</v>
      </c>
      <c r="C48" s="589">
        <v>2.20202E-2</v>
      </c>
      <c r="D48" s="589">
        <v>2.1394E-2</v>
      </c>
      <c r="E48" s="590">
        <v>28792582</v>
      </c>
      <c r="F48" s="590">
        <v>78841126</v>
      </c>
      <c r="G48" s="590">
        <v>202388385</v>
      </c>
      <c r="H48" s="590"/>
      <c r="I48" s="591">
        <v>0</v>
      </c>
      <c r="J48" s="591">
        <v>115791174</v>
      </c>
      <c r="K48" s="591">
        <v>29847368</v>
      </c>
      <c r="L48" s="590">
        <v>4612434</v>
      </c>
      <c r="M48" s="590"/>
      <c r="N48" s="591">
        <v>9565156</v>
      </c>
      <c r="O48" s="591">
        <v>43612988</v>
      </c>
      <c r="P48" s="591">
        <v>0</v>
      </c>
      <c r="Q48" s="590">
        <v>0</v>
      </c>
      <c r="R48" s="590"/>
      <c r="S48" s="591">
        <v>38774754</v>
      </c>
      <c r="T48" s="592">
        <v>1709019</v>
      </c>
      <c r="U48" s="592">
        <v>40483773</v>
      </c>
    </row>
    <row r="49" spans="1:21" x14ac:dyDescent="0.25">
      <c r="A49" s="587">
        <v>21520</v>
      </c>
      <c r="B49" s="588" t="s">
        <v>836</v>
      </c>
      <c r="C49" s="589">
        <v>3.0936100000000001E-2</v>
      </c>
      <c r="D49" s="589">
        <v>3.1222699999999999E-2</v>
      </c>
      <c r="E49" s="590">
        <v>41988704</v>
      </c>
      <c r="F49" s="590">
        <v>115061832</v>
      </c>
      <c r="G49" s="590">
        <v>284334716</v>
      </c>
      <c r="H49" s="590"/>
      <c r="I49" s="591">
        <v>0</v>
      </c>
      <c r="J49" s="591">
        <v>162674605</v>
      </c>
      <c r="K49" s="591">
        <v>41932460</v>
      </c>
      <c r="L49" s="590">
        <v>2354130</v>
      </c>
      <c r="M49" s="590"/>
      <c r="N49" s="591">
        <v>13438054</v>
      </c>
      <c r="O49" s="591">
        <v>61271730</v>
      </c>
      <c r="P49" s="591">
        <v>0</v>
      </c>
      <c r="Q49" s="590">
        <v>2031640</v>
      </c>
      <c r="R49" s="590"/>
      <c r="S49" s="591">
        <v>54474512</v>
      </c>
      <c r="T49" s="592">
        <v>253042</v>
      </c>
      <c r="U49" s="592">
        <v>54727554</v>
      </c>
    </row>
    <row r="50" spans="1:21" x14ac:dyDescent="0.25">
      <c r="A50" s="587">
        <v>21525</v>
      </c>
      <c r="B50" s="588" t="s">
        <v>1166</v>
      </c>
      <c r="C50" s="589">
        <v>1.2384E-3</v>
      </c>
      <c r="D50" s="589">
        <v>1.1854999999999999E-3</v>
      </c>
      <c r="E50" s="590">
        <v>1974157</v>
      </c>
      <c r="F50" s="590">
        <v>4851195</v>
      </c>
      <c r="G50" s="590">
        <v>11382175</v>
      </c>
      <c r="H50" s="590"/>
      <c r="I50" s="591">
        <v>0</v>
      </c>
      <c r="J50" s="591">
        <v>6512011</v>
      </c>
      <c r="K50" s="591">
        <v>1678594</v>
      </c>
      <c r="L50" s="590">
        <v>428623</v>
      </c>
      <c r="M50" s="590"/>
      <c r="N50" s="591">
        <v>537937</v>
      </c>
      <c r="O50" s="591">
        <v>2452763</v>
      </c>
      <c r="P50" s="591">
        <v>0</v>
      </c>
      <c r="Q50" s="590">
        <v>23011</v>
      </c>
      <c r="R50" s="590"/>
      <c r="S50" s="591">
        <v>2180664</v>
      </c>
      <c r="T50" s="592">
        <v>135538</v>
      </c>
      <c r="U50" s="592">
        <v>2316202</v>
      </c>
    </row>
    <row r="51" spans="1:21" x14ac:dyDescent="0.25">
      <c r="A51" s="587">
        <v>21525.200000000001</v>
      </c>
      <c r="B51" s="588" t="s">
        <v>1167</v>
      </c>
      <c r="C51" s="589">
        <v>1.1459999999999999E-4</v>
      </c>
      <c r="D51" s="589">
        <v>1.3090000000000001E-4</v>
      </c>
      <c r="E51" s="590"/>
      <c r="F51" s="590"/>
      <c r="G51" s="590">
        <v>1053292</v>
      </c>
      <c r="H51" s="590"/>
      <c r="I51" s="591">
        <v>0</v>
      </c>
      <c r="J51" s="591">
        <v>602613</v>
      </c>
      <c r="K51" s="591">
        <v>155335</v>
      </c>
      <c r="L51" s="590">
        <v>8736</v>
      </c>
      <c r="M51" s="590"/>
      <c r="N51" s="591">
        <v>49780</v>
      </c>
      <c r="O51" s="591">
        <v>226976</v>
      </c>
      <c r="P51" s="591">
        <v>0</v>
      </c>
      <c r="Q51" s="590">
        <v>27335</v>
      </c>
      <c r="R51" s="590"/>
      <c r="S51" s="591">
        <v>201796</v>
      </c>
      <c r="T51" s="592">
        <v>-3197</v>
      </c>
      <c r="U51" s="592">
        <v>198599</v>
      </c>
    </row>
    <row r="52" spans="1:21" x14ac:dyDescent="0.25">
      <c r="A52" s="587">
        <v>21550</v>
      </c>
      <c r="B52" s="588" t="s">
        <v>838</v>
      </c>
      <c r="C52" s="589">
        <v>3.5286900000000003E-2</v>
      </c>
      <c r="D52" s="589">
        <v>3.5722400000000001E-2</v>
      </c>
      <c r="E52" s="590">
        <v>46226676</v>
      </c>
      <c r="F52" s="590">
        <v>131644117</v>
      </c>
      <c r="G52" s="590">
        <v>324323062</v>
      </c>
      <c r="H52" s="590"/>
      <c r="I52" s="591">
        <v>0</v>
      </c>
      <c r="J52" s="591">
        <v>185552882</v>
      </c>
      <c r="K52" s="591">
        <v>47829770</v>
      </c>
      <c r="L52" s="590">
        <v>4630165</v>
      </c>
      <c r="M52" s="590"/>
      <c r="N52" s="591">
        <v>15327959</v>
      </c>
      <c r="O52" s="591">
        <v>69888881</v>
      </c>
      <c r="P52" s="591">
        <v>0</v>
      </c>
      <c r="Q52" s="590">
        <v>4601832</v>
      </c>
      <c r="R52" s="590"/>
      <c r="S52" s="591">
        <v>62135714</v>
      </c>
      <c r="T52" s="592">
        <v>870566</v>
      </c>
      <c r="U52" s="592">
        <v>63006280</v>
      </c>
    </row>
    <row r="53" spans="1:21" x14ac:dyDescent="0.25">
      <c r="A53" s="587">
        <v>21570</v>
      </c>
      <c r="B53" s="588" t="s">
        <v>839</v>
      </c>
      <c r="C53" s="589">
        <v>1.895E-4</v>
      </c>
      <c r="D53" s="589">
        <v>1.7019999999999999E-4</v>
      </c>
      <c r="E53" s="590">
        <v>266936.26</v>
      </c>
      <c r="F53" s="590">
        <v>627221</v>
      </c>
      <c r="G53" s="590">
        <v>1741701</v>
      </c>
      <c r="H53" s="590"/>
      <c r="I53" s="591">
        <v>0</v>
      </c>
      <c r="J53" s="591">
        <v>996468</v>
      </c>
      <c r="K53" s="591">
        <v>256859</v>
      </c>
      <c r="L53" s="590">
        <v>87656</v>
      </c>
      <c r="M53" s="590"/>
      <c r="N53" s="591">
        <v>82315</v>
      </c>
      <c r="O53" s="591">
        <v>375322</v>
      </c>
      <c r="P53" s="591">
        <v>0</v>
      </c>
      <c r="Q53" s="590">
        <v>69938</v>
      </c>
      <c r="R53" s="590"/>
      <c r="S53" s="591">
        <v>333685</v>
      </c>
      <c r="T53" s="592">
        <v>-8311</v>
      </c>
      <c r="U53" s="592">
        <v>325374</v>
      </c>
    </row>
    <row r="54" spans="1:21" x14ac:dyDescent="0.25">
      <c r="A54" s="587">
        <v>21800</v>
      </c>
      <c r="B54" s="588" t="s">
        <v>840</v>
      </c>
      <c r="C54" s="589">
        <v>3.0324000000000002E-3</v>
      </c>
      <c r="D54" s="589">
        <v>2.9962999999999999E-3</v>
      </c>
      <c r="E54" s="590">
        <v>4093880.15</v>
      </c>
      <c r="F54" s="590">
        <v>11041959</v>
      </c>
      <c r="G54" s="590">
        <v>27870888</v>
      </c>
      <c r="H54" s="590"/>
      <c r="I54" s="591">
        <v>0</v>
      </c>
      <c r="J54" s="591">
        <v>15945593</v>
      </c>
      <c r="K54" s="591">
        <v>4110279</v>
      </c>
      <c r="L54" s="590">
        <v>993383</v>
      </c>
      <c r="M54" s="590"/>
      <c r="N54" s="591">
        <v>1317217</v>
      </c>
      <c r="O54" s="591">
        <v>6005941</v>
      </c>
      <c r="P54" s="591">
        <v>0</v>
      </c>
      <c r="Q54" s="590">
        <v>0</v>
      </c>
      <c r="R54" s="590"/>
      <c r="S54" s="591">
        <v>5339668</v>
      </c>
      <c r="T54" s="592">
        <v>408328</v>
      </c>
      <c r="U54" s="592">
        <v>5747996</v>
      </c>
    </row>
    <row r="55" spans="1:21" x14ac:dyDescent="0.25">
      <c r="A55" s="587">
        <v>21900</v>
      </c>
      <c r="B55" s="588" t="s">
        <v>841</v>
      </c>
      <c r="C55" s="589">
        <v>2.3151999999999999E-3</v>
      </c>
      <c r="D55" s="589">
        <v>2.3990999999999999E-3</v>
      </c>
      <c r="E55" s="590">
        <v>3221979.68</v>
      </c>
      <c r="F55" s="590">
        <v>8841159</v>
      </c>
      <c r="G55" s="590">
        <v>21279080</v>
      </c>
      <c r="H55" s="590"/>
      <c r="I55" s="591">
        <v>0</v>
      </c>
      <c r="J55" s="591">
        <v>12174264</v>
      </c>
      <c r="K55" s="591">
        <v>3138147</v>
      </c>
      <c r="L55" s="590">
        <v>194157</v>
      </c>
      <c r="M55" s="590"/>
      <c r="N55" s="591">
        <v>1005679</v>
      </c>
      <c r="O55" s="591">
        <v>4585462</v>
      </c>
      <c r="P55" s="591">
        <v>0</v>
      </c>
      <c r="Q55" s="590">
        <v>137999</v>
      </c>
      <c r="R55" s="590"/>
      <c r="S55" s="591">
        <v>4076771</v>
      </c>
      <c r="T55" s="592">
        <v>63197</v>
      </c>
      <c r="U55" s="592">
        <v>4139968</v>
      </c>
    </row>
    <row r="56" spans="1:21" x14ac:dyDescent="0.25">
      <c r="A56" s="587">
        <v>22000</v>
      </c>
      <c r="B56" s="588" t="s">
        <v>842</v>
      </c>
      <c r="C56" s="589">
        <v>3.8665000000000001E-3</v>
      </c>
      <c r="D56" s="589">
        <v>4.1340999999999999E-3</v>
      </c>
      <c r="E56" s="590">
        <v>5790351</v>
      </c>
      <c r="F56" s="590">
        <v>15234977</v>
      </c>
      <c r="G56" s="590">
        <v>35537129</v>
      </c>
      <c r="H56" s="590"/>
      <c r="I56" s="591">
        <v>0</v>
      </c>
      <c r="J56" s="591">
        <v>20331631</v>
      </c>
      <c r="K56" s="591">
        <v>5240863</v>
      </c>
      <c r="L56" s="590">
        <v>525345</v>
      </c>
      <c r="M56" s="590"/>
      <c r="N56" s="591">
        <v>1679534</v>
      </c>
      <c r="O56" s="591">
        <v>7657951</v>
      </c>
      <c r="P56" s="591">
        <v>0</v>
      </c>
      <c r="Q56" s="590">
        <v>710995</v>
      </c>
      <c r="R56" s="590"/>
      <c r="S56" s="591">
        <v>6808412</v>
      </c>
      <c r="T56" s="592">
        <v>46137</v>
      </c>
      <c r="U56" s="592">
        <v>6854548</v>
      </c>
    </row>
    <row r="57" spans="1:21" x14ac:dyDescent="0.25">
      <c r="A57" s="587">
        <v>23000</v>
      </c>
      <c r="B57" s="588" t="s">
        <v>843</v>
      </c>
      <c r="C57" s="589">
        <v>1.1896000000000001E-3</v>
      </c>
      <c r="D57" s="589">
        <v>1.1814E-3</v>
      </c>
      <c r="E57" s="590">
        <v>1693791.54</v>
      </c>
      <c r="F57" s="590">
        <v>4353693</v>
      </c>
      <c r="G57" s="590">
        <v>10933653</v>
      </c>
      <c r="H57" s="590"/>
      <c r="I57" s="591">
        <v>0</v>
      </c>
      <c r="J57" s="591">
        <v>6255401</v>
      </c>
      <c r="K57" s="591">
        <v>1612448</v>
      </c>
      <c r="L57" s="590">
        <v>514641</v>
      </c>
      <c r="M57" s="590"/>
      <c r="N57" s="591">
        <v>516740</v>
      </c>
      <c r="O57" s="591">
        <v>2356110</v>
      </c>
      <c r="P57" s="591">
        <v>0</v>
      </c>
      <c r="Q57" s="590">
        <v>0</v>
      </c>
      <c r="R57" s="590"/>
      <c r="S57" s="591">
        <v>2094733</v>
      </c>
      <c r="T57" s="592">
        <v>224563</v>
      </c>
      <c r="U57" s="592">
        <v>2319296</v>
      </c>
    </row>
    <row r="58" spans="1:21" x14ac:dyDescent="0.25">
      <c r="A58" s="587">
        <v>23100</v>
      </c>
      <c r="B58" s="588" t="s">
        <v>844</v>
      </c>
      <c r="C58" s="589">
        <v>6.6102000000000001E-3</v>
      </c>
      <c r="D58" s="589">
        <v>6.7044000000000001E-3</v>
      </c>
      <c r="E58" s="590">
        <v>9303818</v>
      </c>
      <c r="F58" s="590">
        <v>24707041</v>
      </c>
      <c r="G58" s="590">
        <v>60754566</v>
      </c>
      <c r="H58" s="590"/>
      <c r="I58" s="591">
        <v>0</v>
      </c>
      <c r="J58" s="591">
        <v>34759122</v>
      </c>
      <c r="K58" s="591">
        <v>8959822</v>
      </c>
      <c r="L58" s="590">
        <v>949749</v>
      </c>
      <c r="M58" s="590"/>
      <c r="N58" s="591">
        <v>2871345</v>
      </c>
      <c r="O58" s="591">
        <v>13092096</v>
      </c>
      <c r="P58" s="591">
        <v>0</v>
      </c>
      <c r="Q58" s="590">
        <v>0</v>
      </c>
      <c r="R58" s="590"/>
      <c r="S58" s="591">
        <v>11639716</v>
      </c>
      <c r="T58" s="592">
        <v>426689</v>
      </c>
      <c r="U58" s="592">
        <v>12066405</v>
      </c>
    </row>
    <row r="59" spans="1:21" x14ac:dyDescent="0.25">
      <c r="A59" s="587">
        <v>23200</v>
      </c>
      <c r="B59" s="588" t="s">
        <v>845</v>
      </c>
      <c r="C59" s="589">
        <v>3.5978E-3</v>
      </c>
      <c r="D59" s="589">
        <v>3.5723E-3</v>
      </c>
      <c r="E59" s="590">
        <v>4896074.54</v>
      </c>
      <c r="F59" s="590">
        <v>13164633</v>
      </c>
      <c r="G59" s="590">
        <v>33067499</v>
      </c>
      <c r="H59" s="590"/>
      <c r="I59" s="591">
        <v>0</v>
      </c>
      <c r="J59" s="591">
        <v>18918697</v>
      </c>
      <c r="K59" s="591">
        <v>4876652</v>
      </c>
      <c r="L59" s="590">
        <v>337196</v>
      </c>
      <c r="M59" s="590"/>
      <c r="N59" s="591">
        <v>1562816</v>
      </c>
      <c r="O59" s="591">
        <v>7125767</v>
      </c>
      <c r="P59" s="591">
        <v>0</v>
      </c>
      <c r="Q59" s="590">
        <v>304802</v>
      </c>
      <c r="R59" s="590"/>
      <c r="S59" s="591">
        <v>6335265</v>
      </c>
      <c r="T59" s="592">
        <v>-71938</v>
      </c>
      <c r="U59" s="592">
        <v>6263327</v>
      </c>
    </row>
    <row r="60" spans="1:21" x14ac:dyDescent="0.25">
      <c r="A60" s="587">
        <v>30000</v>
      </c>
      <c r="B60" s="588" t="s">
        <v>846</v>
      </c>
      <c r="C60" s="589">
        <v>1.0038E-3</v>
      </c>
      <c r="D60" s="589">
        <v>1.0149E-3</v>
      </c>
      <c r="E60" s="590">
        <v>1219677</v>
      </c>
      <c r="F60" s="590">
        <v>3740107</v>
      </c>
      <c r="G60" s="590">
        <v>9225959</v>
      </c>
      <c r="H60" s="590"/>
      <c r="I60" s="591">
        <v>0</v>
      </c>
      <c r="J60" s="591">
        <v>5278389</v>
      </c>
      <c r="K60" s="591">
        <v>1360605</v>
      </c>
      <c r="L60" s="590">
        <v>0</v>
      </c>
      <c r="M60" s="590"/>
      <c r="N60" s="591">
        <v>436032</v>
      </c>
      <c r="O60" s="591">
        <v>1988116</v>
      </c>
      <c r="P60" s="591">
        <v>0</v>
      </c>
      <c r="Q60" s="590">
        <v>213016</v>
      </c>
      <c r="R60" s="590"/>
      <c r="S60" s="591">
        <v>1767563</v>
      </c>
      <c r="T60" s="592">
        <v>-89518</v>
      </c>
      <c r="U60" s="592">
        <v>1678045</v>
      </c>
    </row>
    <row r="61" spans="1:21" x14ac:dyDescent="0.25">
      <c r="A61" s="587">
        <v>30100</v>
      </c>
      <c r="B61" s="588" t="s">
        <v>847</v>
      </c>
      <c r="C61" s="589">
        <v>8.8232999999999992E-3</v>
      </c>
      <c r="D61" s="589">
        <v>8.5774000000000006E-3</v>
      </c>
      <c r="E61" s="590">
        <v>10432013</v>
      </c>
      <c r="F61" s="590">
        <v>31609417</v>
      </c>
      <c r="G61" s="590">
        <v>81095241</v>
      </c>
      <c r="H61" s="590"/>
      <c r="I61" s="591">
        <v>0</v>
      </c>
      <c r="J61" s="591">
        <v>46396502</v>
      </c>
      <c r="K61" s="591">
        <v>11959577</v>
      </c>
      <c r="L61" s="590">
        <v>373040</v>
      </c>
      <c r="M61" s="590"/>
      <c r="N61" s="591">
        <v>3832674</v>
      </c>
      <c r="O61" s="591">
        <v>17475340</v>
      </c>
      <c r="P61" s="591">
        <v>0</v>
      </c>
      <c r="Q61" s="590">
        <v>657861</v>
      </c>
      <c r="R61" s="590"/>
      <c r="S61" s="591">
        <v>15536702</v>
      </c>
      <c r="T61" s="592">
        <v>-248207</v>
      </c>
      <c r="U61" s="592">
        <v>15288495</v>
      </c>
    </row>
    <row r="62" spans="1:21" x14ac:dyDescent="0.25">
      <c r="A62" s="587">
        <v>30102</v>
      </c>
      <c r="B62" s="588" t="s">
        <v>848</v>
      </c>
      <c r="C62" s="589">
        <v>1.5970000000000001E-4</v>
      </c>
      <c r="D62" s="589">
        <v>1.407E-4</v>
      </c>
      <c r="E62" s="590">
        <v>181617</v>
      </c>
      <c r="F62" s="590">
        <v>518507</v>
      </c>
      <c r="G62" s="590">
        <v>1467808</v>
      </c>
      <c r="H62" s="590"/>
      <c r="I62" s="591">
        <v>0</v>
      </c>
      <c r="J62" s="591">
        <v>839768</v>
      </c>
      <c r="K62" s="591">
        <v>216466</v>
      </c>
      <c r="L62" s="590">
        <v>102898</v>
      </c>
      <c r="M62" s="590"/>
      <c r="N62" s="591">
        <v>69371</v>
      </c>
      <c r="O62" s="591">
        <v>316300</v>
      </c>
      <c r="P62" s="591">
        <v>0</v>
      </c>
      <c r="Q62" s="590">
        <v>0</v>
      </c>
      <c r="R62" s="590"/>
      <c r="S62" s="591">
        <v>281211</v>
      </c>
      <c r="T62" s="592">
        <v>36558</v>
      </c>
      <c r="U62" s="592">
        <v>317769</v>
      </c>
    </row>
    <row r="63" spans="1:21" x14ac:dyDescent="0.25">
      <c r="A63" s="587">
        <v>30103</v>
      </c>
      <c r="B63" s="588" t="s">
        <v>849</v>
      </c>
      <c r="C63" s="589">
        <v>1.8699999999999999E-4</v>
      </c>
      <c r="D63" s="589">
        <v>1.8760000000000001E-4</v>
      </c>
      <c r="E63" s="590">
        <v>211589</v>
      </c>
      <c r="F63" s="590">
        <v>691343</v>
      </c>
      <c r="G63" s="590">
        <v>1718723</v>
      </c>
      <c r="H63" s="590"/>
      <c r="I63" s="591">
        <v>0</v>
      </c>
      <c r="J63" s="591">
        <v>983322</v>
      </c>
      <c r="K63" s="591">
        <v>253470</v>
      </c>
      <c r="L63" s="590">
        <v>59739</v>
      </c>
      <c r="M63" s="590"/>
      <c r="N63" s="591">
        <v>81229</v>
      </c>
      <c r="O63" s="591">
        <v>370370</v>
      </c>
      <c r="P63" s="591">
        <v>0</v>
      </c>
      <c r="Q63" s="590">
        <v>22552</v>
      </c>
      <c r="R63" s="590"/>
      <c r="S63" s="591">
        <v>329283</v>
      </c>
      <c r="T63" s="592">
        <v>21929</v>
      </c>
      <c r="U63" s="592">
        <v>351212</v>
      </c>
    </row>
    <row r="64" spans="1:21" x14ac:dyDescent="0.25">
      <c r="A64" s="587">
        <v>30104</v>
      </c>
      <c r="B64" s="588" t="s">
        <v>850</v>
      </c>
      <c r="C64" s="589">
        <v>1.081E-4</v>
      </c>
      <c r="D64" s="589">
        <v>8.6700000000000007E-5</v>
      </c>
      <c r="E64" s="590">
        <v>118104</v>
      </c>
      <c r="F64" s="590">
        <v>319507</v>
      </c>
      <c r="G64" s="590">
        <v>993551</v>
      </c>
      <c r="H64" s="590"/>
      <c r="I64" s="591">
        <v>0</v>
      </c>
      <c r="J64" s="591">
        <v>568434</v>
      </c>
      <c r="K64" s="591">
        <v>146525</v>
      </c>
      <c r="L64" s="590">
        <v>137326</v>
      </c>
      <c r="M64" s="590"/>
      <c r="N64" s="591">
        <v>46957</v>
      </c>
      <c r="O64" s="591">
        <v>214102</v>
      </c>
      <c r="P64" s="591">
        <v>0</v>
      </c>
      <c r="Q64" s="590">
        <v>0</v>
      </c>
      <c r="R64" s="590"/>
      <c r="S64" s="591">
        <v>190350</v>
      </c>
      <c r="T64" s="592">
        <v>52746</v>
      </c>
      <c r="U64" s="592">
        <v>243097</v>
      </c>
    </row>
    <row r="65" spans="1:21" x14ac:dyDescent="0.25">
      <c r="A65" s="587">
        <v>30105</v>
      </c>
      <c r="B65" s="588" t="s">
        <v>851</v>
      </c>
      <c r="C65" s="589">
        <v>8.5320000000000003E-4</v>
      </c>
      <c r="D65" s="589">
        <v>8.1840000000000005E-4</v>
      </c>
      <c r="E65" s="590">
        <v>1143841.04</v>
      </c>
      <c r="F65" s="590">
        <v>3015966</v>
      </c>
      <c r="G65" s="590">
        <v>7841789</v>
      </c>
      <c r="H65" s="590"/>
      <c r="I65" s="591">
        <v>0</v>
      </c>
      <c r="J65" s="591">
        <v>4486473</v>
      </c>
      <c r="K65" s="591">
        <v>1156473</v>
      </c>
      <c r="L65" s="590">
        <v>264743</v>
      </c>
      <c r="M65" s="590"/>
      <c r="N65" s="591">
        <v>370614</v>
      </c>
      <c r="O65" s="591">
        <v>1689839</v>
      </c>
      <c r="P65" s="591">
        <v>0</v>
      </c>
      <c r="Q65" s="590">
        <v>0</v>
      </c>
      <c r="R65" s="590"/>
      <c r="S65" s="591">
        <v>1502376</v>
      </c>
      <c r="T65" s="592">
        <v>98522</v>
      </c>
      <c r="U65" s="592">
        <v>1600898</v>
      </c>
    </row>
    <row r="66" spans="1:21" x14ac:dyDescent="0.25">
      <c r="A66" s="587">
        <v>30200</v>
      </c>
      <c r="B66" s="588" t="s">
        <v>852</v>
      </c>
      <c r="C66" s="589">
        <v>1.9545000000000001E-3</v>
      </c>
      <c r="D66" s="589">
        <v>2.0178000000000001E-3</v>
      </c>
      <c r="E66" s="590">
        <v>2394754.19</v>
      </c>
      <c r="F66" s="590">
        <v>7435993</v>
      </c>
      <c r="G66" s="590">
        <v>17963874</v>
      </c>
      <c r="H66" s="590"/>
      <c r="I66" s="591">
        <v>0</v>
      </c>
      <c r="J66" s="591">
        <v>10277556</v>
      </c>
      <c r="K66" s="591">
        <v>2649235</v>
      </c>
      <c r="L66" s="590">
        <v>0</v>
      </c>
      <c r="M66" s="590"/>
      <c r="N66" s="591">
        <v>848998</v>
      </c>
      <c r="O66" s="591">
        <v>3871063</v>
      </c>
      <c r="P66" s="591">
        <v>0</v>
      </c>
      <c r="Q66" s="590">
        <v>523572</v>
      </c>
      <c r="R66" s="590"/>
      <c r="S66" s="591">
        <v>3441624</v>
      </c>
      <c r="T66" s="592">
        <v>-199493</v>
      </c>
      <c r="U66" s="592">
        <v>3242131</v>
      </c>
    </row>
    <row r="67" spans="1:21" x14ac:dyDescent="0.25">
      <c r="A67" s="587">
        <v>30300</v>
      </c>
      <c r="B67" s="588" t="s">
        <v>853</v>
      </c>
      <c r="C67" s="589">
        <v>6.8050000000000001E-4</v>
      </c>
      <c r="D67" s="589">
        <v>6.734E-4</v>
      </c>
      <c r="E67" s="590">
        <v>839107.02</v>
      </c>
      <c r="F67" s="590">
        <v>2481612</v>
      </c>
      <c r="G67" s="590">
        <v>6254498</v>
      </c>
      <c r="H67" s="590"/>
      <c r="I67" s="591">
        <v>0</v>
      </c>
      <c r="J67" s="591">
        <v>3578346</v>
      </c>
      <c r="K67" s="591">
        <v>922386</v>
      </c>
      <c r="L67" s="590">
        <v>4161</v>
      </c>
      <c r="M67" s="590"/>
      <c r="N67" s="591">
        <v>295596</v>
      </c>
      <c r="O67" s="591">
        <v>1347791</v>
      </c>
      <c r="P67" s="591">
        <v>0</v>
      </c>
      <c r="Q67" s="590">
        <v>18103</v>
      </c>
      <c r="R67" s="590"/>
      <c r="S67" s="591">
        <v>1198273</v>
      </c>
      <c r="T67" s="592">
        <v>-8476</v>
      </c>
      <c r="U67" s="592">
        <v>1189797</v>
      </c>
    </row>
    <row r="68" spans="1:21" x14ac:dyDescent="0.25">
      <c r="A68" s="587">
        <v>30400</v>
      </c>
      <c r="B68" s="588" t="s">
        <v>854</v>
      </c>
      <c r="C68" s="589">
        <v>1.2626E-3</v>
      </c>
      <c r="D68" s="589">
        <v>1.3213000000000001E-3</v>
      </c>
      <c r="E68" s="590">
        <v>1698374</v>
      </c>
      <c r="F68" s="590">
        <v>4869252</v>
      </c>
      <c r="G68" s="590">
        <v>11604598</v>
      </c>
      <c r="H68" s="590"/>
      <c r="I68" s="591">
        <v>0</v>
      </c>
      <c r="J68" s="591">
        <v>6639265</v>
      </c>
      <c r="K68" s="591">
        <v>1711396</v>
      </c>
      <c r="L68" s="590">
        <v>187296</v>
      </c>
      <c r="M68" s="590"/>
      <c r="N68" s="591">
        <v>548449</v>
      </c>
      <c r="O68" s="591">
        <v>2500693</v>
      </c>
      <c r="P68" s="591">
        <v>0</v>
      </c>
      <c r="Q68" s="590">
        <v>273573</v>
      </c>
      <c r="R68" s="590"/>
      <c r="S68" s="591">
        <v>2223277</v>
      </c>
      <c r="T68" s="592">
        <v>-44639</v>
      </c>
      <c r="U68" s="592">
        <v>2178638</v>
      </c>
    </row>
    <row r="69" spans="1:21" x14ac:dyDescent="0.25">
      <c r="A69" s="587">
        <v>30405</v>
      </c>
      <c r="B69" s="588" t="s">
        <v>855</v>
      </c>
      <c r="C69" s="589">
        <v>8.2660000000000003E-4</v>
      </c>
      <c r="D69" s="589">
        <v>8.0889999999999998E-4</v>
      </c>
      <c r="E69" s="590">
        <v>1030943</v>
      </c>
      <c r="F69" s="590">
        <v>2980957</v>
      </c>
      <c r="G69" s="590">
        <v>7597308</v>
      </c>
      <c r="H69" s="590"/>
      <c r="I69" s="591">
        <v>0</v>
      </c>
      <c r="J69" s="591">
        <v>4346599</v>
      </c>
      <c r="K69" s="591">
        <v>1120418</v>
      </c>
      <c r="L69" s="590">
        <v>353578</v>
      </c>
      <c r="M69" s="590"/>
      <c r="N69" s="591">
        <v>359059</v>
      </c>
      <c r="O69" s="591">
        <v>1637156</v>
      </c>
      <c r="P69" s="591">
        <v>0</v>
      </c>
      <c r="Q69" s="590">
        <v>0</v>
      </c>
      <c r="R69" s="590"/>
      <c r="S69" s="591">
        <v>1455537</v>
      </c>
      <c r="T69" s="592">
        <v>154877</v>
      </c>
      <c r="U69" s="592">
        <v>1610414</v>
      </c>
    </row>
    <row r="70" spans="1:21" x14ac:dyDescent="0.25">
      <c r="A70" s="587">
        <v>30500</v>
      </c>
      <c r="B70" s="588" t="s">
        <v>856</v>
      </c>
      <c r="C70" s="589">
        <v>1.3144000000000001E-3</v>
      </c>
      <c r="D70" s="589">
        <v>1.3231E-3</v>
      </c>
      <c r="E70" s="590">
        <v>1632442</v>
      </c>
      <c r="F70" s="590">
        <v>4875885</v>
      </c>
      <c r="G70" s="590">
        <v>12080694</v>
      </c>
      <c r="H70" s="590"/>
      <c r="I70" s="591">
        <v>0</v>
      </c>
      <c r="J70" s="591">
        <v>6911650</v>
      </c>
      <c r="K70" s="591">
        <v>1781609</v>
      </c>
      <c r="L70" s="590">
        <v>38990</v>
      </c>
      <c r="M70" s="590"/>
      <c r="N70" s="591">
        <v>570950</v>
      </c>
      <c r="O70" s="591">
        <v>2603287</v>
      </c>
      <c r="P70" s="591">
        <v>0</v>
      </c>
      <c r="Q70" s="590">
        <v>150326</v>
      </c>
      <c r="R70" s="590"/>
      <c r="S70" s="591">
        <v>2314490</v>
      </c>
      <c r="T70" s="592">
        <v>-52351</v>
      </c>
      <c r="U70" s="592">
        <v>2262139</v>
      </c>
    </row>
    <row r="71" spans="1:21" x14ac:dyDescent="0.25">
      <c r="A71" s="587">
        <v>30600</v>
      </c>
      <c r="B71" s="588" t="s">
        <v>857</v>
      </c>
      <c r="C71" s="589">
        <v>1.0258999999999999E-3</v>
      </c>
      <c r="D71" s="589">
        <v>1.0248E-3</v>
      </c>
      <c r="E71" s="590">
        <v>1274946</v>
      </c>
      <c r="F71" s="590">
        <v>3776591</v>
      </c>
      <c r="G71" s="590">
        <v>9429081</v>
      </c>
      <c r="H71" s="590"/>
      <c r="I71" s="591">
        <v>0</v>
      </c>
      <c r="J71" s="591">
        <v>5394600</v>
      </c>
      <c r="K71" s="591">
        <v>1390560</v>
      </c>
      <c r="L71" s="590">
        <v>43081</v>
      </c>
      <c r="M71" s="590"/>
      <c r="N71" s="591">
        <v>445631</v>
      </c>
      <c r="O71" s="591">
        <v>2031887</v>
      </c>
      <c r="P71" s="591">
        <v>0</v>
      </c>
      <c r="Q71" s="590">
        <v>19622</v>
      </c>
      <c r="R71" s="590"/>
      <c r="S71" s="591">
        <v>1806479</v>
      </c>
      <c r="T71" s="592">
        <v>12199</v>
      </c>
      <c r="U71" s="592">
        <v>1818677</v>
      </c>
    </row>
    <row r="72" spans="1:21" x14ac:dyDescent="0.25">
      <c r="A72" s="587">
        <v>30601</v>
      </c>
      <c r="B72" s="588" t="s">
        <v>858</v>
      </c>
      <c r="C72" s="589">
        <v>2.3099999999999999E-5</v>
      </c>
      <c r="D72" s="589">
        <v>2.51E-5</v>
      </c>
      <c r="E72" s="590">
        <v>27323.84</v>
      </c>
      <c r="F72" s="590">
        <v>92498</v>
      </c>
      <c r="G72" s="590">
        <v>212313</v>
      </c>
      <c r="H72" s="590"/>
      <c r="I72" s="591">
        <v>0</v>
      </c>
      <c r="J72" s="591">
        <v>121469</v>
      </c>
      <c r="K72" s="591">
        <v>31311</v>
      </c>
      <c r="L72" s="590">
        <v>9773</v>
      </c>
      <c r="M72" s="590"/>
      <c r="N72" s="591">
        <v>10034</v>
      </c>
      <c r="O72" s="591">
        <v>45752</v>
      </c>
      <c r="P72" s="591">
        <v>0</v>
      </c>
      <c r="Q72" s="590">
        <v>9199</v>
      </c>
      <c r="R72" s="590"/>
      <c r="S72" s="591">
        <v>40676</v>
      </c>
      <c r="T72" s="592">
        <v>947</v>
      </c>
      <c r="U72" s="592">
        <v>41623</v>
      </c>
    </row>
    <row r="73" spans="1:21" x14ac:dyDescent="0.25">
      <c r="A73" s="587">
        <v>30700</v>
      </c>
      <c r="B73" s="588" t="s">
        <v>859</v>
      </c>
      <c r="C73" s="589">
        <v>2.6148999999999999E-3</v>
      </c>
      <c r="D73" s="589">
        <v>2.6264000000000001E-3</v>
      </c>
      <c r="E73" s="590">
        <v>3368692</v>
      </c>
      <c r="F73" s="590">
        <v>9678804</v>
      </c>
      <c r="G73" s="590">
        <v>24033632</v>
      </c>
      <c r="H73" s="590"/>
      <c r="I73" s="591">
        <v>0</v>
      </c>
      <c r="J73" s="591">
        <v>13750208</v>
      </c>
      <c r="K73" s="591">
        <v>3544377</v>
      </c>
      <c r="L73" s="590">
        <v>171016</v>
      </c>
      <c r="M73" s="590"/>
      <c r="N73" s="591">
        <v>1135863</v>
      </c>
      <c r="O73" s="591">
        <v>5179045</v>
      </c>
      <c r="P73" s="591">
        <v>0</v>
      </c>
      <c r="Q73" s="590">
        <v>7585</v>
      </c>
      <c r="R73" s="590"/>
      <c r="S73" s="591">
        <v>4604504</v>
      </c>
      <c r="T73" s="592">
        <v>68464</v>
      </c>
      <c r="U73" s="592">
        <v>4672969</v>
      </c>
    </row>
    <row r="74" spans="1:21" x14ac:dyDescent="0.25">
      <c r="A74" s="587">
        <v>30705</v>
      </c>
      <c r="B74" s="588" t="s">
        <v>860</v>
      </c>
      <c r="C74" s="589">
        <v>5.3589999999999996E-4</v>
      </c>
      <c r="D74" s="589">
        <v>4.9689999999999999E-4</v>
      </c>
      <c r="E74" s="590">
        <v>700449.64</v>
      </c>
      <c r="F74" s="590">
        <v>1831175</v>
      </c>
      <c r="G74" s="590">
        <v>4925475</v>
      </c>
      <c r="H74" s="590"/>
      <c r="I74" s="591">
        <v>0</v>
      </c>
      <c r="J74" s="591">
        <v>2817980</v>
      </c>
      <c r="K74" s="591">
        <v>726388</v>
      </c>
      <c r="L74" s="590">
        <v>220334</v>
      </c>
      <c r="M74" s="590"/>
      <c r="N74" s="591">
        <v>232785</v>
      </c>
      <c r="O74" s="591">
        <v>1061398</v>
      </c>
      <c r="P74" s="591">
        <v>0</v>
      </c>
      <c r="Q74" s="590">
        <v>5288</v>
      </c>
      <c r="R74" s="590"/>
      <c r="S74" s="591">
        <v>943651</v>
      </c>
      <c r="T74" s="592">
        <v>79964</v>
      </c>
      <c r="U74" s="592">
        <v>1023615</v>
      </c>
    </row>
    <row r="75" spans="1:21" x14ac:dyDescent="0.25">
      <c r="A75" s="587">
        <v>30800</v>
      </c>
      <c r="B75" s="588" t="s">
        <v>861</v>
      </c>
      <c r="C75" s="589">
        <v>1.0441999999999999E-3</v>
      </c>
      <c r="D75" s="589">
        <v>1.1248E-3</v>
      </c>
      <c r="E75" s="590">
        <v>1371376.91</v>
      </c>
      <c r="F75" s="590">
        <v>4145111</v>
      </c>
      <c r="G75" s="590">
        <v>9597277</v>
      </c>
      <c r="H75" s="590"/>
      <c r="I75" s="591">
        <v>0</v>
      </c>
      <c r="J75" s="591">
        <v>5490829</v>
      </c>
      <c r="K75" s="591">
        <v>1415365</v>
      </c>
      <c r="L75" s="590">
        <v>129367</v>
      </c>
      <c r="M75" s="590"/>
      <c r="N75" s="591">
        <v>453581</v>
      </c>
      <c r="O75" s="591">
        <v>2068132</v>
      </c>
      <c r="P75" s="591">
        <v>0</v>
      </c>
      <c r="Q75" s="590">
        <v>304479</v>
      </c>
      <c r="R75" s="590"/>
      <c r="S75" s="591">
        <v>1838703</v>
      </c>
      <c r="T75" s="592">
        <v>-20355</v>
      </c>
      <c r="U75" s="592">
        <v>1818348</v>
      </c>
    </row>
    <row r="76" spans="1:21" x14ac:dyDescent="0.25">
      <c r="A76" s="587">
        <v>30900</v>
      </c>
      <c r="B76" s="588" t="s">
        <v>862</v>
      </c>
      <c r="C76" s="589">
        <v>1.7328000000000001E-3</v>
      </c>
      <c r="D76" s="589">
        <v>1.7661E-3</v>
      </c>
      <c r="E76" s="590">
        <v>2245056.1</v>
      </c>
      <c r="F76" s="590">
        <v>6508428</v>
      </c>
      <c r="G76" s="590">
        <v>15926222</v>
      </c>
      <c r="H76" s="590"/>
      <c r="I76" s="591">
        <v>0</v>
      </c>
      <c r="J76" s="591">
        <v>9111768</v>
      </c>
      <c r="K76" s="591">
        <v>2348731</v>
      </c>
      <c r="L76" s="590">
        <v>0</v>
      </c>
      <c r="M76" s="590"/>
      <c r="N76" s="591">
        <v>752695</v>
      </c>
      <c r="O76" s="591">
        <v>3431966</v>
      </c>
      <c r="P76" s="591">
        <v>0</v>
      </c>
      <c r="Q76" s="590">
        <v>310651</v>
      </c>
      <c r="R76" s="590"/>
      <c r="S76" s="591">
        <v>3051239</v>
      </c>
      <c r="T76" s="592">
        <v>-122011</v>
      </c>
      <c r="U76" s="592">
        <v>2929228</v>
      </c>
    </row>
    <row r="77" spans="1:21" x14ac:dyDescent="0.25">
      <c r="A77" s="587">
        <v>30905</v>
      </c>
      <c r="B77" s="588" t="s">
        <v>863</v>
      </c>
      <c r="C77" s="589">
        <v>3.5169999999999998E-4</v>
      </c>
      <c r="D77" s="589">
        <v>3.7520000000000001E-4</v>
      </c>
      <c r="E77" s="590">
        <v>515130</v>
      </c>
      <c r="F77" s="590">
        <v>1382686</v>
      </c>
      <c r="G77" s="590">
        <v>3232486</v>
      </c>
      <c r="H77" s="590"/>
      <c r="I77" s="591">
        <v>0</v>
      </c>
      <c r="J77" s="591">
        <v>1849382</v>
      </c>
      <c r="K77" s="591">
        <v>476713</v>
      </c>
      <c r="L77" s="590">
        <v>871</v>
      </c>
      <c r="M77" s="590"/>
      <c r="N77" s="591">
        <v>152772</v>
      </c>
      <c r="O77" s="591">
        <v>696574</v>
      </c>
      <c r="P77" s="591">
        <v>0</v>
      </c>
      <c r="Q77" s="590">
        <v>90580</v>
      </c>
      <c r="R77" s="590"/>
      <c r="S77" s="591">
        <v>619299</v>
      </c>
      <c r="T77" s="592">
        <v>-31355</v>
      </c>
      <c r="U77" s="592">
        <v>587944</v>
      </c>
    </row>
    <row r="78" spans="1:21" x14ac:dyDescent="0.25">
      <c r="A78" s="587">
        <v>31000</v>
      </c>
      <c r="B78" s="588" t="s">
        <v>864</v>
      </c>
      <c r="C78" s="589">
        <v>4.8155000000000003E-3</v>
      </c>
      <c r="D78" s="589">
        <v>4.8412000000000004E-3</v>
      </c>
      <c r="E78" s="590">
        <v>6024227</v>
      </c>
      <c r="F78" s="590">
        <v>17840781</v>
      </c>
      <c r="G78" s="590">
        <v>44259419</v>
      </c>
      <c r="H78" s="590"/>
      <c r="I78" s="591">
        <v>0</v>
      </c>
      <c r="J78" s="591">
        <v>25321859</v>
      </c>
      <c r="K78" s="591">
        <v>6527189</v>
      </c>
      <c r="L78" s="590">
        <v>516552</v>
      </c>
      <c r="M78" s="590"/>
      <c r="N78" s="591">
        <v>2091762</v>
      </c>
      <c r="O78" s="591">
        <v>9537531</v>
      </c>
      <c r="P78" s="591">
        <v>0</v>
      </c>
      <c r="Q78" s="590">
        <v>169263</v>
      </c>
      <c r="R78" s="590"/>
      <c r="S78" s="591">
        <v>8479479</v>
      </c>
      <c r="T78" s="592">
        <v>206780</v>
      </c>
      <c r="U78" s="592">
        <v>8686259</v>
      </c>
    </row>
    <row r="79" spans="1:21" x14ac:dyDescent="0.25">
      <c r="A79" s="587">
        <v>31005</v>
      </c>
      <c r="B79" s="588" t="s">
        <v>865</v>
      </c>
      <c r="C79" s="589">
        <v>4.8200000000000001E-4</v>
      </c>
      <c r="D79" s="589">
        <v>4.6559999999999999E-4</v>
      </c>
      <c r="E79" s="590">
        <v>700886.58</v>
      </c>
      <c r="F79" s="590">
        <v>1715828</v>
      </c>
      <c r="G79" s="590">
        <v>4430078</v>
      </c>
      <c r="H79" s="590"/>
      <c r="I79" s="591">
        <v>0</v>
      </c>
      <c r="J79" s="591">
        <v>2534552</v>
      </c>
      <c r="K79" s="591">
        <v>653329</v>
      </c>
      <c r="L79" s="590">
        <v>138803</v>
      </c>
      <c r="M79" s="590"/>
      <c r="N79" s="591">
        <v>209372</v>
      </c>
      <c r="O79" s="591">
        <v>954644.38</v>
      </c>
      <c r="P79" s="591">
        <v>0</v>
      </c>
      <c r="Q79" s="590">
        <v>17553</v>
      </c>
      <c r="R79" s="590"/>
      <c r="S79" s="591">
        <v>848740</v>
      </c>
      <c r="T79" s="592">
        <v>31244</v>
      </c>
      <c r="U79" s="592">
        <v>879984</v>
      </c>
    </row>
    <row r="80" spans="1:21" x14ac:dyDescent="0.25">
      <c r="A80" s="587">
        <v>31100</v>
      </c>
      <c r="B80" s="588" t="s">
        <v>866</v>
      </c>
      <c r="C80" s="589">
        <v>9.9386000000000006E-3</v>
      </c>
      <c r="D80" s="589">
        <v>9.9407000000000002E-3</v>
      </c>
      <c r="E80" s="590">
        <v>12146133</v>
      </c>
      <c r="F80" s="590">
        <v>36633448</v>
      </c>
      <c r="G80" s="590">
        <v>91346001</v>
      </c>
      <c r="H80" s="590"/>
      <c r="I80" s="591">
        <v>0</v>
      </c>
      <c r="J80" s="591">
        <v>52261204</v>
      </c>
      <c r="K80" s="591">
        <v>13471315</v>
      </c>
      <c r="L80" s="590">
        <v>0</v>
      </c>
      <c r="M80" s="590"/>
      <c r="N80" s="591">
        <v>4317139</v>
      </c>
      <c r="O80" s="591">
        <v>19684292</v>
      </c>
      <c r="P80" s="591">
        <v>0</v>
      </c>
      <c r="Q80" s="590">
        <v>797515</v>
      </c>
      <c r="R80" s="590"/>
      <c r="S80" s="591">
        <v>17500602</v>
      </c>
      <c r="T80" s="592">
        <v>-303786</v>
      </c>
      <c r="U80" s="592">
        <v>17196817</v>
      </c>
    </row>
    <row r="81" spans="1:21" x14ac:dyDescent="0.25">
      <c r="A81" s="587">
        <v>31101</v>
      </c>
      <c r="B81" s="588" t="s">
        <v>867</v>
      </c>
      <c r="C81" s="589">
        <v>6.7299999999999996E-5</v>
      </c>
      <c r="D81" s="589">
        <v>6.86E-5</v>
      </c>
      <c r="E81" s="590">
        <v>71654</v>
      </c>
      <c r="F81" s="590">
        <v>252805</v>
      </c>
      <c r="G81" s="590">
        <v>618557</v>
      </c>
      <c r="H81" s="590"/>
      <c r="I81" s="591">
        <v>0</v>
      </c>
      <c r="J81" s="591">
        <v>353891</v>
      </c>
      <c r="K81" s="591">
        <v>91222</v>
      </c>
      <c r="L81" s="590">
        <v>0</v>
      </c>
      <c r="M81" s="590"/>
      <c r="N81" s="591">
        <v>29234</v>
      </c>
      <c r="O81" s="591">
        <v>133294</v>
      </c>
      <c r="P81" s="591">
        <v>0</v>
      </c>
      <c r="Q81" s="590">
        <v>53374</v>
      </c>
      <c r="R81" s="590"/>
      <c r="S81" s="591">
        <v>118507</v>
      </c>
      <c r="T81" s="592">
        <v>-19578</v>
      </c>
      <c r="U81" s="592">
        <v>98929</v>
      </c>
    </row>
    <row r="82" spans="1:21" x14ac:dyDescent="0.25">
      <c r="A82" s="587">
        <v>31102</v>
      </c>
      <c r="B82" s="588" t="s">
        <v>868</v>
      </c>
      <c r="C82" s="589">
        <v>1.5300000000000001E-4</v>
      </c>
      <c r="D82" s="589">
        <v>1.5589999999999999E-4</v>
      </c>
      <c r="E82" s="590">
        <v>164729</v>
      </c>
      <c r="F82" s="590">
        <v>574522</v>
      </c>
      <c r="G82" s="590">
        <v>1406228</v>
      </c>
      <c r="H82" s="590"/>
      <c r="I82" s="591">
        <v>0</v>
      </c>
      <c r="J82" s="591">
        <v>804536</v>
      </c>
      <c r="K82" s="591">
        <v>207384</v>
      </c>
      <c r="L82" s="590">
        <v>0</v>
      </c>
      <c r="M82" s="590"/>
      <c r="N82" s="591">
        <v>66460</v>
      </c>
      <c r="O82" s="591">
        <v>303030.27</v>
      </c>
      <c r="P82" s="591">
        <v>0</v>
      </c>
      <c r="Q82" s="590">
        <v>114676</v>
      </c>
      <c r="R82" s="590"/>
      <c r="S82" s="591">
        <v>269413</v>
      </c>
      <c r="T82" s="592">
        <v>-51538</v>
      </c>
      <c r="U82" s="592">
        <v>217875</v>
      </c>
    </row>
    <row r="83" spans="1:21" x14ac:dyDescent="0.25">
      <c r="A83" s="587">
        <v>31105</v>
      </c>
      <c r="B83" s="588" t="s">
        <v>869</v>
      </c>
      <c r="C83" s="589">
        <v>1.5401E-3</v>
      </c>
      <c r="D83" s="589">
        <v>1.6336E-3</v>
      </c>
      <c r="E83" s="590">
        <v>2068385</v>
      </c>
      <c r="F83" s="590">
        <v>6020139</v>
      </c>
      <c r="G83" s="590">
        <v>14155110</v>
      </c>
      <c r="H83" s="590"/>
      <c r="I83" s="591">
        <v>0</v>
      </c>
      <c r="J83" s="591">
        <v>8098473</v>
      </c>
      <c r="K83" s="591">
        <v>2087535</v>
      </c>
      <c r="L83" s="590">
        <v>298531</v>
      </c>
      <c r="M83" s="590"/>
      <c r="N83" s="591">
        <v>668990</v>
      </c>
      <c r="O83" s="591">
        <v>3050307</v>
      </c>
      <c r="P83" s="591">
        <v>0</v>
      </c>
      <c r="Q83" s="590">
        <v>242509</v>
      </c>
      <c r="R83" s="590"/>
      <c r="S83" s="591">
        <v>2711919</v>
      </c>
      <c r="T83" s="592">
        <v>53333</v>
      </c>
      <c r="U83" s="592">
        <v>2765252</v>
      </c>
    </row>
    <row r="84" spans="1:21" x14ac:dyDescent="0.25">
      <c r="A84" s="587">
        <v>31110</v>
      </c>
      <c r="B84" s="588" t="s">
        <v>870</v>
      </c>
      <c r="C84" s="589">
        <v>2.3018000000000001E-3</v>
      </c>
      <c r="D84" s="589">
        <v>2.3462000000000001E-3</v>
      </c>
      <c r="E84" s="590">
        <v>2663672</v>
      </c>
      <c r="F84" s="590">
        <v>8646212</v>
      </c>
      <c r="G84" s="590">
        <v>21155920</v>
      </c>
      <c r="H84" s="590"/>
      <c r="I84" s="591">
        <v>0</v>
      </c>
      <c r="J84" s="591">
        <v>12103801</v>
      </c>
      <c r="K84" s="591">
        <v>3119984</v>
      </c>
      <c r="L84" s="590">
        <v>201088</v>
      </c>
      <c r="M84" s="590"/>
      <c r="N84" s="591">
        <v>999858</v>
      </c>
      <c r="O84" s="591">
        <v>4558922</v>
      </c>
      <c r="P84" s="591">
        <v>0</v>
      </c>
      <c r="Q84" s="590">
        <v>361139</v>
      </c>
      <c r="R84" s="590"/>
      <c r="S84" s="591">
        <v>4053175</v>
      </c>
      <c r="T84" s="592">
        <v>-22160</v>
      </c>
      <c r="U84" s="592">
        <v>4031015</v>
      </c>
    </row>
    <row r="85" spans="1:21" x14ac:dyDescent="0.25">
      <c r="A85" s="587">
        <v>31200</v>
      </c>
      <c r="B85" s="588" t="s">
        <v>871</v>
      </c>
      <c r="C85" s="589">
        <v>4.7600000000000003E-3</v>
      </c>
      <c r="D85" s="589">
        <v>4.8599000000000003E-3</v>
      </c>
      <c r="E85" s="590">
        <v>5837120</v>
      </c>
      <c r="F85" s="590">
        <v>17909694</v>
      </c>
      <c r="G85" s="590">
        <v>43749317</v>
      </c>
      <c r="H85" s="590"/>
      <c r="I85" s="591">
        <v>0</v>
      </c>
      <c r="J85" s="591">
        <v>25030017</v>
      </c>
      <c r="K85" s="591">
        <v>6451961</v>
      </c>
      <c r="L85" s="590">
        <v>0</v>
      </c>
      <c r="M85" s="590"/>
      <c r="N85" s="591">
        <v>2067653.56</v>
      </c>
      <c r="O85" s="591">
        <v>9427608</v>
      </c>
      <c r="P85" s="591">
        <v>0</v>
      </c>
      <c r="Q85" s="590">
        <v>1535883</v>
      </c>
      <c r="R85" s="590"/>
      <c r="S85" s="591">
        <v>8381751</v>
      </c>
      <c r="T85" s="592">
        <v>-584566</v>
      </c>
      <c r="U85" s="592">
        <v>7797185</v>
      </c>
    </row>
    <row r="86" spans="1:21" x14ac:dyDescent="0.25">
      <c r="A86" s="587">
        <v>31205</v>
      </c>
      <c r="B86" s="588" t="s">
        <v>872</v>
      </c>
      <c r="C86" s="589">
        <v>5.8929999999999996E-4</v>
      </c>
      <c r="D86" s="589">
        <v>6.2350000000000003E-4</v>
      </c>
      <c r="E86" s="590">
        <v>815299.16</v>
      </c>
      <c r="F86" s="590">
        <v>2297721</v>
      </c>
      <c r="G86" s="590">
        <v>5416276</v>
      </c>
      <c r="H86" s="590"/>
      <c r="I86" s="591">
        <v>0</v>
      </c>
      <c r="J86" s="591">
        <v>3098779</v>
      </c>
      <c r="K86" s="591">
        <v>798769</v>
      </c>
      <c r="L86" s="590">
        <v>0</v>
      </c>
      <c r="M86" s="590"/>
      <c r="N86" s="591">
        <v>255981</v>
      </c>
      <c r="O86" s="591">
        <v>1167162</v>
      </c>
      <c r="P86" s="591">
        <v>0</v>
      </c>
      <c r="Q86" s="590">
        <v>312082</v>
      </c>
      <c r="R86" s="590"/>
      <c r="S86" s="591">
        <v>1037682</v>
      </c>
      <c r="T86" s="592">
        <v>-127738</v>
      </c>
      <c r="U86" s="592">
        <v>909943</v>
      </c>
    </row>
    <row r="87" spans="1:21" x14ac:dyDescent="0.25">
      <c r="A87" s="587">
        <v>31300</v>
      </c>
      <c r="B87" s="588" t="s">
        <v>873</v>
      </c>
      <c r="C87" s="589">
        <v>1.1785500000000001E-2</v>
      </c>
      <c r="D87" s="589">
        <v>1.12263E-2</v>
      </c>
      <c r="E87" s="590">
        <v>13640747</v>
      </c>
      <c r="F87" s="590">
        <v>41371138</v>
      </c>
      <c r="G87" s="590">
        <v>108320919</v>
      </c>
      <c r="H87" s="590"/>
      <c r="I87" s="591">
        <v>0</v>
      </c>
      <c r="J87" s="591">
        <v>61972956</v>
      </c>
      <c r="K87" s="591">
        <v>15974703</v>
      </c>
      <c r="L87" s="590">
        <v>2044914</v>
      </c>
      <c r="M87" s="590"/>
      <c r="N87" s="591">
        <v>5119397</v>
      </c>
      <c r="O87" s="591">
        <v>23342243</v>
      </c>
      <c r="P87" s="591">
        <v>0</v>
      </c>
      <c r="Q87" s="590">
        <v>838689</v>
      </c>
      <c r="R87" s="590"/>
      <c r="S87" s="591">
        <v>20752757</v>
      </c>
      <c r="T87" s="592">
        <v>227420</v>
      </c>
      <c r="U87" s="592">
        <v>20980177</v>
      </c>
    </row>
    <row r="88" spans="1:21" x14ac:dyDescent="0.25">
      <c r="A88" s="587">
        <v>31301</v>
      </c>
      <c r="B88" s="588" t="s">
        <v>874</v>
      </c>
      <c r="C88" s="589">
        <v>2.3729999999999999E-4</v>
      </c>
      <c r="D88" s="589">
        <v>1.9369999999999999E-4</v>
      </c>
      <c r="E88" s="590">
        <v>261806</v>
      </c>
      <c r="F88" s="590">
        <v>713823</v>
      </c>
      <c r="G88" s="590">
        <v>2181032</v>
      </c>
      <c r="H88" s="590"/>
      <c r="I88" s="591">
        <v>0</v>
      </c>
      <c r="J88" s="591">
        <v>1247820</v>
      </c>
      <c r="K88" s="591">
        <v>321649</v>
      </c>
      <c r="L88" s="590">
        <v>166752</v>
      </c>
      <c r="M88" s="590"/>
      <c r="N88" s="591">
        <v>103079</v>
      </c>
      <c r="O88" s="591">
        <v>469994</v>
      </c>
      <c r="P88" s="591">
        <v>0</v>
      </c>
      <c r="Q88" s="590">
        <v>0</v>
      </c>
      <c r="R88" s="590"/>
      <c r="S88" s="591">
        <v>417855</v>
      </c>
      <c r="T88" s="592">
        <v>56215</v>
      </c>
      <c r="U88" s="592">
        <v>474070</v>
      </c>
    </row>
    <row r="89" spans="1:21" x14ac:dyDescent="0.25">
      <c r="A89" s="587">
        <v>31320</v>
      </c>
      <c r="B89" s="588" t="s">
        <v>875</v>
      </c>
      <c r="C89" s="589">
        <v>2.2084000000000001E-3</v>
      </c>
      <c r="D89" s="589">
        <v>2.2095000000000001E-3</v>
      </c>
      <c r="E89" s="590">
        <v>2577748.19</v>
      </c>
      <c r="F89" s="590">
        <v>8142445</v>
      </c>
      <c r="G89" s="590">
        <v>20297477</v>
      </c>
      <c r="H89" s="590"/>
      <c r="I89" s="591">
        <v>0</v>
      </c>
      <c r="J89" s="591">
        <v>11612666</v>
      </c>
      <c r="K89" s="591">
        <v>2993385</v>
      </c>
      <c r="L89" s="590">
        <v>0</v>
      </c>
      <c r="M89" s="590"/>
      <c r="N89" s="591">
        <v>959287</v>
      </c>
      <c r="O89" s="591">
        <v>4373935</v>
      </c>
      <c r="P89" s="591">
        <v>0</v>
      </c>
      <c r="Q89" s="590">
        <v>538165</v>
      </c>
      <c r="R89" s="590"/>
      <c r="S89" s="591">
        <v>3888710</v>
      </c>
      <c r="T89" s="592">
        <v>-231373</v>
      </c>
      <c r="U89" s="592">
        <v>3657337</v>
      </c>
    </row>
    <row r="90" spans="1:21" x14ac:dyDescent="0.25">
      <c r="A90" s="587">
        <v>31400</v>
      </c>
      <c r="B90" s="588" t="s">
        <v>876</v>
      </c>
      <c r="C90" s="589">
        <v>4.731E-3</v>
      </c>
      <c r="D90" s="589">
        <v>4.7343000000000003E-3</v>
      </c>
      <c r="E90" s="590">
        <v>5877573</v>
      </c>
      <c r="F90" s="590">
        <v>17446833</v>
      </c>
      <c r="G90" s="590">
        <v>43482777</v>
      </c>
      <c r="H90" s="590"/>
      <c r="I90" s="591">
        <v>0</v>
      </c>
      <c r="J90" s="591">
        <v>24877524</v>
      </c>
      <c r="K90" s="591">
        <v>6412653</v>
      </c>
      <c r="L90" s="590">
        <v>0</v>
      </c>
      <c r="M90" s="590"/>
      <c r="N90" s="591">
        <v>2055057</v>
      </c>
      <c r="O90" s="591">
        <v>9370171</v>
      </c>
      <c r="P90" s="591">
        <v>0</v>
      </c>
      <c r="Q90" s="590">
        <v>422982</v>
      </c>
      <c r="R90" s="590"/>
      <c r="S90" s="591">
        <v>8330685</v>
      </c>
      <c r="T90" s="592">
        <v>-192193</v>
      </c>
      <c r="U90" s="592">
        <v>8138493</v>
      </c>
    </row>
    <row r="91" spans="1:21" x14ac:dyDescent="0.25">
      <c r="A91" s="587">
        <v>31405</v>
      </c>
      <c r="B91" s="588" t="s">
        <v>877</v>
      </c>
      <c r="C91" s="589">
        <v>9.4410000000000002E-4</v>
      </c>
      <c r="D91" s="589">
        <v>9.8060000000000009E-4</v>
      </c>
      <c r="E91" s="590">
        <v>1348309</v>
      </c>
      <c r="F91" s="590">
        <v>3613705</v>
      </c>
      <c r="G91" s="590">
        <v>8677254</v>
      </c>
      <c r="H91" s="590"/>
      <c r="I91" s="591">
        <v>0</v>
      </c>
      <c r="J91" s="591">
        <v>4964462</v>
      </c>
      <c r="K91" s="591">
        <v>1279684</v>
      </c>
      <c r="L91" s="590">
        <v>0</v>
      </c>
      <c r="M91" s="590"/>
      <c r="N91" s="591">
        <v>410099</v>
      </c>
      <c r="O91" s="591">
        <v>1869875</v>
      </c>
      <c r="P91" s="591">
        <v>0</v>
      </c>
      <c r="Q91" s="590">
        <v>227378</v>
      </c>
      <c r="R91" s="590"/>
      <c r="S91" s="591">
        <v>1662439</v>
      </c>
      <c r="T91" s="592">
        <v>-95727</v>
      </c>
      <c r="U91" s="592">
        <v>1566713</v>
      </c>
    </row>
    <row r="92" spans="1:21" x14ac:dyDescent="0.25">
      <c r="A92" s="587">
        <v>31500</v>
      </c>
      <c r="B92" s="588" t="s">
        <v>878</v>
      </c>
      <c r="C92" s="589">
        <v>7.2920000000000005E-4</v>
      </c>
      <c r="D92" s="589">
        <v>7.4350000000000002E-4</v>
      </c>
      <c r="E92" s="590">
        <v>953252</v>
      </c>
      <c r="F92" s="590">
        <v>2739945</v>
      </c>
      <c r="G92" s="590">
        <v>6702101</v>
      </c>
      <c r="H92" s="590"/>
      <c r="I92" s="591">
        <v>0</v>
      </c>
      <c r="J92" s="591">
        <v>3834430</v>
      </c>
      <c r="K92" s="591">
        <v>988397</v>
      </c>
      <c r="L92" s="590">
        <v>0</v>
      </c>
      <c r="M92" s="590"/>
      <c r="N92" s="591">
        <v>316751</v>
      </c>
      <c r="O92" s="591">
        <v>1444246</v>
      </c>
      <c r="P92" s="591">
        <v>0</v>
      </c>
      <c r="Q92" s="590">
        <v>126500</v>
      </c>
      <c r="R92" s="590"/>
      <c r="S92" s="591">
        <v>1284028</v>
      </c>
      <c r="T92" s="592">
        <v>-47532</v>
      </c>
      <c r="U92" s="592">
        <v>1236496</v>
      </c>
    </row>
    <row r="93" spans="1:21" x14ac:dyDescent="0.25">
      <c r="A93" s="587">
        <v>31600</v>
      </c>
      <c r="B93" s="588" t="s">
        <v>879</v>
      </c>
      <c r="C93" s="589">
        <v>3.2935999999999998E-3</v>
      </c>
      <c r="D93" s="589">
        <v>3.2607000000000001E-3</v>
      </c>
      <c r="E93" s="590">
        <v>4145194</v>
      </c>
      <c r="F93" s="590">
        <v>12016325</v>
      </c>
      <c r="G93" s="590">
        <v>30271586</v>
      </c>
      <c r="H93" s="590"/>
      <c r="I93" s="591">
        <v>0</v>
      </c>
      <c r="J93" s="591">
        <v>17319089</v>
      </c>
      <c r="K93" s="591">
        <v>4464323</v>
      </c>
      <c r="L93" s="590">
        <v>391819</v>
      </c>
      <c r="M93" s="590"/>
      <c r="N93" s="591">
        <v>1430677</v>
      </c>
      <c r="O93" s="591">
        <v>6523271</v>
      </c>
      <c r="P93" s="591">
        <v>0</v>
      </c>
      <c r="Q93" s="590">
        <v>0</v>
      </c>
      <c r="R93" s="590"/>
      <c r="S93" s="591">
        <v>5799608</v>
      </c>
      <c r="T93" s="592">
        <v>177894</v>
      </c>
      <c r="U93" s="592">
        <v>5977502</v>
      </c>
    </row>
    <row r="94" spans="1:21" x14ac:dyDescent="0.25">
      <c r="A94" s="587">
        <v>31601</v>
      </c>
      <c r="B94" s="588" t="s">
        <v>880</v>
      </c>
      <c r="C94" s="589">
        <v>0</v>
      </c>
      <c r="D94" s="589">
        <v>0</v>
      </c>
      <c r="E94" s="590"/>
      <c r="F94" s="590">
        <v>0</v>
      </c>
      <c r="G94" s="590">
        <v>0</v>
      </c>
      <c r="H94" s="590"/>
      <c r="I94" s="591">
        <v>0</v>
      </c>
      <c r="J94" s="591">
        <v>0</v>
      </c>
      <c r="K94" s="591">
        <v>0</v>
      </c>
      <c r="L94" s="590">
        <v>0</v>
      </c>
      <c r="M94" s="590"/>
      <c r="N94" s="591">
        <v>0</v>
      </c>
      <c r="O94" s="591">
        <v>0</v>
      </c>
      <c r="P94" s="591">
        <v>0</v>
      </c>
      <c r="Q94" s="590">
        <v>31472</v>
      </c>
      <c r="R94" s="590"/>
      <c r="S94" s="591">
        <v>0</v>
      </c>
      <c r="T94" s="592">
        <v>-12747</v>
      </c>
      <c r="U94" s="592">
        <v>-12747</v>
      </c>
    </row>
    <row r="95" spans="1:21" x14ac:dyDescent="0.25">
      <c r="A95" s="587">
        <v>31605</v>
      </c>
      <c r="B95" s="588" t="s">
        <v>881</v>
      </c>
      <c r="C95" s="589">
        <v>4.7249999999999999E-4</v>
      </c>
      <c r="D95" s="589">
        <v>4.7429999999999998E-4</v>
      </c>
      <c r="E95" s="590">
        <v>682594</v>
      </c>
      <c r="F95" s="590">
        <v>1747889</v>
      </c>
      <c r="G95" s="590">
        <v>4342763</v>
      </c>
      <c r="H95" s="590"/>
      <c r="I95" s="591">
        <v>0</v>
      </c>
      <c r="J95" s="591">
        <v>2484597</v>
      </c>
      <c r="K95" s="591">
        <v>640452</v>
      </c>
      <c r="L95" s="590">
        <v>80559</v>
      </c>
      <c r="M95" s="590"/>
      <c r="N95" s="591">
        <v>205245</v>
      </c>
      <c r="O95" s="591">
        <v>935829</v>
      </c>
      <c r="P95" s="591">
        <v>0</v>
      </c>
      <c r="Q95" s="590">
        <v>9017</v>
      </c>
      <c r="R95" s="590"/>
      <c r="S95" s="591">
        <v>832012.02</v>
      </c>
      <c r="T95" s="592">
        <v>20318</v>
      </c>
      <c r="U95" s="592">
        <v>852330</v>
      </c>
    </row>
    <row r="96" spans="1:21" x14ac:dyDescent="0.25">
      <c r="A96" s="587">
        <v>31700</v>
      </c>
      <c r="B96" s="588" t="s">
        <v>882</v>
      </c>
      <c r="C96" s="589">
        <v>9.8649999999999996E-4</v>
      </c>
      <c r="D96" s="589">
        <v>9.8630000000000007E-4</v>
      </c>
      <c r="E96" s="590">
        <v>1325133</v>
      </c>
      <c r="F96" s="590">
        <v>3634711</v>
      </c>
      <c r="G96" s="590">
        <v>9066954</v>
      </c>
      <c r="H96" s="590"/>
      <c r="I96" s="591">
        <v>0</v>
      </c>
      <c r="J96" s="591">
        <v>5187419</v>
      </c>
      <c r="K96" s="591">
        <v>1337155</v>
      </c>
      <c r="L96" s="590">
        <v>205470</v>
      </c>
      <c r="M96" s="590"/>
      <c r="N96" s="591">
        <v>428517</v>
      </c>
      <c r="O96" s="591">
        <v>1953852</v>
      </c>
      <c r="P96" s="591">
        <v>0</v>
      </c>
      <c r="Q96" s="590">
        <v>43026</v>
      </c>
      <c r="R96" s="590"/>
      <c r="S96" s="591">
        <v>1737100</v>
      </c>
      <c r="T96" s="592">
        <v>49355</v>
      </c>
      <c r="U96" s="592">
        <v>1786455</v>
      </c>
    </row>
    <row r="97" spans="1:21" x14ac:dyDescent="0.25">
      <c r="A97" s="587">
        <v>31800</v>
      </c>
      <c r="B97" s="588" t="s">
        <v>883</v>
      </c>
      <c r="C97" s="589">
        <v>6.1303E-3</v>
      </c>
      <c r="D97" s="589">
        <v>6.2585999999999996E-3</v>
      </c>
      <c r="E97" s="590">
        <v>7617115</v>
      </c>
      <c r="F97" s="590">
        <v>23064180</v>
      </c>
      <c r="G97" s="590">
        <v>56343790</v>
      </c>
      <c r="H97" s="590"/>
      <c r="I97" s="591">
        <v>0</v>
      </c>
      <c r="J97" s="591">
        <v>32235612</v>
      </c>
      <c r="K97" s="591">
        <v>8309340</v>
      </c>
      <c r="L97" s="590">
        <v>41346</v>
      </c>
      <c r="M97" s="590"/>
      <c r="N97" s="591">
        <v>2662886</v>
      </c>
      <c r="O97" s="591">
        <v>12141611</v>
      </c>
      <c r="P97" s="591">
        <v>0</v>
      </c>
      <c r="Q97" s="590">
        <v>668257</v>
      </c>
      <c r="R97" s="590"/>
      <c r="S97" s="591">
        <v>10794674</v>
      </c>
      <c r="T97" s="592">
        <v>-196815</v>
      </c>
      <c r="U97" s="592">
        <v>10597859</v>
      </c>
    </row>
    <row r="98" spans="1:21" x14ac:dyDescent="0.25">
      <c r="A98" s="587">
        <v>31805</v>
      </c>
      <c r="B98" s="588" t="s">
        <v>884</v>
      </c>
      <c r="C98" s="589">
        <v>1.1666999999999999E-3</v>
      </c>
      <c r="D98" s="589">
        <v>1.1642E-3</v>
      </c>
      <c r="E98" s="590">
        <v>1606789.14</v>
      </c>
      <c r="F98" s="590">
        <v>4290308</v>
      </c>
      <c r="G98" s="590">
        <v>10723178</v>
      </c>
      <c r="H98" s="590"/>
      <c r="I98" s="591">
        <v>0</v>
      </c>
      <c r="J98" s="591">
        <v>6134983</v>
      </c>
      <c r="K98" s="591">
        <v>1581408</v>
      </c>
      <c r="L98" s="590">
        <v>127717</v>
      </c>
      <c r="M98" s="590"/>
      <c r="N98" s="591">
        <v>506792</v>
      </c>
      <c r="O98" s="591">
        <v>2310754</v>
      </c>
      <c r="P98" s="591">
        <v>0</v>
      </c>
      <c r="Q98" s="590">
        <v>129796</v>
      </c>
      <c r="R98" s="590"/>
      <c r="S98" s="591">
        <v>2054409</v>
      </c>
      <c r="T98" s="592">
        <v>-6677</v>
      </c>
      <c r="U98" s="592">
        <v>2047733</v>
      </c>
    </row>
    <row r="99" spans="1:21" x14ac:dyDescent="0.25">
      <c r="A99" s="587">
        <v>31810</v>
      </c>
      <c r="B99" s="588" t="s">
        <v>885</v>
      </c>
      <c r="C99" s="589">
        <v>1.5257999999999999E-3</v>
      </c>
      <c r="D99" s="589">
        <v>1.4873E-3</v>
      </c>
      <c r="E99" s="590">
        <v>1900264</v>
      </c>
      <c r="F99" s="590">
        <v>5480995</v>
      </c>
      <c r="G99" s="590">
        <v>14023678</v>
      </c>
      <c r="H99" s="590"/>
      <c r="I99" s="591">
        <v>0</v>
      </c>
      <c r="J99" s="591">
        <v>8023277</v>
      </c>
      <c r="K99" s="591">
        <v>2068152</v>
      </c>
      <c r="L99" s="590">
        <v>103016</v>
      </c>
      <c r="M99" s="590"/>
      <c r="N99" s="591">
        <v>662779</v>
      </c>
      <c r="O99" s="591">
        <v>3021984</v>
      </c>
      <c r="P99" s="591">
        <v>0</v>
      </c>
      <c r="Q99" s="590">
        <v>249459</v>
      </c>
      <c r="R99" s="590"/>
      <c r="S99" s="591">
        <v>2686738</v>
      </c>
      <c r="T99" s="592">
        <v>-103973</v>
      </c>
      <c r="U99" s="592">
        <v>2582765</v>
      </c>
    </row>
    <row r="100" spans="1:21" x14ac:dyDescent="0.25">
      <c r="A100" s="587">
        <v>31820</v>
      </c>
      <c r="B100" s="588" t="s">
        <v>886</v>
      </c>
      <c r="C100" s="589">
        <v>1.3676999999999999E-3</v>
      </c>
      <c r="D100" s="589">
        <v>1.2941999999999999E-3</v>
      </c>
      <c r="E100" s="590">
        <v>1579175.12</v>
      </c>
      <c r="F100" s="590">
        <v>4769383</v>
      </c>
      <c r="G100" s="590">
        <v>12570576</v>
      </c>
      <c r="H100" s="590"/>
      <c r="I100" s="591">
        <v>0</v>
      </c>
      <c r="J100" s="591">
        <v>7191923</v>
      </c>
      <c r="K100" s="591">
        <v>1853854</v>
      </c>
      <c r="L100" s="590">
        <v>187338</v>
      </c>
      <c r="M100" s="590"/>
      <c r="N100" s="591">
        <v>594103</v>
      </c>
      <c r="O100" s="591">
        <v>2708853</v>
      </c>
      <c r="P100" s="591">
        <v>0</v>
      </c>
      <c r="Q100" s="590">
        <v>22402</v>
      </c>
      <c r="R100" s="590"/>
      <c r="S100" s="591">
        <v>2408345</v>
      </c>
      <c r="T100" s="592">
        <v>46481</v>
      </c>
      <c r="U100" s="592">
        <v>2454826</v>
      </c>
    </row>
    <row r="101" spans="1:21" x14ac:dyDescent="0.25">
      <c r="A101" s="587">
        <v>31900</v>
      </c>
      <c r="B101" s="588" t="s">
        <v>887</v>
      </c>
      <c r="C101" s="589">
        <v>3.5163999999999998E-3</v>
      </c>
      <c r="D101" s="589">
        <v>3.5747999999999999E-3</v>
      </c>
      <c r="E101" s="590">
        <v>4335787</v>
      </c>
      <c r="F101" s="590">
        <v>13173846</v>
      </c>
      <c r="G101" s="590">
        <v>32319348</v>
      </c>
      <c r="H101" s="590"/>
      <c r="I101" s="591">
        <v>0</v>
      </c>
      <c r="J101" s="591">
        <v>18490662</v>
      </c>
      <c r="K101" s="591">
        <v>4766318</v>
      </c>
      <c r="L101" s="590">
        <v>207860</v>
      </c>
      <c r="M101" s="590"/>
      <c r="N101" s="591">
        <v>1527457</v>
      </c>
      <c r="O101" s="591">
        <v>6964547</v>
      </c>
      <c r="P101" s="591">
        <v>0</v>
      </c>
      <c r="Q101" s="590">
        <v>363990</v>
      </c>
      <c r="R101" s="590"/>
      <c r="S101" s="591">
        <v>6191930</v>
      </c>
      <c r="T101" s="592">
        <v>-38939</v>
      </c>
      <c r="U101" s="592">
        <v>6152992</v>
      </c>
    </row>
    <row r="102" spans="1:21" x14ac:dyDescent="0.25">
      <c r="A102" s="587">
        <v>32000</v>
      </c>
      <c r="B102" s="588" t="s">
        <v>888</v>
      </c>
      <c r="C102" s="589">
        <v>1.4400999999999999E-3</v>
      </c>
      <c r="D102" s="589">
        <v>1.3655E-3</v>
      </c>
      <c r="E102" s="590">
        <v>1776395.42</v>
      </c>
      <c r="F102" s="590">
        <v>5032138</v>
      </c>
      <c r="G102" s="590">
        <v>13236007</v>
      </c>
      <c r="H102" s="590"/>
      <c r="I102" s="591">
        <v>0</v>
      </c>
      <c r="J102" s="591">
        <v>7572632</v>
      </c>
      <c r="K102" s="591">
        <v>1951989</v>
      </c>
      <c r="L102" s="590">
        <v>279209</v>
      </c>
      <c r="M102" s="590"/>
      <c r="N102" s="591">
        <v>625552</v>
      </c>
      <c r="O102" s="591">
        <v>2852248</v>
      </c>
      <c r="P102" s="591">
        <v>0</v>
      </c>
      <c r="Q102" s="590">
        <v>35013</v>
      </c>
      <c r="R102" s="590"/>
      <c r="S102" s="591">
        <v>2535832</v>
      </c>
      <c r="T102" s="592">
        <v>66370</v>
      </c>
      <c r="U102" s="592">
        <v>2602202</v>
      </c>
    </row>
    <row r="103" spans="1:21" x14ac:dyDescent="0.25">
      <c r="A103" s="587">
        <v>32005</v>
      </c>
      <c r="B103" s="588" t="s">
        <v>889</v>
      </c>
      <c r="C103" s="589">
        <v>3.2870000000000002E-4</v>
      </c>
      <c r="D103" s="589">
        <v>3.4200000000000002E-4</v>
      </c>
      <c r="E103" s="590">
        <v>446094.88</v>
      </c>
      <c r="F103" s="590">
        <v>1260338</v>
      </c>
      <c r="G103" s="590">
        <v>3021093</v>
      </c>
      <c r="H103" s="590"/>
      <c r="I103" s="591">
        <v>0</v>
      </c>
      <c r="J103" s="591">
        <v>1728438</v>
      </c>
      <c r="K103" s="591">
        <v>445538</v>
      </c>
      <c r="L103" s="590">
        <v>116428</v>
      </c>
      <c r="M103" s="590"/>
      <c r="N103" s="591">
        <v>142781</v>
      </c>
      <c r="O103" s="591">
        <v>651020</v>
      </c>
      <c r="P103" s="591">
        <v>0</v>
      </c>
      <c r="Q103" s="590">
        <v>24851</v>
      </c>
      <c r="R103" s="590"/>
      <c r="S103" s="591">
        <v>578799</v>
      </c>
      <c r="T103" s="592">
        <v>45414</v>
      </c>
      <c r="U103" s="592">
        <v>624213</v>
      </c>
    </row>
    <row r="104" spans="1:21" x14ac:dyDescent="0.25">
      <c r="A104" s="587">
        <v>32100</v>
      </c>
      <c r="B104" s="588" t="s">
        <v>890</v>
      </c>
      <c r="C104" s="589">
        <v>8.8730000000000005E-4</v>
      </c>
      <c r="D104" s="589">
        <v>9.3099999999999997E-4</v>
      </c>
      <c r="E104" s="590">
        <v>1144658</v>
      </c>
      <c r="F104" s="590">
        <v>3430919</v>
      </c>
      <c r="G104" s="590">
        <v>8155204</v>
      </c>
      <c r="H104" s="590"/>
      <c r="I104" s="591">
        <v>0</v>
      </c>
      <c r="J104" s="591">
        <v>4665785</v>
      </c>
      <c r="K104" s="591">
        <v>1202694</v>
      </c>
      <c r="L104" s="590">
        <v>0</v>
      </c>
      <c r="M104" s="590"/>
      <c r="N104" s="591">
        <v>385426</v>
      </c>
      <c r="O104" s="591">
        <v>1757378</v>
      </c>
      <c r="P104" s="591">
        <v>0</v>
      </c>
      <c r="Q104" s="590">
        <v>265622</v>
      </c>
      <c r="R104" s="590"/>
      <c r="S104" s="591">
        <v>1562422</v>
      </c>
      <c r="T104" s="592">
        <v>-93209</v>
      </c>
      <c r="U104" s="592">
        <v>1469213</v>
      </c>
    </row>
    <row r="105" spans="1:21" x14ac:dyDescent="0.25">
      <c r="A105" s="587">
        <v>32200</v>
      </c>
      <c r="B105" s="588" t="s">
        <v>891</v>
      </c>
      <c r="C105" s="589">
        <v>5.4869999999999995E-4</v>
      </c>
      <c r="D105" s="589">
        <v>5.4440000000000001E-4</v>
      </c>
      <c r="E105" s="590">
        <v>690658.81</v>
      </c>
      <c r="F105" s="590">
        <v>2006222</v>
      </c>
      <c r="G105" s="590">
        <v>5043120</v>
      </c>
      <c r="H105" s="590"/>
      <c r="I105" s="591">
        <v>0</v>
      </c>
      <c r="J105" s="591">
        <v>2885288</v>
      </c>
      <c r="K105" s="591">
        <v>743738</v>
      </c>
      <c r="L105" s="590">
        <v>76014</v>
      </c>
      <c r="M105" s="590"/>
      <c r="N105" s="591">
        <v>238345</v>
      </c>
      <c r="O105" s="591">
        <v>1086750</v>
      </c>
      <c r="P105" s="591">
        <v>0</v>
      </c>
      <c r="Q105" s="590">
        <v>0</v>
      </c>
      <c r="R105" s="590"/>
      <c r="S105" s="591">
        <v>966190</v>
      </c>
      <c r="T105" s="592">
        <v>34493</v>
      </c>
      <c r="U105" s="592">
        <v>1000684</v>
      </c>
    </row>
    <row r="106" spans="1:21" x14ac:dyDescent="0.25">
      <c r="A106" s="587">
        <v>32300</v>
      </c>
      <c r="B106" s="588" t="s">
        <v>892</v>
      </c>
      <c r="C106" s="589">
        <v>6.2827999999999998E-3</v>
      </c>
      <c r="D106" s="589">
        <v>6.3115999999999997E-3</v>
      </c>
      <c r="E106" s="590">
        <v>7508107</v>
      </c>
      <c r="F106" s="590">
        <v>23259496</v>
      </c>
      <c r="G106" s="590">
        <v>57745422</v>
      </c>
      <c r="H106" s="590"/>
      <c r="I106" s="591">
        <v>0</v>
      </c>
      <c r="J106" s="591">
        <v>33037519</v>
      </c>
      <c r="K106" s="591">
        <v>8516046</v>
      </c>
      <c r="L106" s="590">
        <v>0</v>
      </c>
      <c r="M106" s="590"/>
      <c r="N106" s="591">
        <v>2729129</v>
      </c>
      <c r="O106" s="591">
        <v>12443651</v>
      </c>
      <c r="P106" s="591">
        <v>0</v>
      </c>
      <c r="Q106" s="590">
        <v>1075020</v>
      </c>
      <c r="R106" s="590"/>
      <c r="S106" s="591">
        <v>11063207</v>
      </c>
      <c r="T106" s="592">
        <v>-433060</v>
      </c>
      <c r="U106" s="592">
        <v>10630146</v>
      </c>
    </row>
    <row r="107" spans="1:21" x14ac:dyDescent="0.25">
      <c r="A107" s="587">
        <v>32305</v>
      </c>
      <c r="B107" s="588" t="s">
        <v>893</v>
      </c>
      <c r="C107" s="589">
        <v>6.2580000000000003E-4</v>
      </c>
      <c r="D107" s="589">
        <v>6.3920000000000003E-4</v>
      </c>
      <c r="E107" s="590">
        <v>918561</v>
      </c>
      <c r="F107" s="590">
        <v>2355579</v>
      </c>
      <c r="G107" s="590">
        <v>5751748</v>
      </c>
      <c r="H107" s="590"/>
      <c r="I107" s="591">
        <v>0</v>
      </c>
      <c r="J107" s="591">
        <v>3290711</v>
      </c>
      <c r="K107" s="591">
        <v>848243</v>
      </c>
      <c r="L107" s="590">
        <v>286194</v>
      </c>
      <c r="M107" s="590"/>
      <c r="N107" s="591">
        <v>271836</v>
      </c>
      <c r="O107" s="591">
        <v>1239453</v>
      </c>
      <c r="P107" s="591">
        <v>0</v>
      </c>
      <c r="Q107" s="590">
        <v>0</v>
      </c>
      <c r="R107" s="590"/>
      <c r="S107" s="591">
        <v>1101954</v>
      </c>
      <c r="T107" s="592">
        <v>120157</v>
      </c>
      <c r="U107" s="592">
        <v>1222110</v>
      </c>
    </row>
    <row r="108" spans="1:21" x14ac:dyDescent="0.25">
      <c r="A108" s="587">
        <v>32400</v>
      </c>
      <c r="B108" s="588" t="s">
        <v>894</v>
      </c>
      <c r="C108" s="589">
        <v>2.2591999999999998E-3</v>
      </c>
      <c r="D108" s="589">
        <v>2.2606000000000002E-3</v>
      </c>
      <c r="E108" s="590">
        <v>2943165.73</v>
      </c>
      <c r="F108" s="590">
        <v>8330759</v>
      </c>
      <c r="G108" s="590">
        <v>20764382</v>
      </c>
      <c r="H108" s="590"/>
      <c r="I108" s="591">
        <v>0</v>
      </c>
      <c r="J108" s="591">
        <v>11879793</v>
      </c>
      <c r="K108" s="591">
        <v>3062242</v>
      </c>
      <c r="L108" s="590">
        <v>299023</v>
      </c>
      <c r="M108" s="590"/>
      <c r="N108" s="591">
        <v>981354</v>
      </c>
      <c r="O108" s="591">
        <v>4474549</v>
      </c>
      <c r="P108" s="591">
        <v>0</v>
      </c>
      <c r="Q108" s="590">
        <v>212188</v>
      </c>
      <c r="R108" s="590"/>
      <c r="S108" s="591">
        <v>3978162</v>
      </c>
      <c r="T108" s="592">
        <v>-8682</v>
      </c>
      <c r="U108" s="592">
        <v>3969480</v>
      </c>
    </row>
    <row r="109" spans="1:21" x14ac:dyDescent="0.25">
      <c r="A109" s="587">
        <v>32405</v>
      </c>
      <c r="B109" s="588" t="s">
        <v>895</v>
      </c>
      <c r="C109" s="589">
        <v>5.6479999999999996E-4</v>
      </c>
      <c r="D109" s="589">
        <v>5.7660000000000003E-4</v>
      </c>
      <c r="E109" s="590">
        <v>797184.42</v>
      </c>
      <c r="F109" s="590">
        <v>2124885</v>
      </c>
      <c r="G109" s="590">
        <v>5191095</v>
      </c>
      <c r="H109" s="590"/>
      <c r="I109" s="591">
        <v>0</v>
      </c>
      <c r="J109" s="591">
        <v>2969948</v>
      </c>
      <c r="K109" s="591">
        <v>765560</v>
      </c>
      <c r="L109" s="590">
        <v>19827</v>
      </c>
      <c r="M109" s="590"/>
      <c r="N109" s="591">
        <v>245338</v>
      </c>
      <c r="O109" s="591">
        <v>1118637</v>
      </c>
      <c r="P109" s="591">
        <v>0</v>
      </c>
      <c r="Q109" s="590">
        <v>105824</v>
      </c>
      <c r="R109" s="590"/>
      <c r="S109" s="591">
        <v>994541</v>
      </c>
      <c r="T109" s="592">
        <v>-39643</v>
      </c>
      <c r="U109" s="592">
        <v>954898</v>
      </c>
    </row>
    <row r="110" spans="1:21" x14ac:dyDescent="0.25">
      <c r="A110" s="587">
        <v>32410</v>
      </c>
      <c r="B110" s="588" t="s">
        <v>896</v>
      </c>
      <c r="C110" s="589">
        <v>8.92E-4</v>
      </c>
      <c r="D110" s="589">
        <v>8.9840000000000004E-4</v>
      </c>
      <c r="E110" s="590">
        <v>1182060</v>
      </c>
      <c r="F110" s="590">
        <v>3310782</v>
      </c>
      <c r="G110" s="590">
        <v>8198401</v>
      </c>
      <c r="H110" s="590"/>
      <c r="I110" s="591">
        <v>0</v>
      </c>
      <c r="J110" s="591">
        <v>4690499</v>
      </c>
      <c r="K110" s="591">
        <v>1209065</v>
      </c>
      <c r="L110" s="590">
        <v>219046</v>
      </c>
      <c r="M110" s="590"/>
      <c r="N110" s="591">
        <v>387468</v>
      </c>
      <c r="O110" s="591">
        <v>1766686.28</v>
      </c>
      <c r="P110" s="591">
        <v>0</v>
      </c>
      <c r="Q110" s="590">
        <v>0</v>
      </c>
      <c r="R110" s="590"/>
      <c r="S110" s="591">
        <v>1570698</v>
      </c>
      <c r="T110" s="592">
        <v>94446</v>
      </c>
      <c r="U110" s="592">
        <v>1665144</v>
      </c>
    </row>
    <row r="111" spans="1:21" x14ac:dyDescent="0.25">
      <c r="A111" s="587">
        <v>32420</v>
      </c>
      <c r="B111" s="588" t="s">
        <v>897</v>
      </c>
      <c r="C111" s="589">
        <v>0</v>
      </c>
      <c r="D111" s="589">
        <v>2.69E-5</v>
      </c>
      <c r="E111" s="590"/>
      <c r="F111" s="590">
        <v>99132</v>
      </c>
      <c r="G111" s="590">
        <v>0</v>
      </c>
      <c r="H111" s="590"/>
      <c r="I111" s="591">
        <v>0</v>
      </c>
      <c r="J111" s="591">
        <v>0</v>
      </c>
      <c r="K111" s="591">
        <v>0</v>
      </c>
      <c r="L111" s="590">
        <v>46024</v>
      </c>
      <c r="M111" s="590"/>
      <c r="N111" s="591">
        <v>0</v>
      </c>
      <c r="O111" s="591">
        <v>0</v>
      </c>
      <c r="P111" s="591">
        <v>0</v>
      </c>
      <c r="Q111" s="590">
        <v>98697</v>
      </c>
      <c r="R111" s="590"/>
      <c r="S111" s="591">
        <v>0</v>
      </c>
      <c r="T111" s="592">
        <v>-3006</v>
      </c>
      <c r="U111" s="592">
        <v>-3006</v>
      </c>
    </row>
    <row r="112" spans="1:21" x14ac:dyDescent="0.25">
      <c r="A112" s="587">
        <v>32500</v>
      </c>
      <c r="B112" s="588" t="s">
        <v>898</v>
      </c>
      <c r="C112" s="589">
        <v>5.0733000000000002E-3</v>
      </c>
      <c r="D112" s="589">
        <v>5.0863999999999996E-3</v>
      </c>
      <c r="E112" s="590">
        <v>6297868</v>
      </c>
      <c r="F112" s="590">
        <v>18744391</v>
      </c>
      <c r="G112" s="590">
        <v>46628868</v>
      </c>
      <c r="H112" s="590"/>
      <c r="I112" s="591">
        <v>0</v>
      </c>
      <c r="J112" s="591">
        <v>26677476</v>
      </c>
      <c r="K112" s="591">
        <v>6876625</v>
      </c>
      <c r="L112" s="590">
        <v>0</v>
      </c>
      <c r="M112" s="590"/>
      <c r="N112" s="591">
        <v>2203745</v>
      </c>
      <c r="O112" s="591">
        <v>10048127</v>
      </c>
      <c r="P112" s="591">
        <v>0</v>
      </c>
      <c r="Q112" s="590">
        <v>311856</v>
      </c>
      <c r="R112" s="590"/>
      <c r="S112" s="591">
        <v>8933432</v>
      </c>
      <c r="T112" s="592">
        <v>-121508</v>
      </c>
      <c r="U112" s="592">
        <v>8811924</v>
      </c>
    </row>
    <row r="113" spans="1:21" x14ac:dyDescent="0.25">
      <c r="A113" s="587">
        <v>32505</v>
      </c>
      <c r="B113" s="588" t="s">
        <v>899</v>
      </c>
      <c r="C113" s="589">
        <v>7.2650000000000004E-4</v>
      </c>
      <c r="D113" s="589">
        <v>7.4890000000000004E-4</v>
      </c>
      <c r="E113" s="590">
        <v>938171</v>
      </c>
      <c r="F113" s="590">
        <v>2759845</v>
      </c>
      <c r="G113" s="590">
        <v>6677285</v>
      </c>
      <c r="H113" s="590"/>
      <c r="I113" s="591">
        <v>0</v>
      </c>
      <c r="J113" s="591">
        <v>3820233</v>
      </c>
      <c r="K113" s="591">
        <v>984737</v>
      </c>
      <c r="L113" s="590">
        <v>92322</v>
      </c>
      <c r="M113" s="590"/>
      <c r="N113" s="591">
        <v>315578</v>
      </c>
      <c r="O113" s="591">
        <v>1438899</v>
      </c>
      <c r="P113" s="591">
        <v>0</v>
      </c>
      <c r="Q113" s="590">
        <v>122957</v>
      </c>
      <c r="R113" s="590"/>
      <c r="S113" s="591">
        <v>1279274</v>
      </c>
      <c r="T113" s="592">
        <v>-14926</v>
      </c>
      <c r="U113" s="592">
        <v>1264348</v>
      </c>
    </row>
    <row r="114" spans="1:21" x14ac:dyDescent="0.25">
      <c r="A114" s="587">
        <v>32600</v>
      </c>
      <c r="B114" s="588" t="s">
        <v>900</v>
      </c>
      <c r="C114" s="589">
        <v>1.77521E-2</v>
      </c>
      <c r="D114" s="589">
        <v>1.8608900000000001E-2</v>
      </c>
      <c r="E114" s="590">
        <v>22076843</v>
      </c>
      <c r="F114" s="590">
        <v>68577481</v>
      </c>
      <c r="G114" s="590">
        <v>163160137</v>
      </c>
      <c r="H114" s="590"/>
      <c r="I114" s="591">
        <v>0</v>
      </c>
      <c r="J114" s="591">
        <v>93347767</v>
      </c>
      <c r="K114" s="591">
        <v>24062155</v>
      </c>
      <c r="L114" s="590">
        <v>0</v>
      </c>
      <c r="M114" s="590"/>
      <c r="N114" s="591">
        <v>7711175</v>
      </c>
      <c r="O114" s="591">
        <v>35159632</v>
      </c>
      <c r="P114" s="591">
        <v>0</v>
      </c>
      <c r="Q114" s="590">
        <v>5883524</v>
      </c>
      <c r="R114" s="590"/>
      <c r="S114" s="591">
        <v>31259176</v>
      </c>
      <c r="T114" s="592">
        <v>-2193616</v>
      </c>
      <c r="U114" s="592">
        <v>29065559</v>
      </c>
    </row>
    <row r="115" spans="1:21" x14ac:dyDescent="0.25">
      <c r="A115" s="587">
        <v>32605</v>
      </c>
      <c r="B115" s="588" t="s">
        <v>901</v>
      </c>
      <c r="C115" s="589">
        <v>2.5571999999999999E-3</v>
      </c>
      <c r="D115" s="589">
        <v>2.5182E-3</v>
      </c>
      <c r="E115" s="590">
        <v>3480031.61</v>
      </c>
      <c r="F115" s="590">
        <v>9280066</v>
      </c>
      <c r="G115" s="590">
        <v>23503310</v>
      </c>
      <c r="H115" s="590"/>
      <c r="I115" s="591">
        <v>0</v>
      </c>
      <c r="J115" s="591">
        <v>13446798</v>
      </c>
      <c r="K115" s="591">
        <v>3466167</v>
      </c>
      <c r="L115" s="590">
        <v>595896</v>
      </c>
      <c r="M115" s="590"/>
      <c r="N115" s="591">
        <v>1110799</v>
      </c>
      <c r="O115" s="591">
        <v>5064765</v>
      </c>
      <c r="P115" s="591">
        <v>0</v>
      </c>
      <c r="Q115" s="590">
        <v>0</v>
      </c>
      <c r="R115" s="590"/>
      <c r="S115" s="591">
        <v>4502902</v>
      </c>
      <c r="T115" s="592">
        <v>217107</v>
      </c>
      <c r="U115" s="592">
        <v>4720009</v>
      </c>
    </row>
    <row r="116" spans="1:21" x14ac:dyDescent="0.25">
      <c r="A116" s="587">
        <v>32700</v>
      </c>
      <c r="B116" s="588" t="s">
        <v>902</v>
      </c>
      <c r="C116" s="589">
        <v>1.5617999999999999E-3</v>
      </c>
      <c r="D116" s="589">
        <v>1.5299000000000001E-3</v>
      </c>
      <c r="E116" s="590">
        <v>1971250</v>
      </c>
      <c r="F116" s="590">
        <v>5637984</v>
      </c>
      <c r="G116" s="590">
        <v>14354555</v>
      </c>
      <c r="H116" s="590"/>
      <c r="I116" s="591">
        <v>0</v>
      </c>
      <c r="J116" s="591">
        <v>8212580</v>
      </c>
      <c r="K116" s="591">
        <v>2116948</v>
      </c>
      <c r="L116" s="590">
        <v>335246</v>
      </c>
      <c r="M116" s="590"/>
      <c r="N116" s="591">
        <v>678416</v>
      </c>
      <c r="O116" s="591">
        <v>3093285</v>
      </c>
      <c r="P116" s="591">
        <v>0</v>
      </c>
      <c r="Q116" s="590">
        <v>0</v>
      </c>
      <c r="R116" s="590"/>
      <c r="S116" s="591">
        <v>2750130</v>
      </c>
      <c r="T116" s="592">
        <v>125234</v>
      </c>
      <c r="U116" s="592">
        <v>2875364</v>
      </c>
    </row>
    <row r="117" spans="1:21" x14ac:dyDescent="0.25">
      <c r="A117" s="587">
        <v>32800</v>
      </c>
      <c r="B117" s="588" t="s">
        <v>903</v>
      </c>
      <c r="C117" s="589">
        <v>2.1503999999999998E-3</v>
      </c>
      <c r="D117" s="589">
        <v>2.1009000000000002E-3</v>
      </c>
      <c r="E117" s="590">
        <v>2958484</v>
      </c>
      <c r="F117" s="590">
        <v>7742232</v>
      </c>
      <c r="G117" s="590">
        <v>19764397</v>
      </c>
      <c r="H117" s="590"/>
      <c r="I117" s="591">
        <v>0</v>
      </c>
      <c r="J117" s="591">
        <v>11307678</v>
      </c>
      <c r="K117" s="591">
        <v>2914768</v>
      </c>
      <c r="L117" s="590">
        <v>519677</v>
      </c>
      <c r="M117" s="590"/>
      <c r="N117" s="591">
        <v>934093</v>
      </c>
      <c r="O117" s="591">
        <v>4259061</v>
      </c>
      <c r="P117" s="591">
        <v>0</v>
      </c>
      <c r="Q117" s="590">
        <v>0</v>
      </c>
      <c r="R117" s="590"/>
      <c r="S117" s="591">
        <v>3786579</v>
      </c>
      <c r="T117" s="592">
        <v>174785</v>
      </c>
      <c r="U117" s="592">
        <v>3961364</v>
      </c>
    </row>
    <row r="118" spans="1:21" x14ac:dyDescent="0.25">
      <c r="A118" s="587">
        <v>32900</v>
      </c>
      <c r="B118" s="588" t="s">
        <v>904</v>
      </c>
      <c r="C118" s="589">
        <v>6.633E-3</v>
      </c>
      <c r="D118" s="589">
        <v>6.5848E-3</v>
      </c>
      <c r="E118" s="590">
        <v>8107247</v>
      </c>
      <c r="F118" s="590">
        <v>24266292</v>
      </c>
      <c r="G118" s="590">
        <v>60964122</v>
      </c>
      <c r="H118" s="590"/>
      <c r="I118" s="591">
        <v>0</v>
      </c>
      <c r="J118" s="591">
        <v>34879014</v>
      </c>
      <c r="K118" s="591">
        <v>8990726</v>
      </c>
      <c r="L118" s="590">
        <v>32332</v>
      </c>
      <c r="M118" s="590"/>
      <c r="N118" s="591">
        <v>2881249</v>
      </c>
      <c r="O118" s="591">
        <v>13137253</v>
      </c>
      <c r="P118" s="591">
        <v>0</v>
      </c>
      <c r="Q118" s="590">
        <v>379780</v>
      </c>
      <c r="R118" s="590"/>
      <c r="S118" s="591">
        <v>11679864</v>
      </c>
      <c r="T118" s="592">
        <v>-175635</v>
      </c>
      <c r="U118" s="592">
        <v>11504229</v>
      </c>
    </row>
    <row r="119" spans="1:21" x14ac:dyDescent="0.25">
      <c r="A119" s="587">
        <v>32901</v>
      </c>
      <c r="B119" s="588" t="s">
        <v>905</v>
      </c>
      <c r="C119" s="589">
        <v>1.9560000000000001E-4</v>
      </c>
      <c r="D119" s="589">
        <v>1.707E-4</v>
      </c>
      <c r="E119" s="590">
        <v>201795</v>
      </c>
      <c r="F119" s="590">
        <v>629063</v>
      </c>
      <c r="G119" s="590">
        <v>1797766</v>
      </c>
      <c r="H119" s="590"/>
      <c r="I119" s="591">
        <v>0</v>
      </c>
      <c r="J119" s="591">
        <v>1028544</v>
      </c>
      <c r="K119" s="591">
        <v>265127</v>
      </c>
      <c r="L119" s="590">
        <v>537559</v>
      </c>
      <c r="M119" s="590"/>
      <c r="N119" s="591">
        <v>84965</v>
      </c>
      <c r="O119" s="591">
        <v>387403</v>
      </c>
      <c r="P119" s="591">
        <v>0</v>
      </c>
      <c r="Q119" s="590">
        <v>0</v>
      </c>
      <c r="R119" s="590"/>
      <c r="S119" s="591">
        <v>344427</v>
      </c>
      <c r="T119" s="592">
        <v>208399</v>
      </c>
      <c r="U119" s="592">
        <v>552826</v>
      </c>
    </row>
    <row r="120" spans="1:21" x14ac:dyDescent="0.25">
      <c r="A120" s="587">
        <v>32905</v>
      </c>
      <c r="B120" s="588" t="s">
        <v>906</v>
      </c>
      <c r="C120" s="589">
        <v>9.3849999999999999E-4</v>
      </c>
      <c r="D120" s="589">
        <v>9.433E-4</v>
      </c>
      <c r="E120" s="590">
        <v>1254576</v>
      </c>
      <c r="F120" s="590">
        <v>3476247</v>
      </c>
      <c r="G120" s="590">
        <v>8625784</v>
      </c>
      <c r="H120" s="590"/>
      <c r="I120" s="591">
        <v>0</v>
      </c>
      <c r="J120" s="591">
        <v>4935015</v>
      </c>
      <c r="K120" s="591">
        <v>1272094</v>
      </c>
      <c r="L120" s="590">
        <v>30318</v>
      </c>
      <c r="M120" s="590"/>
      <c r="N120" s="591">
        <v>407667</v>
      </c>
      <c r="O120" s="591">
        <v>1858784</v>
      </c>
      <c r="P120" s="591">
        <v>0</v>
      </c>
      <c r="Q120" s="590">
        <v>254259</v>
      </c>
      <c r="R120" s="590"/>
      <c r="S120" s="591">
        <v>1652578</v>
      </c>
      <c r="T120" s="592">
        <v>-95614</v>
      </c>
      <c r="U120" s="592">
        <v>1556964</v>
      </c>
    </row>
    <row r="121" spans="1:21" x14ac:dyDescent="0.25">
      <c r="A121" s="587">
        <v>32910</v>
      </c>
      <c r="B121" s="588" t="s">
        <v>907</v>
      </c>
      <c r="C121" s="589">
        <v>1.2221000000000001E-3</v>
      </c>
      <c r="D121" s="589">
        <v>1.2444999999999999E-3</v>
      </c>
      <c r="E121" s="590">
        <v>1563320</v>
      </c>
      <c r="F121" s="590">
        <v>4586229</v>
      </c>
      <c r="G121" s="590">
        <v>11232361</v>
      </c>
      <c r="H121" s="590"/>
      <c r="I121" s="591">
        <v>0</v>
      </c>
      <c r="J121" s="591">
        <v>6426299</v>
      </c>
      <c r="K121" s="591">
        <v>1656500</v>
      </c>
      <c r="L121" s="590">
        <v>0</v>
      </c>
      <c r="M121" s="590"/>
      <c r="N121" s="591">
        <v>530857</v>
      </c>
      <c r="O121" s="591">
        <v>2420479</v>
      </c>
      <c r="P121" s="591">
        <v>0</v>
      </c>
      <c r="Q121" s="590">
        <v>266053</v>
      </c>
      <c r="R121" s="590"/>
      <c r="S121" s="591">
        <v>2151962</v>
      </c>
      <c r="T121" s="592">
        <v>-100976</v>
      </c>
      <c r="U121" s="592">
        <v>2050986</v>
      </c>
    </row>
    <row r="122" spans="1:21" x14ac:dyDescent="0.25">
      <c r="A122" s="587">
        <v>32920</v>
      </c>
      <c r="B122" s="588" t="s">
        <v>908</v>
      </c>
      <c r="C122" s="589">
        <v>1.0083E-3</v>
      </c>
      <c r="D122" s="589">
        <v>1.0342000000000001E-3</v>
      </c>
      <c r="E122" s="590">
        <v>1251000</v>
      </c>
      <c r="F122" s="590">
        <v>3811232</v>
      </c>
      <c r="G122" s="590">
        <v>9267319</v>
      </c>
      <c r="H122" s="590"/>
      <c r="I122" s="591">
        <v>0</v>
      </c>
      <c r="J122" s="591">
        <v>5302052</v>
      </c>
      <c r="K122" s="591">
        <v>1366704</v>
      </c>
      <c r="L122" s="590">
        <v>56423</v>
      </c>
      <c r="M122" s="590"/>
      <c r="N122" s="591">
        <v>437986</v>
      </c>
      <c r="O122" s="591">
        <v>1997029</v>
      </c>
      <c r="P122" s="591">
        <v>0</v>
      </c>
      <c r="Q122" s="590">
        <v>245712</v>
      </c>
      <c r="R122" s="590"/>
      <c r="S122" s="591">
        <v>1775487</v>
      </c>
      <c r="T122" s="592">
        <v>-84263</v>
      </c>
      <c r="U122" s="592">
        <v>1691224</v>
      </c>
    </row>
    <row r="123" spans="1:21" x14ac:dyDescent="0.25">
      <c r="A123" s="587">
        <v>33000</v>
      </c>
      <c r="B123" s="588" t="s">
        <v>909</v>
      </c>
      <c r="C123" s="589">
        <v>2.5539E-3</v>
      </c>
      <c r="D123" s="589">
        <v>2.5566999999999999E-3</v>
      </c>
      <c r="E123" s="590">
        <v>3038235.93</v>
      </c>
      <c r="F123" s="590">
        <v>9421946</v>
      </c>
      <c r="G123" s="590">
        <v>23472979</v>
      </c>
      <c r="H123" s="590"/>
      <c r="I123" s="591">
        <v>0</v>
      </c>
      <c r="J123" s="591">
        <v>13429446</v>
      </c>
      <c r="K123" s="591">
        <v>3461694</v>
      </c>
      <c r="L123" s="590">
        <v>0</v>
      </c>
      <c r="M123" s="590"/>
      <c r="N123" s="591">
        <v>1109366</v>
      </c>
      <c r="O123" s="591">
        <v>5058229</v>
      </c>
      <c r="P123" s="591">
        <v>0</v>
      </c>
      <c r="Q123" s="590">
        <v>374154</v>
      </c>
      <c r="R123" s="590"/>
      <c r="S123" s="591">
        <v>4497091</v>
      </c>
      <c r="T123" s="592">
        <v>-143725</v>
      </c>
      <c r="U123" s="592">
        <v>4353366</v>
      </c>
    </row>
    <row r="124" spans="1:21" x14ac:dyDescent="0.25">
      <c r="A124" s="587">
        <v>33001</v>
      </c>
      <c r="B124" s="588" t="s">
        <v>910</v>
      </c>
      <c r="C124" s="589">
        <v>7.1699999999999995E-5</v>
      </c>
      <c r="D124" s="589">
        <v>6.0399999999999998E-5</v>
      </c>
      <c r="E124" s="590">
        <v>81123.91</v>
      </c>
      <c r="F124" s="590">
        <v>222586</v>
      </c>
      <c r="G124" s="590">
        <v>658997</v>
      </c>
      <c r="H124" s="590"/>
      <c r="I124" s="591">
        <v>0</v>
      </c>
      <c r="J124" s="591">
        <v>377028</v>
      </c>
      <c r="K124" s="591">
        <v>97186</v>
      </c>
      <c r="L124" s="590">
        <v>127277</v>
      </c>
      <c r="M124" s="590"/>
      <c r="N124" s="591">
        <v>31145</v>
      </c>
      <c r="O124" s="591">
        <v>142008</v>
      </c>
      <c r="P124" s="591">
        <v>0</v>
      </c>
      <c r="Q124" s="590">
        <v>0</v>
      </c>
      <c r="R124" s="590"/>
      <c r="S124" s="591">
        <v>126255</v>
      </c>
      <c r="T124" s="592">
        <v>54629</v>
      </c>
      <c r="U124" s="592">
        <v>180883</v>
      </c>
    </row>
    <row r="125" spans="1:21" x14ac:dyDescent="0.25">
      <c r="A125" s="587">
        <v>33027</v>
      </c>
      <c r="B125" s="588" t="s">
        <v>911</v>
      </c>
      <c r="C125" s="589">
        <v>2.377E-4</v>
      </c>
      <c r="D125" s="589">
        <v>1.9379999999999999E-4</v>
      </c>
      <c r="E125" s="590">
        <v>250770.05</v>
      </c>
      <c r="F125" s="590">
        <v>714191</v>
      </c>
      <c r="G125" s="590">
        <v>2184709</v>
      </c>
      <c r="H125" s="590"/>
      <c r="I125" s="591">
        <v>0</v>
      </c>
      <c r="J125" s="591">
        <v>1249923</v>
      </c>
      <c r="K125" s="591">
        <v>322191</v>
      </c>
      <c r="L125" s="590">
        <v>322789</v>
      </c>
      <c r="M125" s="590"/>
      <c r="N125" s="591">
        <v>103252</v>
      </c>
      <c r="O125" s="591">
        <v>470786</v>
      </c>
      <c r="P125" s="591">
        <v>0</v>
      </c>
      <c r="Q125" s="590">
        <v>0</v>
      </c>
      <c r="R125" s="590"/>
      <c r="S125" s="591">
        <v>418559</v>
      </c>
      <c r="T125" s="592">
        <v>125184</v>
      </c>
      <c r="U125" s="592">
        <v>543743</v>
      </c>
    </row>
    <row r="126" spans="1:21" x14ac:dyDescent="0.25">
      <c r="A126" s="587">
        <v>33100</v>
      </c>
      <c r="B126" s="588" t="s">
        <v>912</v>
      </c>
      <c r="C126" s="589">
        <v>3.6789000000000001E-3</v>
      </c>
      <c r="D126" s="589">
        <v>3.6050000000000001E-3</v>
      </c>
      <c r="E126" s="590">
        <v>4595071</v>
      </c>
      <c r="F126" s="590">
        <v>13285139</v>
      </c>
      <c r="G126" s="590">
        <v>33812891</v>
      </c>
      <c r="H126" s="590"/>
      <c r="I126" s="591">
        <v>0</v>
      </c>
      <c r="J126" s="591">
        <v>19345154</v>
      </c>
      <c r="K126" s="591">
        <v>4986580</v>
      </c>
      <c r="L126" s="590">
        <v>994968</v>
      </c>
      <c r="M126" s="590"/>
      <c r="N126" s="591">
        <v>1598044</v>
      </c>
      <c r="O126" s="591">
        <v>7286393</v>
      </c>
      <c r="P126" s="591">
        <v>0</v>
      </c>
      <c r="Q126" s="590">
        <v>0</v>
      </c>
      <c r="R126" s="590"/>
      <c r="S126" s="591">
        <v>6478072</v>
      </c>
      <c r="T126" s="592">
        <v>421432</v>
      </c>
      <c r="U126" s="592">
        <v>6899504</v>
      </c>
    </row>
    <row r="127" spans="1:21" x14ac:dyDescent="0.25">
      <c r="A127" s="587">
        <v>33105</v>
      </c>
      <c r="B127" s="588" t="s">
        <v>913</v>
      </c>
      <c r="C127" s="589">
        <v>3.9419999999999999E-4</v>
      </c>
      <c r="D127" s="589">
        <v>4.281E-4</v>
      </c>
      <c r="E127" s="590">
        <v>531748.04</v>
      </c>
      <c r="F127" s="590">
        <v>1577633</v>
      </c>
      <c r="G127" s="590">
        <v>3623105</v>
      </c>
      <c r="H127" s="590"/>
      <c r="I127" s="591">
        <v>0</v>
      </c>
      <c r="J127" s="591">
        <v>2072864</v>
      </c>
      <c r="K127" s="591">
        <v>534320</v>
      </c>
      <c r="L127" s="590">
        <v>0</v>
      </c>
      <c r="M127" s="590"/>
      <c r="N127" s="591">
        <v>171233</v>
      </c>
      <c r="O127" s="591">
        <v>780749</v>
      </c>
      <c r="P127" s="591">
        <v>0</v>
      </c>
      <c r="Q127" s="590">
        <v>187955</v>
      </c>
      <c r="R127" s="590"/>
      <c r="S127" s="591">
        <v>694136</v>
      </c>
      <c r="T127" s="592">
        <v>-65525</v>
      </c>
      <c r="U127" s="592">
        <v>628610</v>
      </c>
    </row>
    <row r="128" spans="1:21" x14ac:dyDescent="0.25">
      <c r="A128" s="587">
        <v>33200</v>
      </c>
      <c r="B128" s="588" t="s">
        <v>914</v>
      </c>
      <c r="C128" s="589">
        <v>1.57856E-2</v>
      </c>
      <c r="D128" s="589">
        <v>1.54092E-2</v>
      </c>
      <c r="E128" s="590">
        <v>18831502</v>
      </c>
      <c r="F128" s="590">
        <v>56785953</v>
      </c>
      <c r="G128" s="590">
        <v>145085971</v>
      </c>
      <c r="H128" s="590"/>
      <c r="I128" s="591">
        <v>0</v>
      </c>
      <c r="J128" s="591">
        <v>83007110</v>
      </c>
      <c r="K128" s="591">
        <v>21396655</v>
      </c>
      <c r="L128" s="590">
        <v>1631592</v>
      </c>
      <c r="M128" s="590"/>
      <c r="N128" s="591">
        <v>6856965</v>
      </c>
      <c r="O128" s="591">
        <v>31264802</v>
      </c>
      <c r="P128" s="591">
        <v>0</v>
      </c>
      <c r="Q128" s="590">
        <v>683251</v>
      </c>
      <c r="R128" s="590"/>
      <c r="S128" s="591">
        <v>27796421</v>
      </c>
      <c r="T128" s="592">
        <v>210066</v>
      </c>
      <c r="U128" s="592">
        <v>28006487</v>
      </c>
    </row>
    <row r="129" spans="1:21" x14ac:dyDescent="0.25">
      <c r="A129" s="587">
        <v>33202</v>
      </c>
      <c r="B129" s="588" t="s">
        <v>915</v>
      </c>
      <c r="C129" s="589">
        <v>1.8359999999999999E-4</v>
      </c>
      <c r="D129" s="589">
        <v>1.5779999999999999E-4</v>
      </c>
      <c r="E129" s="590">
        <v>211201</v>
      </c>
      <c r="F129" s="590">
        <v>581524</v>
      </c>
      <c r="G129" s="590">
        <v>1687474</v>
      </c>
      <c r="H129" s="590"/>
      <c r="I129" s="591">
        <v>0</v>
      </c>
      <c r="J129" s="591">
        <v>965444</v>
      </c>
      <c r="K129" s="591">
        <v>248861</v>
      </c>
      <c r="L129" s="590">
        <v>114579</v>
      </c>
      <c r="M129" s="590"/>
      <c r="N129" s="591">
        <v>79752</v>
      </c>
      <c r="O129" s="591">
        <v>363636</v>
      </c>
      <c r="P129" s="591">
        <v>0</v>
      </c>
      <c r="Q129" s="590">
        <v>0</v>
      </c>
      <c r="R129" s="590"/>
      <c r="S129" s="591">
        <v>323296</v>
      </c>
      <c r="T129" s="592">
        <v>41498</v>
      </c>
      <c r="U129" s="592">
        <v>364794</v>
      </c>
    </row>
    <row r="130" spans="1:21" x14ac:dyDescent="0.25">
      <c r="A130" s="587">
        <v>33203</v>
      </c>
      <c r="B130" s="588" t="s">
        <v>916</v>
      </c>
      <c r="C130" s="589">
        <v>1.3540000000000001E-4</v>
      </c>
      <c r="D130" s="589">
        <v>1.3689999999999999E-4</v>
      </c>
      <c r="E130" s="590">
        <v>129371.63</v>
      </c>
      <c r="F130" s="590">
        <v>504504</v>
      </c>
      <c r="G130" s="590">
        <v>1244466</v>
      </c>
      <c r="H130" s="590"/>
      <c r="I130" s="591">
        <v>0</v>
      </c>
      <c r="J130" s="591">
        <v>711988</v>
      </c>
      <c r="K130" s="591">
        <v>183528</v>
      </c>
      <c r="L130" s="590">
        <v>38777</v>
      </c>
      <c r="M130" s="590"/>
      <c r="N130" s="591">
        <v>58815</v>
      </c>
      <c r="O130" s="591">
        <v>268172</v>
      </c>
      <c r="P130" s="591">
        <v>0</v>
      </c>
      <c r="Q130" s="590">
        <v>38583</v>
      </c>
      <c r="R130" s="590"/>
      <c r="S130" s="591">
        <v>238422</v>
      </c>
      <c r="T130" s="592">
        <v>4244</v>
      </c>
      <c r="U130" s="592">
        <v>242666</v>
      </c>
    </row>
    <row r="131" spans="1:21" x14ac:dyDescent="0.25">
      <c r="A131" s="587">
        <v>33204</v>
      </c>
      <c r="B131" s="588" t="s">
        <v>917</v>
      </c>
      <c r="C131" s="589">
        <v>4.4210000000000001E-4</v>
      </c>
      <c r="D131" s="589">
        <v>4.1550000000000002E-4</v>
      </c>
      <c r="E131" s="590">
        <v>463866.53</v>
      </c>
      <c r="F131" s="590">
        <v>1531200</v>
      </c>
      <c r="G131" s="590">
        <v>4063356</v>
      </c>
      <c r="H131" s="590"/>
      <c r="I131" s="591">
        <v>0</v>
      </c>
      <c r="J131" s="591">
        <v>2324742</v>
      </c>
      <c r="K131" s="591">
        <v>599246</v>
      </c>
      <c r="L131" s="590">
        <v>16495</v>
      </c>
      <c r="M131" s="590"/>
      <c r="N131" s="591">
        <v>192040</v>
      </c>
      <c r="O131" s="591">
        <v>875619</v>
      </c>
      <c r="P131" s="591">
        <v>0</v>
      </c>
      <c r="Q131" s="590">
        <v>34590</v>
      </c>
      <c r="R131" s="590"/>
      <c r="S131" s="591">
        <v>778482</v>
      </c>
      <c r="T131" s="592">
        <v>-13666</v>
      </c>
      <c r="U131" s="592">
        <v>764816</v>
      </c>
    </row>
    <row r="132" spans="1:21" x14ac:dyDescent="0.25">
      <c r="A132" s="587">
        <v>33205</v>
      </c>
      <c r="B132" s="588" t="s">
        <v>918</v>
      </c>
      <c r="C132" s="589">
        <v>1.2955E-3</v>
      </c>
      <c r="D132" s="589">
        <v>1.2324E-3</v>
      </c>
      <c r="E132" s="590">
        <v>1674309</v>
      </c>
      <c r="F132" s="590">
        <v>4541638</v>
      </c>
      <c r="G132" s="590">
        <v>11906983</v>
      </c>
      <c r="H132" s="590"/>
      <c r="I132" s="591">
        <v>0</v>
      </c>
      <c r="J132" s="591">
        <v>6812266</v>
      </c>
      <c r="K132" s="591">
        <v>1755991</v>
      </c>
      <c r="L132" s="590">
        <v>307018</v>
      </c>
      <c r="M132" s="590"/>
      <c r="N132" s="591">
        <v>562741</v>
      </c>
      <c r="O132" s="591">
        <v>2565854</v>
      </c>
      <c r="P132" s="591">
        <v>0</v>
      </c>
      <c r="Q132" s="590">
        <v>0</v>
      </c>
      <c r="R132" s="590"/>
      <c r="S132" s="591">
        <v>2281210</v>
      </c>
      <c r="T132" s="592">
        <v>97447</v>
      </c>
      <c r="U132" s="592">
        <v>2378656</v>
      </c>
    </row>
    <row r="133" spans="1:21" x14ac:dyDescent="0.25">
      <c r="A133" s="587">
        <v>33206</v>
      </c>
      <c r="B133" s="588" t="s">
        <v>919</v>
      </c>
      <c r="C133" s="589">
        <v>1.032E-4</v>
      </c>
      <c r="D133" s="589">
        <v>1.032E-4</v>
      </c>
      <c r="E133" s="590">
        <v>117887.69</v>
      </c>
      <c r="F133" s="590">
        <v>380312</v>
      </c>
      <c r="G133" s="590">
        <v>948515</v>
      </c>
      <c r="H133" s="590"/>
      <c r="I133" s="591">
        <v>0</v>
      </c>
      <c r="J133" s="591">
        <v>542668</v>
      </c>
      <c r="K133" s="591">
        <v>139883</v>
      </c>
      <c r="L133" s="590">
        <v>25894</v>
      </c>
      <c r="M133" s="590"/>
      <c r="N133" s="591">
        <v>44828</v>
      </c>
      <c r="O133" s="591">
        <v>204397</v>
      </c>
      <c r="P133" s="591">
        <v>0</v>
      </c>
      <c r="Q133" s="590">
        <v>10418</v>
      </c>
      <c r="R133" s="590"/>
      <c r="S133" s="591">
        <v>181722</v>
      </c>
      <c r="T133" s="592">
        <v>10105</v>
      </c>
      <c r="U133" s="592">
        <v>191827</v>
      </c>
    </row>
    <row r="134" spans="1:21" x14ac:dyDescent="0.25">
      <c r="A134" s="587">
        <v>33207</v>
      </c>
      <c r="B134" s="588" t="s">
        <v>1134</v>
      </c>
      <c r="C134" s="589">
        <v>2.231E-4</v>
      </c>
      <c r="D134" s="589">
        <v>1.02E-4</v>
      </c>
      <c r="E134" s="590">
        <v>224821.17</v>
      </c>
      <c r="F134" s="590">
        <v>375890</v>
      </c>
      <c r="G134" s="590">
        <v>2050519</v>
      </c>
      <c r="H134" s="590"/>
      <c r="I134" s="591">
        <v>0</v>
      </c>
      <c r="J134" s="591">
        <v>1173151</v>
      </c>
      <c r="K134" s="591">
        <v>302402</v>
      </c>
      <c r="L134" s="590">
        <v>672464</v>
      </c>
      <c r="M134" s="590"/>
      <c r="N134" s="591">
        <v>96910</v>
      </c>
      <c r="O134" s="591">
        <v>441870</v>
      </c>
      <c r="P134" s="591">
        <v>0</v>
      </c>
      <c r="Q134" s="590">
        <v>0</v>
      </c>
      <c r="R134" s="590"/>
      <c r="S134" s="591">
        <v>392851</v>
      </c>
      <c r="T134" s="592">
        <v>221127</v>
      </c>
      <c r="U134" s="592">
        <v>613977</v>
      </c>
    </row>
    <row r="135" spans="1:21" x14ac:dyDescent="0.25">
      <c r="A135" s="587">
        <v>33208</v>
      </c>
      <c r="B135" s="588" t="s">
        <v>1135</v>
      </c>
      <c r="C135" s="589">
        <v>3.6999999999999998E-5</v>
      </c>
      <c r="D135" s="589">
        <v>3.2299999999999999E-5</v>
      </c>
      <c r="E135" s="590"/>
      <c r="F135" s="590">
        <v>119032</v>
      </c>
      <c r="G135" s="590">
        <v>340068</v>
      </c>
      <c r="H135" s="590"/>
      <c r="I135" s="591">
        <v>0</v>
      </c>
      <c r="J135" s="591">
        <v>194561</v>
      </c>
      <c r="K135" s="591">
        <v>50152</v>
      </c>
      <c r="L135" s="590">
        <v>94103</v>
      </c>
      <c r="M135" s="590"/>
      <c r="N135" s="591">
        <v>16072</v>
      </c>
      <c r="O135" s="591">
        <v>73281.83</v>
      </c>
      <c r="P135" s="591">
        <v>0</v>
      </c>
      <c r="Q135" s="590">
        <v>20135</v>
      </c>
      <c r="R135" s="590"/>
      <c r="S135" s="591">
        <v>65152</v>
      </c>
      <c r="T135" s="592">
        <v>30285</v>
      </c>
      <c r="U135" s="592">
        <v>95438</v>
      </c>
    </row>
    <row r="136" spans="1:21" x14ac:dyDescent="0.25">
      <c r="A136" s="587">
        <v>33209</v>
      </c>
      <c r="B136" s="588" t="s">
        <v>1136</v>
      </c>
      <c r="C136" s="589">
        <v>6.5599999999999995E-5</v>
      </c>
      <c r="D136" s="589">
        <v>5.7000000000000003E-5</v>
      </c>
      <c r="E136" s="590">
        <v>73590.16</v>
      </c>
      <c r="F136" s="590">
        <v>210056</v>
      </c>
      <c r="G136" s="590">
        <v>602932</v>
      </c>
      <c r="H136" s="590"/>
      <c r="I136" s="591">
        <v>0</v>
      </c>
      <c r="J136" s="591">
        <v>344951</v>
      </c>
      <c r="K136" s="591">
        <v>88918</v>
      </c>
      <c r="L136" s="590">
        <v>187728</v>
      </c>
      <c r="M136" s="590"/>
      <c r="N136" s="591">
        <v>28495</v>
      </c>
      <c r="O136" s="591">
        <v>129927</v>
      </c>
      <c r="P136" s="591">
        <v>0</v>
      </c>
      <c r="Q136" s="590">
        <v>0</v>
      </c>
      <c r="R136" s="590"/>
      <c r="S136" s="591">
        <v>115513</v>
      </c>
      <c r="T136" s="592">
        <v>69759</v>
      </c>
      <c r="U136" s="592">
        <v>185272</v>
      </c>
    </row>
    <row r="137" spans="1:21" x14ac:dyDescent="0.25">
      <c r="A137" s="587">
        <v>33300</v>
      </c>
      <c r="B137" s="588" t="s">
        <v>920</v>
      </c>
      <c r="C137" s="589">
        <v>2.2869000000000001E-3</v>
      </c>
      <c r="D137" s="589">
        <v>2.2807000000000001E-3</v>
      </c>
      <c r="E137" s="590">
        <v>2814395.46</v>
      </c>
      <c r="F137" s="590">
        <v>8404831</v>
      </c>
      <c r="G137" s="590">
        <v>21018973</v>
      </c>
      <c r="H137" s="590"/>
      <c r="I137" s="591">
        <v>0</v>
      </c>
      <c r="J137" s="591">
        <v>12025451</v>
      </c>
      <c r="K137" s="591">
        <v>3099788</v>
      </c>
      <c r="L137" s="590">
        <v>0</v>
      </c>
      <c r="M137" s="590"/>
      <c r="N137" s="591">
        <v>993386</v>
      </c>
      <c r="O137" s="591">
        <v>4529411</v>
      </c>
      <c r="P137" s="591">
        <v>0</v>
      </c>
      <c r="Q137" s="590">
        <v>355175</v>
      </c>
      <c r="R137" s="590"/>
      <c r="S137" s="591">
        <v>4026938</v>
      </c>
      <c r="T137" s="592">
        <v>-181238</v>
      </c>
      <c r="U137" s="592">
        <v>3845700</v>
      </c>
    </row>
    <row r="138" spans="1:21" x14ac:dyDescent="0.25">
      <c r="A138" s="587">
        <v>33305</v>
      </c>
      <c r="B138" s="588" t="s">
        <v>921</v>
      </c>
      <c r="C138" s="589">
        <v>6.0360000000000003E-4</v>
      </c>
      <c r="D138" s="589">
        <v>6.2299999999999996E-4</v>
      </c>
      <c r="E138" s="590">
        <v>903728</v>
      </c>
      <c r="F138" s="590">
        <v>2295878</v>
      </c>
      <c r="G138" s="590">
        <v>5547708</v>
      </c>
      <c r="H138" s="590"/>
      <c r="I138" s="591">
        <v>0</v>
      </c>
      <c r="J138" s="591">
        <v>3173974</v>
      </c>
      <c r="K138" s="591">
        <v>818152</v>
      </c>
      <c r="L138" s="590">
        <v>37671</v>
      </c>
      <c r="M138" s="590"/>
      <c r="N138" s="591">
        <v>262192</v>
      </c>
      <c r="O138" s="591">
        <v>1195484</v>
      </c>
      <c r="P138" s="591">
        <v>0</v>
      </c>
      <c r="Q138" s="590">
        <v>80010</v>
      </c>
      <c r="R138" s="590"/>
      <c r="S138" s="591">
        <v>1062862</v>
      </c>
      <c r="T138" s="592">
        <v>-32495</v>
      </c>
      <c r="U138" s="592">
        <v>1030368</v>
      </c>
    </row>
    <row r="139" spans="1:21" x14ac:dyDescent="0.25">
      <c r="A139" s="587">
        <v>33400</v>
      </c>
      <c r="B139" s="588" t="s">
        <v>922</v>
      </c>
      <c r="C139" s="589">
        <v>2.05119E-2</v>
      </c>
      <c r="D139" s="589">
        <v>2.0228599999999999E-2</v>
      </c>
      <c r="E139" s="590">
        <v>25648364</v>
      </c>
      <c r="F139" s="590">
        <v>74546396</v>
      </c>
      <c r="G139" s="590">
        <v>188525550</v>
      </c>
      <c r="H139" s="590"/>
      <c r="I139" s="591">
        <v>0</v>
      </c>
      <c r="J139" s="591">
        <v>107859919</v>
      </c>
      <c r="K139" s="591">
        <v>27802937</v>
      </c>
      <c r="L139" s="590">
        <v>1992776</v>
      </c>
      <c r="M139" s="590"/>
      <c r="N139" s="591">
        <v>8909980</v>
      </c>
      <c r="O139" s="591">
        <v>40625664</v>
      </c>
      <c r="P139" s="591">
        <v>0</v>
      </c>
      <c r="Q139" s="590">
        <v>0</v>
      </c>
      <c r="R139" s="590"/>
      <c r="S139" s="591">
        <v>36118830</v>
      </c>
      <c r="T139" s="592">
        <v>789457</v>
      </c>
      <c r="U139" s="592">
        <v>36908287</v>
      </c>
    </row>
    <row r="140" spans="1:21" x14ac:dyDescent="0.25">
      <c r="A140" s="587">
        <v>33402</v>
      </c>
      <c r="B140" s="588" t="s">
        <v>923</v>
      </c>
      <c r="C140" s="589">
        <v>1.585E-4</v>
      </c>
      <c r="D140" s="589">
        <v>1.459E-4</v>
      </c>
      <c r="E140" s="590">
        <v>168912.39</v>
      </c>
      <c r="F140" s="590">
        <v>537670</v>
      </c>
      <c r="G140" s="590">
        <v>1456779</v>
      </c>
      <c r="H140" s="590"/>
      <c r="I140" s="591">
        <v>0</v>
      </c>
      <c r="J140" s="591">
        <v>833458</v>
      </c>
      <c r="K140" s="591">
        <v>214839</v>
      </c>
      <c r="L140" s="590">
        <v>45067</v>
      </c>
      <c r="M140" s="590"/>
      <c r="N140" s="591">
        <v>68849</v>
      </c>
      <c r="O140" s="591">
        <v>313924</v>
      </c>
      <c r="P140" s="591">
        <v>0</v>
      </c>
      <c r="Q140" s="590">
        <v>3136</v>
      </c>
      <c r="R140" s="590"/>
      <c r="S140" s="591">
        <v>279098</v>
      </c>
      <c r="T140" s="592">
        <v>18897</v>
      </c>
      <c r="U140" s="592">
        <v>297995</v>
      </c>
    </row>
    <row r="141" spans="1:21" x14ac:dyDescent="0.25">
      <c r="A141" s="593">
        <v>33403</v>
      </c>
      <c r="B141" s="588" t="s">
        <v>924</v>
      </c>
      <c r="C141" s="589">
        <v>0</v>
      </c>
      <c r="D141" s="589">
        <v>0</v>
      </c>
      <c r="E141" s="590"/>
      <c r="F141" s="590">
        <v>0</v>
      </c>
      <c r="G141" s="590">
        <v>0</v>
      </c>
      <c r="H141" s="590"/>
      <c r="I141" s="591">
        <v>0</v>
      </c>
      <c r="J141" s="591">
        <v>0</v>
      </c>
      <c r="K141" s="591">
        <v>0</v>
      </c>
      <c r="L141" s="590">
        <v>0</v>
      </c>
      <c r="M141" s="590"/>
      <c r="N141" s="591">
        <v>0</v>
      </c>
      <c r="O141" s="591">
        <v>0</v>
      </c>
      <c r="P141" s="591">
        <v>0</v>
      </c>
      <c r="Q141" s="590">
        <v>90748</v>
      </c>
      <c r="R141" s="590"/>
      <c r="S141" s="591">
        <v>0</v>
      </c>
      <c r="T141" s="592">
        <v>-50697</v>
      </c>
      <c r="U141" s="592">
        <v>-50697</v>
      </c>
    </row>
    <row r="142" spans="1:21" x14ac:dyDescent="0.25">
      <c r="A142" s="593">
        <v>33405</v>
      </c>
      <c r="B142" s="588" t="s">
        <v>925</v>
      </c>
      <c r="C142" s="589">
        <v>2.0352E-3</v>
      </c>
      <c r="D142" s="589">
        <v>2.0105000000000001E-3</v>
      </c>
      <c r="E142" s="590">
        <v>2740410.83</v>
      </c>
      <c r="F142" s="590">
        <v>7409091</v>
      </c>
      <c r="G142" s="590">
        <v>18705590</v>
      </c>
      <c r="H142" s="590"/>
      <c r="I142" s="591">
        <v>0</v>
      </c>
      <c r="J142" s="591">
        <v>10701910</v>
      </c>
      <c r="K142" s="591">
        <v>2758620</v>
      </c>
      <c r="L142" s="590">
        <v>601289</v>
      </c>
      <c r="M142" s="590"/>
      <c r="N142" s="591">
        <v>884052</v>
      </c>
      <c r="O142" s="591">
        <v>4030897</v>
      </c>
      <c r="P142" s="591">
        <v>0</v>
      </c>
      <c r="Q142" s="590">
        <v>28655</v>
      </c>
      <c r="R142" s="590"/>
      <c r="S142" s="591">
        <v>3583727</v>
      </c>
      <c r="T142" s="592">
        <v>269418</v>
      </c>
      <c r="U142" s="592">
        <v>3853145</v>
      </c>
    </row>
    <row r="143" spans="1:21" x14ac:dyDescent="0.25">
      <c r="A143" s="593">
        <v>33500</v>
      </c>
      <c r="B143" s="588" t="s">
        <v>926</v>
      </c>
      <c r="C143" s="589">
        <v>3.3923E-3</v>
      </c>
      <c r="D143" s="589">
        <v>3.3027E-3</v>
      </c>
      <c r="E143" s="590">
        <v>4126368</v>
      </c>
      <c r="F143" s="590">
        <v>12171103</v>
      </c>
      <c r="G143" s="590">
        <v>31178741</v>
      </c>
      <c r="H143" s="590"/>
      <c r="I143" s="591">
        <v>0</v>
      </c>
      <c r="J143" s="591">
        <v>17838094</v>
      </c>
      <c r="K143" s="591">
        <v>4598107</v>
      </c>
      <c r="L143" s="590">
        <v>524838</v>
      </c>
      <c r="M143" s="590"/>
      <c r="N143" s="591">
        <v>1473551</v>
      </c>
      <c r="O143" s="591">
        <v>6718755</v>
      </c>
      <c r="P143" s="591">
        <v>0</v>
      </c>
      <c r="Q143" s="590">
        <v>0</v>
      </c>
      <c r="R143" s="590"/>
      <c r="S143" s="591">
        <v>5973406</v>
      </c>
      <c r="T143" s="592">
        <v>223143</v>
      </c>
      <c r="U143" s="592">
        <v>6196549</v>
      </c>
    </row>
    <row r="144" spans="1:21" x14ac:dyDescent="0.25">
      <c r="A144" s="587">
        <v>33501</v>
      </c>
      <c r="B144" s="588" t="s">
        <v>927</v>
      </c>
      <c r="C144" s="589">
        <v>7.0699999999999997E-5</v>
      </c>
      <c r="D144" s="589">
        <v>6.86E-5</v>
      </c>
      <c r="E144" s="590">
        <v>80075</v>
      </c>
      <c r="F144" s="590">
        <v>252805</v>
      </c>
      <c r="G144" s="590">
        <v>649806</v>
      </c>
      <c r="H144" s="590"/>
      <c r="I144" s="591">
        <v>0</v>
      </c>
      <c r="J144" s="591">
        <v>371769</v>
      </c>
      <c r="K144" s="591">
        <v>95831</v>
      </c>
      <c r="L144" s="590">
        <v>15156</v>
      </c>
      <c r="M144" s="590"/>
      <c r="N144" s="591">
        <v>30711</v>
      </c>
      <c r="O144" s="591">
        <v>140028</v>
      </c>
      <c r="P144" s="591">
        <v>0</v>
      </c>
      <c r="Q144" s="590">
        <v>10890</v>
      </c>
      <c r="R144" s="590"/>
      <c r="S144" s="591">
        <v>124494</v>
      </c>
      <c r="T144" s="592">
        <v>-190</v>
      </c>
      <c r="U144" s="592">
        <v>124304</v>
      </c>
    </row>
    <row r="145" spans="1:21" x14ac:dyDescent="0.25">
      <c r="A145" s="587">
        <v>33600</v>
      </c>
      <c r="B145" s="588" t="s">
        <v>928</v>
      </c>
      <c r="C145" s="589">
        <v>1.0871499999999999E-2</v>
      </c>
      <c r="D145" s="589">
        <v>1.0561299999999999E-2</v>
      </c>
      <c r="E145" s="590">
        <v>13148406</v>
      </c>
      <c r="F145" s="590">
        <v>38920482</v>
      </c>
      <c r="G145" s="590">
        <v>99920315</v>
      </c>
      <c r="H145" s="590"/>
      <c r="I145" s="591">
        <v>0</v>
      </c>
      <c r="J145" s="591">
        <v>57166772</v>
      </c>
      <c r="K145" s="591">
        <v>14735818</v>
      </c>
      <c r="L145" s="590">
        <v>1020271</v>
      </c>
      <c r="M145" s="590"/>
      <c r="N145" s="591">
        <v>4722373</v>
      </c>
      <c r="O145" s="591">
        <v>21531984</v>
      </c>
      <c r="P145" s="591">
        <v>0</v>
      </c>
      <c r="Q145" s="590">
        <v>387970</v>
      </c>
      <c r="R145" s="590"/>
      <c r="S145" s="591">
        <v>19143320</v>
      </c>
      <c r="T145" s="592">
        <v>120495</v>
      </c>
      <c r="U145" s="592">
        <v>19263815</v>
      </c>
    </row>
    <row r="146" spans="1:21" x14ac:dyDescent="0.25">
      <c r="A146" s="587">
        <v>33605</v>
      </c>
      <c r="B146" s="588" t="s">
        <v>929</v>
      </c>
      <c r="C146" s="589">
        <v>1.4801E-3</v>
      </c>
      <c r="D146" s="589">
        <v>1.4997000000000001E-3</v>
      </c>
      <c r="E146" s="590">
        <v>2087359</v>
      </c>
      <c r="F146" s="590">
        <v>5526691</v>
      </c>
      <c r="G146" s="590">
        <v>13603648</v>
      </c>
      <c r="H146" s="590"/>
      <c r="I146" s="591">
        <v>0</v>
      </c>
      <c r="J146" s="591">
        <v>7782968</v>
      </c>
      <c r="K146" s="591">
        <v>2006207</v>
      </c>
      <c r="L146" s="590">
        <v>180059</v>
      </c>
      <c r="M146" s="590"/>
      <c r="N146" s="591">
        <v>642927</v>
      </c>
      <c r="O146" s="591">
        <v>2931471</v>
      </c>
      <c r="P146" s="591">
        <v>0</v>
      </c>
      <c r="Q146" s="590">
        <v>0</v>
      </c>
      <c r="R146" s="590"/>
      <c r="S146" s="591">
        <v>2606267</v>
      </c>
      <c r="T146" s="592">
        <v>66361</v>
      </c>
      <c r="U146" s="592">
        <v>2672627</v>
      </c>
    </row>
    <row r="147" spans="1:21" x14ac:dyDescent="0.25">
      <c r="A147" s="587">
        <v>33700</v>
      </c>
      <c r="B147" s="588" t="s">
        <v>930</v>
      </c>
      <c r="C147" s="589">
        <v>7.9049999999999997E-4</v>
      </c>
      <c r="D147" s="589">
        <v>8.1840000000000005E-4</v>
      </c>
      <c r="E147" s="590">
        <v>949581</v>
      </c>
      <c r="F147" s="590">
        <v>3015966</v>
      </c>
      <c r="G147" s="590">
        <v>7265512</v>
      </c>
      <c r="H147" s="590"/>
      <c r="I147" s="591">
        <v>0</v>
      </c>
      <c r="J147" s="591">
        <v>4156771</v>
      </c>
      <c r="K147" s="591">
        <v>1071486</v>
      </c>
      <c r="L147" s="590">
        <v>28615</v>
      </c>
      <c r="M147" s="590"/>
      <c r="N147" s="591">
        <v>343378</v>
      </c>
      <c r="O147" s="591">
        <v>1565656</v>
      </c>
      <c r="P147" s="591">
        <v>0</v>
      </c>
      <c r="Q147" s="590">
        <v>141260</v>
      </c>
      <c r="R147" s="590"/>
      <c r="S147" s="591">
        <v>1391969</v>
      </c>
      <c r="T147" s="592">
        <v>-26311</v>
      </c>
      <c r="U147" s="592">
        <v>1365658</v>
      </c>
    </row>
    <row r="148" spans="1:21" x14ac:dyDescent="0.25">
      <c r="A148" s="587">
        <v>33800</v>
      </c>
      <c r="B148" s="588" t="s">
        <v>931</v>
      </c>
      <c r="C148" s="589">
        <v>5.8219999999999995E-4</v>
      </c>
      <c r="D148" s="589">
        <v>5.754E-4</v>
      </c>
      <c r="E148" s="590">
        <v>731235.97</v>
      </c>
      <c r="F148" s="590">
        <v>2120463</v>
      </c>
      <c r="G148" s="590">
        <v>5351019</v>
      </c>
      <c r="H148" s="590"/>
      <c r="I148" s="591">
        <v>0</v>
      </c>
      <c r="J148" s="591">
        <v>3061445</v>
      </c>
      <c r="K148" s="591">
        <v>789145</v>
      </c>
      <c r="L148" s="590">
        <v>67842</v>
      </c>
      <c r="M148" s="590"/>
      <c r="N148" s="591">
        <v>252897</v>
      </c>
      <c r="O148" s="591">
        <v>1153099</v>
      </c>
      <c r="P148" s="591">
        <v>0</v>
      </c>
      <c r="Q148" s="590">
        <v>18448</v>
      </c>
      <c r="R148" s="590"/>
      <c r="S148" s="591">
        <v>1025180</v>
      </c>
      <c r="T148" s="592">
        <v>14096</v>
      </c>
      <c r="U148" s="592">
        <v>1039275</v>
      </c>
    </row>
    <row r="149" spans="1:21" x14ac:dyDescent="0.25">
      <c r="A149" s="587">
        <v>33900</v>
      </c>
      <c r="B149" s="588" t="s">
        <v>932</v>
      </c>
      <c r="C149" s="589">
        <v>3.0546000000000002E-3</v>
      </c>
      <c r="D149" s="589">
        <v>2.9675999999999999E-3</v>
      </c>
      <c r="E149" s="590">
        <v>3789538.45</v>
      </c>
      <c r="F149" s="590">
        <v>10936194</v>
      </c>
      <c r="G149" s="590">
        <v>28074929</v>
      </c>
      <c r="H149" s="590"/>
      <c r="I149" s="591">
        <v>0</v>
      </c>
      <c r="J149" s="591">
        <v>16062330</v>
      </c>
      <c r="K149" s="591">
        <v>4140370</v>
      </c>
      <c r="L149" s="590">
        <v>229529</v>
      </c>
      <c r="M149" s="590"/>
      <c r="N149" s="591">
        <v>1326860</v>
      </c>
      <c r="O149" s="591">
        <v>6049910</v>
      </c>
      <c r="P149" s="591">
        <v>0</v>
      </c>
      <c r="Q149" s="590">
        <v>338961</v>
      </c>
      <c r="R149" s="590"/>
      <c r="S149" s="591">
        <v>5378760</v>
      </c>
      <c r="T149" s="592">
        <v>-83002</v>
      </c>
      <c r="U149" s="592">
        <v>5295757</v>
      </c>
    </row>
    <row r="150" spans="1:21" x14ac:dyDescent="0.25">
      <c r="A150" s="587">
        <v>34000</v>
      </c>
      <c r="B150" s="588" t="s">
        <v>933</v>
      </c>
      <c r="C150" s="589">
        <v>1.3045000000000001E-3</v>
      </c>
      <c r="D150" s="589">
        <v>1.3382999999999999E-3</v>
      </c>
      <c r="E150" s="590">
        <v>1569652</v>
      </c>
      <c r="F150" s="590">
        <v>4931900</v>
      </c>
      <c r="G150" s="590">
        <v>11989703</v>
      </c>
      <c r="H150" s="590"/>
      <c r="I150" s="591">
        <v>0</v>
      </c>
      <c r="J150" s="591">
        <v>6859592</v>
      </c>
      <c r="K150" s="591">
        <v>1768190</v>
      </c>
      <c r="L150" s="590">
        <v>0</v>
      </c>
      <c r="M150" s="590"/>
      <c r="N150" s="591">
        <v>566650</v>
      </c>
      <c r="O150" s="591">
        <v>2583680</v>
      </c>
      <c r="P150" s="591">
        <v>0</v>
      </c>
      <c r="Q150" s="590">
        <v>450003</v>
      </c>
      <c r="R150" s="590"/>
      <c r="S150" s="591">
        <v>2297058</v>
      </c>
      <c r="T150" s="592">
        <v>-174317</v>
      </c>
      <c r="U150" s="592">
        <v>2122740</v>
      </c>
    </row>
    <row r="151" spans="1:21" x14ac:dyDescent="0.25">
      <c r="A151" s="587">
        <v>34100</v>
      </c>
      <c r="B151" s="588" t="s">
        <v>934</v>
      </c>
      <c r="C151" s="589">
        <v>2.9814299999999998E-2</v>
      </c>
      <c r="D151" s="589">
        <v>3.0440399999999999E-2</v>
      </c>
      <c r="E151" s="590">
        <v>35353749</v>
      </c>
      <c r="F151" s="590">
        <v>112178901</v>
      </c>
      <c r="G151" s="590">
        <v>274024215</v>
      </c>
      <c r="H151" s="590"/>
      <c r="I151" s="591">
        <v>0</v>
      </c>
      <c r="J151" s="591">
        <v>156775724</v>
      </c>
      <c r="K151" s="591">
        <v>40411912</v>
      </c>
      <c r="L151" s="590">
        <v>345334</v>
      </c>
      <c r="M151" s="590"/>
      <c r="N151" s="591">
        <v>12950765</v>
      </c>
      <c r="O151" s="591">
        <v>59049904</v>
      </c>
      <c r="P151" s="591">
        <v>0</v>
      </c>
      <c r="Q151" s="590">
        <v>5583362</v>
      </c>
      <c r="R151" s="590"/>
      <c r="S151" s="591">
        <v>52499166</v>
      </c>
      <c r="T151" s="592">
        <v>-1541138</v>
      </c>
      <c r="U151" s="592">
        <v>50958028</v>
      </c>
    </row>
    <row r="152" spans="1:21" x14ac:dyDescent="0.25">
      <c r="A152" s="587">
        <v>34105</v>
      </c>
      <c r="B152" s="588" t="s">
        <v>935</v>
      </c>
      <c r="C152" s="589">
        <v>2.5124000000000001E-3</v>
      </c>
      <c r="D152" s="589">
        <v>2.6684E-3</v>
      </c>
      <c r="E152" s="590">
        <v>3317965</v>
      </c>
      <c r="F152" s="590">
        <v>9833582</v>
      </c>
      <c r="G152" s="590">
        <v>23091551</v>
      </c>
      <c r="H152" s="590"/>
      <c r="I152" s="591">
        <v>0</v>
      </c>
      <c r="J152" s="591">
        <v>13211222</v>
      </c>
      <c r="K152" s="591">
        <v>3405443</v>
      </c>
      <c r="L152" s="590">
        <v>0</v>
      </c>
      <c r="M152" s="590"/>
      <c r="N152" s="591">
        <v>1091339</v>
      </c>
      <c r="O152" s="591">
        <v>4976034</v>
      </c>
      <c r="P152" s="591">
        <v>0</v>
      </c>
      <c r="Q152" s="590">
        <v>542902</v>
      </c>
      <c r="R152" s="590"/>
      <c r="S152" s="591">
        <v>4424015</v>
      </c>
      <c r="T152" s="592">
        <v>-172058</v>
      </c>
      <c r="U152" s="592">
        <v>4251957</v>
      </c>
    </row>
    <row r="153" spans="1:21" x14ac:dyDescent="0.25">
      <c r="A153" s="587">
        <v>34200</v>
      </c>
      <c r="B153" s="588" t="s">
        <v>936</v>
      </c>
      <c r="C153" s="589">
        <v>1.1073999999999999E-3</v>
      </c>
      <c r="D153" s="589">
        <v>1.3571E-3</v>
      </c>
      <c r="E153" s="590">
        <v>1460986</v>
      </c>
      <c r="F153" s="590">
        <v>5001182</v>
      </c>
      <c r="G153" s="590">
        <v>10178150</v>
      </c>
      <c r="H153" s="590"/>
      <c r="I153" s="591">
        <v>0</v>
      </c>
      <c r="J153" s="591">
        <v>5823160</v>
      </c>
      <c r="K153" s="591">
        <v>1501030</v>
      </c>
      <c r="L153" s="590">
        <v>0</v>
      </c>
      <c r="M153" s="590"/>
      <c r="N153" s="591">
        <v>481034</v>
      </c>
      <c r="O153" s="591">
        <v>2193305</v>
      </c>
      <c r="P153" s="591">
        <v>0</v>
      </c>
      <c r="Q153" s="590">
        <v>1364810</v>
      </c>
      <c r="R153" s="590"/>
      <c r="S153" s="591">
        <v>1949990</v>
      </c>
      <c r="T153" s="592">
        <v>-480769</v>
      </c>
      <c r="U153" s="592">
        <v>1469221</v>
      </c>
    </row>
    <row r="154" spans="1:21" x14ac:dyDescent="0.25">
      <c r="A154" s="587">
        <v>34205</v>
      </c>
      <c r="B154" s="588" t="s">
        <v>937</v>
      </c>
      <c r="C154" s="589">
        <v>4.4920000000000002E-4</v>
      </c>
      <c r="D154" s="589">
        <v>4.8720000000000002E-4</v>
      </c>
      <c r="E154" s="590">
        <v>649935</v>
      </c>
      <c r="F154" s="590">
        <v>1795428</v>
      </c>
      <c r="G154" s="590">
        <v>4128612</v>
      </c>
      <c r="H154" s="590"/>
      <c r="I154" s="591">
        <v>0</v>
      </c>
      <c r="J154" s="591">
        <v>2362076</v>
      </c>
      <c r="K154" s="591">
        <v>608870</v>
      </c>
      <c r="L154" s="590">
        <v>0</v>
      </c>
      <c r="M154" s="590"/>
      <c r="N154" s="591">
        <v>195124</v>
      </c>
      <c r="O154" s="591">
        <v>889681</v>
      </c>
      <c r="P154" s="591">
        <v>0</v>
      </c>
      <c r="Q154" s="590">
        <v>113846</v>
      </c>
      <c r="R154" s="590"/>
      <c r="S154" s="591">
        <v>790984</v>
      </c>
      <c r="T154" s="592">
        <v>-37805</v>
      </c>
      <c r="U154" s="592">
        <v>753179</v>
      </c>
    </row>
    <row r="155" spans="1:21" x14ac:dyDescent="0.25">
      <c r="A155" s="587">
        <v>34220</v>
      </c>
      <c r="B155" s="588" t="s">
        <v>938</v>
      </c>
      <c r="C155" s="589">
        <v>1.0677E-3</v>
      </c>
      <c r="D155" s="589">
        <v>1.0639E-3</v>
      </c>
      <c r="E155" s="590">
        <v>1429742</v>
      </c>
      <c r="F155" s="590">
        <v>3920682</v>
      </c>
      <c r="G155" s="590">
        <v>9813266</v>
      </c>
      <c r="H155" s="590"/>
      <c r="I155" s="591">
        <v>0</v>
      </c>
      <c r="J155" s="591">
        <v>5614401</v>
      </c>
      <c r="K155" s="591">
        <v>1447218</v>
      </c>
      <c r="L155" s="590">
        <v>84567</v>
      </c>
      <c r="M155" s="590"/>
      <c r="N155" s="591">
        <v>463789</v>
      </c>
      <c r="O155" s="591">
        <v>2114676</v>
      </c>
      <c r="P155" s="591">
        <v>0</v>
      </c>
      <c r="Q155" s="590">
        <v>12273</v>
      </c>
      <c r="R155" s="590"/>
      <c r="S155" s="591">
        <v>1880083</v>
      </c>
      <c r="T155" s="592">
        <v>18897</v>
      </c>
      <c r="U155" s="592">
        <v>1898980</v>
      </c>
    </row>
    <row r="156" spans="1:21" x14ac:dyDescent="0.25">
      <c r="A156" s="587">
        <v>34230</v>
      </c>
      <c r="B156" s="588" t="s">
        <v>939</v>
      </c>
      <c r="C156" s="589">
        <v>4.9019999999999999E-4</v>
      </c>
      <c r="D156" s="589">
        <v>4.9819999999999997E-4</v>
      </c>
      <c r="E156" s="590">
        <v>625777.5</v>
      </c>
      <c r="F156" s="590">
        <v>1835966</v>
      </c>
      <c r="G156" s="590">
        <v>4505444</v>
      </c>
      <c r="H156" s="590"/>
      <c r="I156" s="591">
        <v>0</v>
      </c>
      <c r="J156" s="591">
        <v>2577671</v>
      </c>
      <c r="K156" s="591">
        <v>664444</v>
      </c>
      <c r="L156" s="590">
        <v>1190</v>
      </c>
      <c r="M156" s="590"/>
      <c r="N156" s="591">
        <v>212934</v>
      </c>
      <c r="O156" s="591">
        <v>970885</v>
      </c>
      <c r="P156" s="591">
        <v>0</v>
      </c>
      <c r="Q156" s="590">
        <v>34910</v>
      </c>
      <c r="R156" s="590"/>
      <c r="S156" s="591">
        <v>863179</v>
      </c>
      <c r="T156" s="592">
        <v>-10167</v>
      </c>
      <c r="U156" s="592">
        <v>853013</v>
      </c>
    </row>
    <row r="157" spans="1:21" x14ac:dyDescent="0.25">
      <c r="A157" s="587">
        <v>34300</v>
      </c>
      <c r="B157" s="588" t="s">
        <v>940</v>
      </c>
      <c r="C157" s="589">
        <v>7.0816000000000004E-3</v>
      </c>
      <c r="D157" s="589">
        <v>7.0587000000000002E-3</v>
      </c>
      <c r="E157" s="590">
        <v>8398819</v>
      </c>
      <c r="F157" s="590">
        <v>26012707</v>
      </c>
      <c r="G157" s="590">
        <v>65087219</v>
      </c>
      <c r="H157" s="590"/>
      <c r="I157" s="591">
        <v>0</v>
      </c>
      <c r="J157" s="591">
        <v>37237935</v>
      </c>
      <c r="K157" s="591">
        <v>9598783</v>
      </c>
      <c r="L157" s="590">
        <v>769878</v>
      </c>
      <c r="M157" s="590"/>
      <c r="N157" s="591">
        <v>3076112</v>
      </c>
      <c r="O157" s="591">
        <v>14025746</v>
      </c>
      <c r="P157" s="591">
        <v>0</v>
      </c>
      <c r="Q157" s="590">
        <v>1531401</v>
      </c>
      <c r="R157" s="590"/>
      <c r="S157" s="591">
        <v>12469791</v>
      </c>
      <c r="T157" s="592">
        <v>-118556</v>
      </c>
      <c r="U157" s="592">
        <v>12351235</v>
      </c>
    </row>
    <row r="158" spans="1:21" x14ac:dyDescent="0.25">
      <c r="A158" s="587">
        <v>34400</v>
      </c>
      <c r="B158" s="588" t="s">
        <v>941</v>
      </c>
      <c r="C158" s="589">
        <v>2.9927E-3</v>
      </c>
      <c r="D158" s="589">
        <v>2.9892E-3</v>
      </c>
      <c r="E158" s="590">
        <v>3592331.59</v>
      </c>
      <c r="F158" s="590">
        <v>11015794</v>
      </c>
      <c r="G158" s="590">
        <v>27506004</v>
      </c>
      <c r="H158" s="590"/>
      <c r="I158" s="591">
        <v>0</v>
      </c>
      <c r="J158" s="591">
        <v>15736835</v>
      </c>
      <c r="K158" s="591">
        <v>4056467</v>
      </c>
      <c r="L158" s="590">
        <v>84697</v>
      </c>
      <c r="M158" s="590"/>
      <c r="N158" s="591">
        <v>1299972</v>
      </c>
      <c r="O158" s="591">
        <v>5927312</v>
      </c>
      <c r="P158" s="591">
        <v>0</v>
      </c>
      <c r="Q158" s="590">
        <v>251731</v>
      </c>
      <c r="R158" s="590"/>
      <c r="S158" s="591">
        <v>5269762</v>
      </c>
      <c r="T158" s="592">
        <v>-66046</v>
      </c>
      <c r="U158" s="592">
        <v>5203715</v>
      </c>
    </row>
    <row r="159" spans="1:21" x14ac:dyDescent="0.25">
      <c r="A159" s="587">
        <v>34405</v>
      </c>
      <c r="B159" s="588" t="s">
        <v>942</v>
      </c>
      <c r="C159" s="589">
        <v>5.9949999999999999E-4</v>
      </c>
      <c r="D159" s="589">
        <v>6.3489999999999998E-4</v>
      </c>
      <c r="E159" s="590">
        <v>768545.36</v>
      </c>
      <c r="F159" s="590">
        <v>2339732</v>
      </c>
      <c r="G159" s="590">
        <v>5510024</v>
      </c>
      <c r="H159" s="590"/>
      <c r="I159" s="591">
        <v>0</v>
      </c>
      <c r="J159" s="591">
        <v>3152415</v>
      </c>
      <c r="K159" s="591">
        <v>812595</v>
      </c>
      <c r="L159" s="590">
        <v>6190</v>
      </c>
      <c r="M159" s="590"/>
      <c r="N159" s="591">
        <v>260411</v>
      </c>
      <c r="O159" s="591">
        <v>1187364</v>
      </c>
      <c r="P159" s="591">
        <v>0</v>
      </c>
      <c r="Q159" s="590">
        <v>144133</v>
      </c>
      <c r="R159" s="590"/>
      <c r="S159" s="591">
        <v>1055643</v>
      </c>
      <c r="T159" s="592">
        <v>-45669</v>
      </c>
      <c r="U159" s="592">
        <v>1009974</v>
      </c>
    </row>
    <row r="160" spans="1:21" x14ac:dyDescent="0.25">
      <c r="A160" s="587">
        <v>34500</v>
      </c>
      <c r="B160" s="588" t="s">
        <v>943</v>
      </c>
      <c r="C160" s="589">
        <v>5.1397999999999999E-3</v>
      </c>
      <c r="D160" s="589">
        <v>5.0030999999999999E-3</v>
      </c>
      <c r="E160" s="590">
        <v>6236681</v>
      </c>
      <c r="F160" s="590">
        <v>18437414</v>
      </c>
      <c r="G160" s="590">
        <v>47240071</v>
      </c>
      <c r="H160" s="590"/>
      <c r="I160" s="591">
        <v>0</v>
      </c>
      <c r="J160" s="591">
        <v>27027160</v>
      </c>
      <c r="K160" s="591">
        <v>6966762</v>
      </c>
      <c r="L160" s="590">
        <v>389011</v>
      </c>
      <c r="M160" s="590"/>
      <c r="N160" s="591">
        <v>2232631</v>
      </c>
      <c r="O160" s="591">
        <v>10179836</v>
      </c>
      <c r="P160" s="591">
        <v>0</v>
      </c>
      <c r="Q160" s="590">
        <v>104571</v>
      </c>
      <c r="R160" s="590"/>
      <c r="S160" s="591">
        <v>9050530</v>
      </c>
      <c r="T160" s="592">
        <v>67087</v>
      </c>
      <c r="U160" s="592">
        <v>9117617</v>
      </c>
    </row>
    <row r="161" spans="1:21" x14ac:dyDescent="0.25">
      <c r="A161" s="587">
        <v>34501</v>
      </c>
      <c r="B161" s="588" t="s">
        <v>944</v>
      </c>
      <c r="C161" s="589">
        <v>6.19E-5</v>
      </c>
      <c r="D161" s="589">
        <v>6.2399999999999999E-5</v>
      </c>
      <c r="E161" s="590">
        <v>71406.880000000005</v>
      </c>
      <c r="F161" s="590">
        <v>229956</v>
      </c>
      <c r="G161" s="590">
        <v>568925</v>
      </c>
      <c r="H161" s="590"/>
      <c r="I161" s="591">
        <v>0</v>
      </c>
      <c r="J161" s="591">
        <v>325495</v>
      </c>
      <c r="K161" s="591">
        <v>83903</v>
      </c>
      <c r="L161" s="590">
        <v>12325</v>
      </c>
      <c r="M161" s="590"/>
      <c r="N161" s="591">
        <v>26888</v>
      </c>
      <c r="O161" s="591">
        <v>122599</v>
      </c>
      <c r="P161" s="591">
        <v>0</v>
      </c>
      <c r="Q161" s="590">
        <v>7457</v>
      </c>
      <c r="R161" s="590"/>
      <c r="S161" s="591">
        <v>108998</v>
      </c>
      <c r="T161" s="592">
        <v>2591</v>
      </c>
      <c r="U161" s="592">
        <v>111589</v>
      </c>
    </row>
    <row r="162" spans="1:21" x14ac:dyDescent="0.25">
      <c r="A162" s="587">
        <v>34505</v>
      </c>
      <c r="B162" s="588" t="s">
        <v>945</v>
      </c>
      <c r="C162" s="589">
        <v>6.3159999999999996E-4</v>
      </c>
      <c r="D162" s="589">
        <v>6.1439999999999997E-4</v>
      </c>
      <c r="E162" s="590">
        <v>899053.49</v>
      </c>
      <c r="F162" s="590">
        <v>2264186</v>
      </c>
      <c r="G162" s="590">
        <v>5805056</v>
      </c>
      <c r="H162" s="590"/>
      <c r="I162" s="591">
        <v>0</v>
      </c>
      <c r="J162" s="591">
        <v>3321210</v>
      </c>
      <c r="K162" s="591">
        <v>856105</v>
      </c>
      <c r="L162" s="590">
        <v>216794</v>
      </c>
      <c r="M162" s="590"/>
      <c r="N162" s="591">
        <v>274355</v>
      </c>
      <c r="O162" s="591">
        <v>1250941</v>
      </c>
      <c r="P162" s="591">
        <v>0</v>
      </c>
      <c r="Q162" s="590">
        <v>23456</v>
      </c>
      <c r="R162" s="590"/>
      <c r="S162" s="591">
        <v>1112167</v>
      </c>
      <c r="T162" s="592">
        <v>75535</v>
      </c>
      <c r="U162" s="592">
        <v>1187702</v>
      </c>
    </row>
    <row r="163" spans="1:21" x14ac:dyDescent="0.25">
      <c r="A163" s="587">
        <v>34600</v>
      </c>
      <c r="B163" s="588" t="s">
        <v>946</v>
      </c>
      <c r="C163" s="589">
        <v>1.2158E-3</v>
      </c>
      <c r="D163" s="589">
        <v>1.2436000000000001E-3</v>
      </c>
      <c r="E163" s="590">
        <v>1584755.27</v>
      </c>
      <c r="F163" s="590">
        <v>4582912</v>
      </c>
      <c r="G163" s="590">
        <v>11174458</v>
      </c>
      <c r="H163" s="590"/>
      <c r="I163" s="591">
        <v>0</v>
      </c>
      <c r="J163" s="591">
        <v>6393171</v>
      </c>
      <c r="K163" s="591">
        <v>1647961</v>
      </c>
      <c r="L163" s="590">
        <v>0</v>
      </c>
      <c r="M163" s="590"/>
      <c r="N163" s="591">
        <v>528120</v>
      </c>
      <c r="O163" s="591">
        <v>2408001</v>
      </c>
      <c r="P163" s="591">
        <v>0</v>
      </c>
      <c r="Q163" s="590">
        <v>248265</v>
      </c>
      <c r="R163" s="590"/>
      <c r="S163" s="591">
        <v>2140868</v>
      </c>
      <c r="T163" s="592">
        <v>-105690</v>
      </c>
      <c r="U163" s="592">
        <v>2035179</v>
      </c>
    </row>
    <row r="164" spans="1:21" x14ac:dyDescent="0.25">
      <c r="A164" s="587">
        <v>34605</v>
      </c>
      <c r="B164" s="588" t="s">
        <v>947</v>
      </c>
      <c r="C164" s="589">
        <v>2.766E-4</v>
      </c>
      <c r="D164" s="589">
        <v>2.7379999999999999E-4</v>
      </c>
      <c r="E164" s="590">
        <v>394146</v>
      </c>
      <c r="F164" s="590">
        <v>1009007</v>
      </c>
      <c r="G164" s="590">
        <v>2542240</v>
      </c>
      <c r="H164" s="590"/>
      <c r="I164" s="591">
        <v>0</v>
      </c>
      <c r="J164" s="591">
        <v>1454475</v>
      </c>
      <c r="K164" s="591">
        <v>374919</v>
      </c>
      <c r="L164" s="590">
        <v>53242</v>
      </c>
      <c r="M164" s="590"/>
      <c r="N164" s="591">
        <v>120150</v>
      </c>
      <c r="O164" s="591">
        <v>547831</v>
      </c>
      <c r="P164" s="591">
        <v>0</v>
      </c>
      <c r="Q164" s="590">
        <v>24363</v>
      </c>
      <c r="R164" s="590"/>
      <c r="S164" s="591">
        <v>487057</v>
      </c>
      <c r="T164" s="592">
        <v>8804</v>
      </c>
      <c r="U164" s="592">
        <v>495861</v>
      </c>
    </row>
    <row r="165" spans="1:21" x14ac:dyDescent="0.25">
      <c r="A165" s="587">
        <v>34700</v>
      </c>
      <c r="B165" s="588" t="s">
        <v>948</v>
      </c>
      <c r="C165" s="589">
        <v>3.3E-3</v>
      </c>
      <c r="D165" s="589">
        <v>3.3221000000000001E-3</v>
      </c>
      <c r="E165" s="590">
        <v>3726768.48</v>
      </c>
      <c r="F165" s="590">
        <v>12242596</v>
      </c>
      <c r="G165" s="590">
        <v>30330409</v>
      </c>
      <c r="H165" s="590"/>
      <c r="I165" s="591">
        <v>0</v>
      </c>
      <c r="J165" s="591">
        <v>17352743</v>
      </c>
      <c r="K165" s="591">
        <v>4472998.2</v>
      </c>
      <c r="L165" s="590">
        <v>214101</v>
      </c>
      <c r="M165" s="590"/>
      <c r="N165" s="591">
        <v>1433457.3</v>
      </c>
      <c r="O165" s="591">
        <v>6535947</v>
      </c>
      <c r="P165" s="591">
        <v>0</v>
      </c>
      <c r="Q165" s="590">
        <v>443827</v>
      </c>
      <c r="R165" s="590"/>
      <c r="S165" s="591">
        <v>5810878</v>
      </c>
      <c r="T165" s="592">
        <v>-33151</v>
      </c>
      <c r="U165" s="592">
        <v>5777727</v>
      </c>
    </row>
    <row r="166" spans="1:21" x14ac:dyDescent="0.25">
      <c r="A166" s="587">
        <v>34800</v>
      </c>
      <c r="B166" s="588" t="s">
        <v>949</v>
      </c>
      <c r="C166" s="589">
        <v>3.6390000000000001E-4</v>
      </c>
      <c r="D166" s="589">
        <v>3.2420000000000002E-4</v>
      </c>
      <c r="E166" s="590">
        <v>494524.79</v>
      </c>
      <c r="F166" s="590">
        <v>1194741</v>
      </c>
      <c r="G166" s="590">
        <v>3344617</v>
      </c>
      <c r="H166" s="590"/>
      <c r="I166" s="591">
        <v>0</v>
      </c>
      <c r="J166" s="591">
        <v>1913534</v>
      </c>
      <c r="K166" s="591">
        <v>493250</v>
      </c>
      <c r="L166" s="590">
        <v>192965</v>
      </c>
      <c r="M166" s="590"/>
      <c r="N166" s="591">
        <v>158071</v>
      </c>
      <c r="O166" s="591">
        <v>720737</v>
      </c>
      <c r="P166" s="591">
        <v>0</v>
      </c>
      <c r="Q166" s="590">
        <v>25591</v>
      </c>
      <c r="R166" s="590"/>
      <c r="S166" s="591">
        <v>640781</v>
      </c>
      <c r="T166" s="592">
        <v>53501</v>
      </c>
      <c r="U166" s="592">
        <v>694282</v>
      </c>
    </row>
    <row r="167" spans="1:21" x14ac:dyDescent="0.25">
      <c r="A167" s="587">
        <v>34900</v>
      </c>
      <c r="B167" s="588" t="s">
        <v>950</v>
      </c>
      <c r="C167" s="589">
        <v>7.3692000000000002E-3</v>
      </c>
      <c r="D167" s="589">
        <v>7.5664E-3</v>
      </c>
      <c r="E167" s="590">
        <v>9002722</v>
      </c>
      <c r="F167" s="590">
        <v>27883682</v>
      </c>
      <c r="G167" s="590">
        <v>67730560</v>
      </c>
      <c r="H167" s="590"/>
      <c r="I167" s="591">
        <v>0</v>
      </c>
      <c r="J167" s="591">
        <v>38750253</v>
      </c>
      <c r="K167" s="591">
        <v>9988612</v>
      </c>
      <c r="L167" s="590">
        <v>0</v>
      </c>
      <c r="M167" s="590"/>
      <c r="N167" s="591">
        <v>3201040</v>
      </c>
      <c r="O167" s="591">
        <v>14595364</v>
      </c>
      <c r="P167" s="591">
        <v>0</v>
      </c>
      <c r="Q167" s="590">
        <v>1710518</v>
      </c>
      <c r="R167" s="590"/>
      <c r="S167" s="591">
        <v>12976218</v>
      </c>
      <c r="T167" s="592">
        <v>-670298</v>
      </c>
      <c r="U167" s="592">
        <v>12305920</v>
      </c>
    </row>
    <row r="168" spans="1:21" x14ac:dyDescent="0.25">
      <c r="A168" s="587">
        <v>34901</v>
      </c>
      <c r="B168" s="588" t="s">
        <v>951</v>
      </c>
      <c r="C168" s="589">
        <v>1.8909999999999999E-4</v>
      </c>
      <c r="D168" s="589">
        <v>1.8100000000000001E-4</v>
      </c>
      <c r="E168" s="590">
        <v>200083.26</v>
      </c>
      <c r="F168" s="590">
        <v>667021</v>
      </c>
      <c r="G168" s="590">
        <v>1738024</v>
      </c>
      <c r="H168" s="590"/>
      <c r="I168" s="591">
        <v>0</v>
      </c>
      <c r="J168" s="591">
        <v>994365</v>
      </c>
      <c r="K168" s="591">
        <v>256316</v>
      </c>
      <c r="L168" s="590">
        <v>10228</v>
      </c>
      <c r="M168" s="590"/>
      <c r="N168" s="591">
        <v>82141</v>
      </c>
      <c r="O168" s="591">
        <v>374530</v>
      </c>
      <c r="P168" s="591">
        <v>0</v>
      </c>
      <c r="Q168" s="590">
        <v>60342</v>
      </c>
      <c r="R168" s="590"/>
      <c r="S168" s="591">
        <v>332981</v>
      </c>
      <c r="T168" s="592">
        <v>-17104</v>
      </c>
      <c r="U168" s="592">
        <v>315876</v>
      </c>
    </row>
    <row r="169" spans="1:21" x14ac:dyDescent="0.25">
      <c r="A169" s="587">
        <v>34903</v>
      </c>
      <c r="B169" s="588" t="s">
        <v>952</v>
      </c>
      <c r="C169" s="589">
        <v>1.34E-5</v>
      </c>
      <c r="D169" s="589">
        <v>2.02E-5</v>
      </c>
      <c r="E169" s="590">
        <v>24821</v>
      </c>
      <c r="F169" s="590">
        <v>74441</v>
      </c>
      <c r="G169" s="590">
        <v>123160</v>
      </c>
      <c r="H169" s="590"/>
      <c r="I169" s="591">
        <v>0</v>
      </c>
      <c r="J169" s="591">
        <v>70463</v>
      </c>
      <c r="K169" s="591">
        <v>18163</v>
      </c>
      <c r="L169" s="590">
        <v>0</v>
      </c>
      <c r="M169" s="590"/>
      <c r="N169" s="591">
        <v>5821</v>
      </c>
      <c r="O169" s="591">
        <v>26540</v>
      </c>
      <c r="P169" s="591">
        <v>0</v>
      </c>
      <c r="Q169" s="590">
        <v>21256</v>
      </c>
      <c r="R169" s="590"/>
      <c r="S169" s="591">
        <v>23596</v>
      </c>
      <c r="T169" s="592">
        <v>-6784</v>
      </c>
      <c r="U169" s="592">
        <v>16812</v>
      </c>
    </row>
    <row r="170" spans="1:21" x14ac:dyDescent="0.25">
      <c r="A170" s="587">
        <v>34905</v>
      </c>
      <c r="B170" s="588" t="s">
        <v>953</v>
      </c>
      <c r="C170" s="589">
        <v>7.2610000000000003E-4</v>
      </c>
      <c r="D170" s="589">
        <v>7.8080000000000001E-4</v>
      </c>
      <c r="E170" s="590">
        <v>938319</v>
      </c>
      <c r="F170" s="590">
        <v>2877403</v>
      </c>
      <c r="G170" s="590">
        <v>6673609</v>
      </c>
      <c r="H170" s="590"/>
      <c r="I170" s="591">
        <v>0</v>
      </c>
      <c r="J170" s="591">
        <v>3818129</v>
      </c>
      <c r="K170" s="591">
        <v>984195</v>
      </c>
      <c r="L170" s="590">
        <v>31978</v>
      </c>
      <c r="M170" s="590"/>
      <c r="N170" s="591">
        <v>315404</v>
      </c>
      <c r="O170" s="591">
        <v>1438106</v>
      </c>
      <c r="P170" s="591">
        <v>0</v>
      </c>
      <c r="Q170" s="590">
        <v>187277</v>
      </c>
      <c r="R170" s="590"/>
      <c r="S170" s="591">
        <v>1278569</v>
      </c>
      <c r="T170" s="592">
        <v>-43350</v>
      </c>
      <c r="U170" s="592">
        <v>1235219</v>
      </c>
    </row>
    <row r="171" spans="1:21" x14ac:dyDescent="0.25">
      <c r="A171" s="587">
        <v>34910</v>
      </c>
      <c r="B171" s="588" t="s">
        <v>954</v>
      </c>
      <c r="C171" s="589">
        <v>2.3143E-3</v>
      </c>
      <c r="D171" s="589">
        <v>2.2087999999999999E-3</v>
      </c>
      <c r="E171" s="590">
        <v>2713831</v>
      </c>
      <c r="F171" s="590">
        <v>8139865</v>
      </c>
      <c r="G171" s="590">
        <v>21270808</v>
      </c>
      <c r="H171" s="590"/>
      <c r="I171" s="591">
        <v>0</v>
      </c>
      <c r="J171" s="591">
        <v>12169531</v>
      </c>
      <c r="K171" s="591">
        <v>3136927</v>
      </c>
      <c r="L171" s="590">
        <v>470343</v>
      </c>
      <c r="M171" s="590"/>
      <c r="N171" s="591">
        <v>1005288</v>
      </c>
      <c r="O171" s="591">
        <v>4583679</v>
      </c>
      <c r="P171" s="591">
        <v>0</v>
      </c>
      <c r="Q171" s="590">
        <v>0</v>
      </c>
      <c r="R171" s="590"/>
      <c r="S171" s="591">
        <v>4075186</v>
      </c>
      <c r="T171" s="592">
        <v>171108</v>
      </c>
      <c r="U171" s="592">
        <v>4246294</v>
      </c>
    </row>
    <row r="172" spans="1:21" x14ac:dyDescent="0.25">
      <c r="A172" s="587">
        <v>35000</v>
      </c>
      <c r="B172" s="588" t="s">
        <v>955</v>
      </c>
      <c r="C172" s="589">
        <v>1.5556999999999999E-3</v>
      </c>
      <c r="D172" s="589">
        <v>1.5065E-3</v>
      </c>
      <c r="E172" s="590">
        <v>1833579</v>
      </c>
      <c r="F172" s="590">
        <v>5551751</v>
      </c>
      <c r="G172" s="590">
        <v>14298490</v>
      </c>
      <c r="H172" s="590"/>
      <c r="I172" s="591">
        <v>0</v>
      </c>
      <c r="J172" s="591">
        <v>8180504</v>
      </c>
      <c r="K172" s="591">
        <v>2108680</v>
      </c>
      <c r="L172" s="590">
        <v>227205</v>
      </c>
      <c r="M172" s="590"/>
      <c r="N172" s="591">
        <v>675767</v>
      </c>
      <c r="O172" s="591">
        <v>3081204</v>
      </c>
      <c r="P172" s="591">
        <v>0</v>
      </c>
      <c r="Q172" s="590">
        <v>0</v>
      </c>
      <c r="R172" s="590"/>
      <c r="S172" s="591">
        <v>2739389</v>
      </c>
      <c r="T172" s="592">
        <v>81578</v>
      </c>
      <c r="U172" s="592">
        <v>2820966</v>
      </c>
    </row>
    <row r="173" spans="1:21" x14ac:dyDescent="0.25">
      <c r="A173" s="587">
        <v>35005</v>
      </c>
      <c r="B173" s="588" t="s">
        <v>956</v>
      </c>
      <c r="C173" s="589">
        <v>7.0509999999999995E-4</v>
      </c>
      <c r="D173" s="589">
        <v>7.2009999999999999E-4</v>
      </c>
      <c r="E173" s="590">
        <v>892704</v>
      </c>
      <c r="F173" s="590">
        <v>2653711</v>
      </c>
      <c r="G173" s="590">
        <v>6480597</v>
      </c>
      <c r="H173" s="590"/>
      <c r="I173" s="591">
        <v>0</v>
      </c>
      <c r="J173" s="591">
        <v>3707703</v>
      </c>
      <c r="K173" s="591">
        <v>955731</v>
      </c>
      <c r="L173" s="590">
        <v>113888</v>
      </c>
      <c r="M173" s="590"/>
      <c r="N173" s="591">
        <v>306282</v>
      </c>
      <c r="O173" s="591">
        <v>1396514</v>
      </c>
      <c r="P173" s="591">
        <v>0</v>
      </c>
      <c r="Q173" s="590">
        <v>55865</v>
      </c>
      <c r="R173" s="590"/>
      <c r="S173" s="591">
        <v>1241591</v>
      </c>
      <c r="T173" s="592">
        <v>42601</v>
      </c>
      <c r="U173" s="592">
        <v>1284192</v>
      </c>
    </row>
    <row r="174" spans="1:21" x14ac:dyDescent="0.25">
      <c r="A174" s="587">
        <v>35100</v>
      </c>
      <c r="B174" s="588" t="s">
        <v>957</v>
      </c>
      <c r="C174" s="589">
        <v>1.29987E-2</v>
      </c>
      <c r="D174" s="589">
        <v>1.2978699999999999E-2</v>
      </c>
      <c r="E174" s="590">
        <v>15145033</v>
      </c>
      <c r="F174" s="590">
        <v>47829079</v>
      </c>
      <c r="G174" s="590">
        <v>119471481</v>
      </c>
      <c r="H174" s="590"/>
      <c r="I174" s="591">
        <v>0</v>
      </c>
      <c r="J174" s="591">
        <v>68352455</v>
      </c>
      <c r="K174" s="591">
        <v>17619140</v>
      </c>
      <c r="L174" s="590">
        <v>666082</v>
      </c>
      <c r="M174" s="590"/>
      <c r="N174" s="591">
        <v>5646388</v>
      </c>
      <c r="O174" s="591">
        <v>25745095</v>
      </c>
      <c r="P174" s="591">
        <v>0</v>
      </c>
      <c r="Q174" s="590">
        <v>2523009</v>
      </c>
      <c r="R174" s="590"/>
      <c r="S174" s="591">
        <v>22889047</v>
      </c>
      <c r="T174" s="592">
        <v>-878950</v>
      </c>
      <c r="U174" s="592">
        <v>22010097</v>
      </c>
    </row>
    <row r="175" spans="1:21" x14ac:dyDescent="0.25">
      <c r="A175" s="587">
        <v>35105</v>
      </c>
      <c r="B175" s="588" t="s">
        <v>958</v>
      </c>
      <c r="C175" s="589">
        <v>1.1724999999999999E-3</v>
      </c>
      <c r="D175" s="589">
        <v>1.2034000000000001E-3</v>
      </c>
      <c r="E175" s="590">
        <v>1448373</v>
      </c>
      <c r="F175" s="590">
        <v>4434767</v>
      </c>
      <c r="G175" s="590">
        <v>10776486</v>
      </c>
      <c r="H175" s="590"/>
      <c r="I175" s="591">
        <v>0</v>
      </c>
      <c r="J175" s="591">
        <v>6165482</v>
      </c>
      <c r="K175" s="591">
        <v>1589270</v>
      </c>
      <c r="L175" s="590">
        <v>94413</v>
      </c>
      <c r="M175" s="590"/>
      <c r="N175" s="591">
        <v>509312</v>
      </c>
      <c r="O175" s="591">
        <v>2322242</v>
      </c>
      <c r="P175" s="591">
        <v>0</v>
      </c>
      <c r="Q175" s="590">
        <v>203439</v>
      </c>
      <c r="R175" s="590"/>
      <c r="S175" s="591">
        <v>2064622.42</v>
      </c>
      <c r="T175" s="592">
        <v>-11502</v>
      </c>
      <c r="U175" s="592">
        <v>2053121</v>
      </c>
    </row>
    <row r="176" spans="1:21" x14ac:dyDescent="0.25">
      <c r="A176" s="587">
        <v>35106</v>
      </c>
      <c r="B176" s="588" t="s">
        <v>959</v>
      </c>
      <c r="C176" s="589">
        <v>2.9930000000000001E-4</v>
      </c>
      <c r="D176" s="589">
        <v>2.6420000000000003E-4</v>
      </c>
      <c r="E176" s="590">
        <v>313262</v>
      </c>
      <c r="F176" s="590">
        <v>973629</v>
      </c>
      <c r="G176" s="590">
        <v>2750876</v>
      </c>
      <c r="H176" s="590"/>
      <c r="I176" s="591">
        <v>0</v>
      </c>
      <c r="J176" s="591">
        <v>1573841</v>
      </c>
      <c r="K176" s="591">
        <v>405687</v>
      </c>
      <c r="L176" s="590">
        <v>223940</v>
      </c>
      <c r="M176" s="590"/>
      <c r="N176" s="591">
        <v>130010</v>
      </c>
      <c r="O176" s="591">
        <v>592791</v>
      </c>
      <c r="P176" s="591">
        <v>0</v>
      </c>
      <c r="Q176" s="590">
        <v>0</v>
      </c>
      <c r="R176" s="590"/>
      <c r="S176" s="591">
        <v>527029</v>
      </c>
      <c r="T176" s="592">
        <v>90741</v>
      </c>
      <c r="U176" s="592">
        <v>617770</v>
      </c>
    </row>
    <row r="177" spans="1:21" x14ac:dyDescent="0.25">
      <c r="A177" s="587">
        <v>35200</v>
      </c>
      <c r="B177" s="588" t="s">
        <v>960</v>
      </c>
      <c r="C177" s="589">
        <v>5.8060000000000002E-4</v>
      </c>
      <c r="D177" s="589">
        <v>5.6170000000000005E-4</v>
      </c>
      <c r="E177" s="590">
        <v>777969.94</v>
      </c>
      <c r="F177" s="590">
        <v>2069976</v>
      </c>
      <c r="G177" s="590">
        <v>5336314</v>
      </c>
      <c r="H177" s="590"/>
      <c r="I177" s="591">
        <v>0</v>
      </c>
      <c r="J177" s="591">
        <v>3053031</v>
      </c>
      <c r="K177" s="591">
        <v>786977</v>
      </c>
      <c r="L177" s="590">
        <v>201070</v>
      </c>
      <c r="M177" s="590"/>
      <c r="N177" s="591">
        <v>252202</v>
      </c>
      <c r="O177" s="591">
        <v>1149931</v>
      </c>
      <c r="P177" s="591">
        <v>0</v>
      </c>
      <c r="Q177" s="590">
        <v>0</v>
      </c>
      <c r="R177" s="590"/>
      <c r="S177" s="591">
        <v>1022362</v>
      </c>
      <c r="T177" s="592">
        <v>77930</v>
      </c>
      <c r="U177" s="592">
        <v>1100292</v>
      </c>
    </row>
    <row r="178" spans="1:21" x14ac:dyDescent="0.25">
      <c r="A178" s="587">
        <v>35300</v>
      </c>
      <c r="B178" s="588" t="s">
        <v>961</v>
      </c>
      <c r="C178" s="589">
        <v>3.8329000000000002E-3</v>
      </c>
      <c r="D178" s="589">
        <v>3.6911000000000001E-3</v>
      </c>
      <c r="E178" s="590">
        <v>4617867.83</v>
      </c>
      <c r="F178" s="590">
        <v>13602434</v>
      </c>
      <c r="G178" s="590">
        <v>35228310</v>
      </c>
      <c r="H178" s="590"/>
      <c r="I178" s="591">
        <v>0</v>
      </c>
      <c r="J178" s="591">
        <v>20154948</v>
      </c>
      <c r="K178" s="591">
        <v>5195320</v>
      </c>
      <c r="L178" s="590">
        <v>499060</v>
      </c>
      <c r="M178" s="590"/>
      <c r="N178" s="591">
        <v>1664939</v>
      </c>
      <c r="O178" s="591">
        <v>7591403</v>
      </c>
      <c r="P178" s="591">
        <v>0</v>
      </c>
      <c r="Q178" s="590">
        <v>246296</v>
      </c>
      <c r="R178" s="590"/>
      <c r="S178" s="591">
        <v>6749246</v>
      </c>
      <c r="T178" s="592">
        <v>25060</v>
      </c>
      <c r="U178" s="592">
        <v>6774306</v>
      </c>
    </row>
    <row r="179" spans="1:21" x14ac:dyDescent="0.25">
      <c r="A179" s="587">
        <v>35305</v>
      </c>
      <c r="B179" s="588" t="s">
        <v>962</v>
      </c>
      <c r="C179" s="589">
        <v>1.42E-3</v>
      </c>
      <c r="D179" s="589">
        <v>1.3343999999999999E-3</v>
      </c>
      <c r="E179" s="590">
        <v>1830820</v>
      </c>
      <c r="F179" s="590">
        <v>4917528</v>
      </c>
      <c r="G179" s="590">
        <v>13051267</v>
      </c>
      <c r="H179" s="590"/>
      <c r="I179" s="591">
        <v>0</v>
      </c>
      <c r="J179" s="591">
        <v>7466938</v>
      </c>
      <c r="K179" s="591">
        <v>1924745</v>
      </c>
      <c r="L179" s="590">
        <v>729730</v>
      </c>
      <c r="M179" s="590"/>
      <c r="N179" s="591">
        <v>616821.02</v>
      </c>
      <c r="O179" s="591">
        <v>2812438</v>
      </c>
      <c r="P179" s="591">
        <v>0</v>
      </c>
      <c r="Q179" s="590">
        <v>0</v>
      </c>
      <c r="R179" s="590"/>
      <c r="S179" s="591">
        <v>2500438</v>
      </c>
      <c r="T179" s="592">
        <v>261668</v>
      </c>
      <c r="U179" s="592">
        <v>2762106</v>
      </c>
    </row>
    <row r="180" spans="1:21" x14ac:dyDescent="0.25">
      <c r="A180" s="587">
        <v>35400</v>
      </c>
      <c r="B180" s="588" t="s">
        <v>963</v>
      </c>
      <c r="C180" s="589">
        <v>3.0752000000000002E-3</v>
      </c>
      <c r="D180" s="589">
        <v>3.1616999999999999E-3</v>
      </c>
      <c r="E180" s="590">
        <v>3945927</v>
      </c>
      <c r="F180" s="590">
        <v>11651491</v>
      </c>
      <c r="G180" s="590">
        <v>28264265</v>
      </c>
      <c r="H180" s="590"/>
      <c r="I180" s="591">
        <v>0</v>
      </c>
      <c r="J180" s="591">
        <v>16170653</v>
      </c>
      <c r="K180" s="591">
        <v>4168292</v>
      </c>
      <c r="L180" s="590">
        <v>28955</v>
      </c>
      <c r="M180" s="590"/>
      <c r="N180" s="591">
        <v>1335808</v>
      </c>
      <c r="O180" s="591">
        <v>6090710</v>
      </c>
      <c r="P180" s="591">
        <v>0</v>
      </c>
      <c r="Q180" s="590">
        <v>315819</v>
      </c>
      <c r="R180" s="590"/>
      <c r="S180" s="591">
        <v>5415034</v>
      </c>
      <c r="T180" s="592">
        <v>-90068</v>
      </c>
      <c r="U180" s="592">
        <v>5324966</v>
      </c>
    </row>
    <row r="181" spans="1:21" x14ac:dyDescent="0.25">
      <c r="A181" s="587">
        <v>35401</v>
      </c>
      <c r="B181" s="588" t="s">
        <v>964</v>
      </c>
      <c r="C181" s="589">
        <v>2.7900000000000001E-5</v>
      </c>
      <c r="D181" s="589">
        <v>3.29E-5</v>
      </c>
      <c r="E181" s="590">
        <v>37048</v>
      </c>
      <c r="F181" s="590">
        <v>121243</v>
      </c>
      <c r="G181" s="590">
        <v>256430</v>
      </c>
      <c r="H181" s="590"/>
      <c r="I181" s="591">
        <v>0</v>
      </c>
      <c r="J181" s="591">
        <v>146710</v>
      </c>
      <c r="K181" s="591">
        <v>37817</v>
      </c>
      <c r="L181" s="590">
        <v>27208</v>
      </c>
      <c r="M181" s="590"/>
      <c r="N181" s="591">
        <v>12119</v>
      </c>
      <c r="O181" s="591">
        <v>55258</v>
      </c>
      <c r="P181" s="591">
        <v>0</v>
      </c>
      <c r="Q181" s="590">
        <v>35444</v>
      </c>
      <c r="R181" s="590"/>
      <c r="S181" s="591">
        <v>49128</v>
      </c>
      <c r="T181" s="592">
        <v>-4942</v>
      </c>
      <c r="U181" s="592">
        <v>44186</v>
      </c>
    </row>
    <row r="182" spans="1:21" x14ac:dyDescent="0.25">
      <c r="A182" s="587">
        <v>35402</v>
      </c>
      <c r="B182" s="588" t="s">
        <v>965</v>
      </c>
      <c r="C182" s="589">
        <v>0</v>
      </c>
      <c r="D182" s="589">
        <v>0</v>
      </c>
      <c r="E182" s="590">
        <v>0</v>
      </c>
      <c r="F182" s="590">
        <v>0</v>
      </c>
      <c r="G182" s="590">
        <v>0</v>
      </c>
      <c r="H182" s="590"/>
      <c r="I182" s="591">
        <v>0</v>
      </c>
      <c r="J182" s="591">
        <v>0</v>
      </c>
      <c r="K182" s="591">
        <v>0</v>
      </c>
      <c r="L182" s="590">
        <v>0</v>
      </c>
      <c r="M182" s="590"/>
      <c r="N182" s="591">
        <v>0</v>
      </c>
      <c r="O182" s="591">
        <v>0</v>
      </c>
      <c r="P182" s="591">
        <v>0</v>
      </c>
      <c r="Q182" s="590">
        <v>224602</v>
      </c>
      <c r="R182" s="590"/>
      <c r="S182" s="591">
        <v>0</v>
      </c>
      <c r="T182" s="592">
        <v>-125476</v>
      </c>
      <c r="U182" s="592">
        <v>-125476</v>
      </c>
    </row>
    <row r="183" spans="1:21" x14ac:dyDescent="0.25">
      <c r="A183" s="587">
        <v>35405</v>
      </c>
      <c r="B183" s="588" t="s">
        <v>966</v>
      </c>
      <c r="C183" s="589">
        <v>1.0782999999999999E-3</v>
      </c>
      <c r="D183" s="589">
        <v>1.0586E-3</v>
      </c>
      <c r="E183" s="590">
        <v>1332448</v>
      </c>
      <c r="F183" s="590">
        <v>3901151</v>
      </c>
      <c r="G183" s="590">
        <v>9910691</v>
      </c>
      <c r="H183" s="590"/>
      <c r="I183" s="591">
        <v>0</v>
      </c>
      <c r="J183" s="591">
        <v>5670140</v>
      </c>
      <c r="K183" s="591">
        <v>1461586</v>
      </c>
      <c r="L183" s="590">
        <v>60701</v>
      </c>
      <c r="M183" s="590"/>
      <c r="N183" s="591">
        <v>468393</v>
      </c>
      <c r="O183" s="591">
        <v>2135670</v>
      </c>
      <c r="P183" s="591">
        <v>0</v>
      </c>
      <c r="Q183" s="590">
        <v>84207</v>
      </c>
      <c r="R183" s="590"/>
      <c r="S183" s="591">
        <v>1898748</v>
      </c>
      <c r="T183" s="592">
        <v>-8792</v>
      </c>
      <c r="U183" s="592">
        <v>1889956</v>
      </c>
    </row>
    <row r="184" spans="1:21" x14ac:dyDescent="0.25">
      <c r="A184" s="587">
        <v>35500</v>
      </c>
      <c r="B184" s="588" t="s">
        <v>967</v>
      </c>
      <c r="C184" s="589">
        <v>4.3315999999999997E-3</v>
      </c>
      <c r="D184" s="589">
        <v>4.3539E-3</v>
      </c>
      <c r="E184" s="590">
        <v>5186817</v>
      </c>
      <c r="F184" s="590">
        <v>16044984</v>
      </c>
      <c r="G184" s="590">
        <v>39811879</v>
      </c>
      <c r="H184" s="590"/>
      <c r="I184" s="591">
        <v>0</v>
      </c>
      <c r="J184" s="591">
        <v>22777316</v>
      </c>
      <c r="K184" s="591">
        <v>5871285</v>
      </c>
      <c r="L184" s="590">
        <v>241768</v>
      </c>
      <c r="M184" s="590"/>
      <c r="N184" s="591">
        <v>1881565</v>
      </c>
      <c r="O184" s="591">
        <v>8579124</v>
      </c>
      <c r="P184" s="591">
        <v>0</v>
      </c>
      <c r="Q184" s="590">
        <v>554445</v>
      </c>
      <c r="R184" s="590"/>
      <c r="S184" s="591">
        <v>7627393</v>
      </c>
      <c r="T184" s="592">
        <v>-127378</v>
      </c>
      <c r="U184" s="592">
        <v>7500015</v>
      </c>
    </row>
    <row r="185" spans="1:21" x14ac:dyDescent="0.25">
      <c r="A185" s="587">
        <v>35600</v>
      </c>
      <c r="B185" s="588" t="s">
        <v>968</v>
      </c>
      <c r="C185" s="589">
        <v>1.7164999999999999E-3</v>
      </c>
      <c r="D185" s="589">
        <v>1.6930999999999999E-3</v>
      </c>
      <c r="E185" s="590">
        <v>2130102</v>
      </c>
      <c r="F185" s="590">
        <v>6239409</v>
      </c>
      <c r="G185" s="590">
        <v>15776408</v>
      </c>
      <c r="H185" s="590"/>
      <c r="I185" s="591">
        <v>0</v>
      </c>
      <c r="J185" s="591">
        <v>9026056</v>
      </c>
      <c r="K185" s="591">
        <v>2326637</v>
      </c>
      <c r="L185" s="590">
        <v>40234</v>
      </c>
      <c r="M185" s="590"/>
      <c r="N185" s="591">
        <v>745615</v>
      </c>
      <c r="O185" s="591">
        <v>3399683</v>
      </c>
      <c r="P185" s="591">
        <v>0</v>
      </c>
      <c r="Q185" s="590">
        <v>175152</v>
      </c>
      <c r="R185" s="590"/>
      <c r="S185" s="591">
        <v>3022537</v>
      </c>
      <c r="T185" s="592">
        <v>-76896</v>
      </c>
      <c r="U185" s="592">
        <v>2945641</v>
      </c>
    </row>
    <row r="186" spans="1:21" x14ac:dyDescent="0.25">
      <c r="A186" s="587">
        <v>35700</v>
      </c>
      <c r="B186" s="588" t="s">
        <v>969</v>
      </c>
      <c r="C186" s="589">
        <v>9.657E-4</v>
      </c>
      <c r="D186" s="589">
        <v>1.0131000000000001E-3</v>
      </c>
      <c r="E186" s="590">
        <v>1208896.53</v>
      </c>
      <c r="F186" s="590">
        <v>3733474</v>
      </c>
      <c r="G186" s="590">
        <v>8875781</v>
      </c>
      <c r="H186" s="590"/>
      <c r="I186" s="591">
        <v>0</v>
      </c>
      <c r="J186" s="591">
        <v>5078044</v>
      </c>
      <c r="K186" s="591">
        <v>1308962</v>
      </c>
      <c r="L186" s="590">
        <v>32785</v>
      </c>
      <c r="M186" s="590"/>
      <c r="N186" s="591">
        <v>419482</v>
      </c>
      <c r="O186" s="591">
        <v>1912656</v>
      </c>
      <c r="P186" s="591">
        <v>0</v>
      </c>
      <c r="Q186" s="590">
        <v>239627</v>
      </c>
      <c r="R186" s="590"/>
      <c r="S186" s="591">
        <v>1700474</v>
      </c>
      <c r="T186" s="592">
        <v>-71998</v>
      </c>
      <c r="U186" s="592">
        <v>1628476</v>
      </c>
    </row>
    <row r="187" spans="1:21" x14ac:dyDescent="0.25">
      <c r="A187" s="587">
        <v>35800</v>
      </c>
      <c r="B187" s="588" t="s">
        <v>970</v>
      </c>
      <c r="C187" s="589">
        <v>1.3967999999999999E-3</v>
      </c>
      <c r="D187" s="589">
        <v>1.4509E-3</v>
      </c>
      <c r="E187" s="590">
        <v>1848729</v>
      </c>
      <c r="F187" s="590">
        <v>5346854</v>
      </c>
      <c r="G187" s="590">
        <v>12838035</v>
      </c>
      <c r="H187" s="590"/>
      <c r="I187" s="591">
        <v>0</v>
      </c>
      <c r="J187" s="591">
        <v>7344943</v>
      </c>
      <c r="K187" s="591">
        <v>1893298</v>
      </c>
      <c r="L187" s="590">
        <v>0</v>
      </c>
      <c r="M187" s="590"/>
      <c r="N187" s="591">
        <v>606743</v>
      </c>
      <c r="O187" s="591">
        <v>2766488</v>
      </c>
      <c r="P187" s="591">
        <v>0</v>
      </c>
      <c r="Q187" s="590">
        <v>215379</v>
      </c>
      <c r="R187" s="590"/>
      <c r="S187" s="591">
        <v>2459586</v>
      </c>
      <c r="T187" s="592">
        <v>-78921</v>
      </c>
      <c r="U187" s="592">
        <v>2380665</v>
      </c>
    </row>
    <row r="188" spans="1:21" x14ac:dyDescent="0.25">
      <c r="A188" s="587">
        <v>35805</v>
      </c>
      <c r="B188" s="588" t="s">
        <v>971</v>
      </c>
      <c r="C188" s="589">
        <v>2.2379999999999999E-4</v>
      </c>
      <c r="D188" s="589">
        <v>1.796E-4</v>
      </c>
      <c r="E188" s="590">
        <v>343336</v>
      </c>
      <c r="F188" s="590">
        <v>661862</v>
      </c>
      <c r="G188" s="590">
        <v>2056953</v>
      </c>
      <c r="H188" s="590"/>
      <c r="I188" s="591">
        <v>0</v>
      </c>
      <c r="J188" s="591">
        <v>1176831</v>
      </c>
      <c r="K188" s="591">
        <v>303351</v>
      </c>
      <c r="L188" s="590">
        <v>200284</v>
      </c>
      <c r="M188" s="590"/>
      <c r="N188" s="591">
        <v>97214</v>
      </c>
      <c r="O188" s="591">
        <v>443256</v>
      </c>
      <c r="P188" s="591">
        <v>0</v>
      </c>
      <c r="Q188" s="590">
        <v>47415</v>
      </c>
      <c r="R188" s="590"/>
      <c r="S188" s="591">
        <v>394083</v>
      </c>
      <c r="T188" s="592">
        <v>37139</v>
      </c>
      <c r="U188" s="592">
        <v>431222</v>
      </c>
    </row>
    <row r="189" spans="1:21" x14ac:dyDescent="0.25">
      <c r="A189" s="587">
        <v>35900</v>
      </c>
      <c r="B189" s="588" t="s">
        <v>972</v>
      </c>
      <c r="C189" s="589">
        <v>2.5728999999999999E-3</v>
      </c>
      <c r="D189" s="589">
        <v>2.5831999999999999E-3</v>
      </c>
      <c r="E189" s="590">
        <v>3099844</v>
      </c>
      <c r="F189" s="590">
        <v>9519603</v>
      </c>
      <c r="G189" s="590">
        <v>23647609</v>
      </c>
      <c r="H189" s="590"/>
      <c r="I189" s="591">
        <v>0</v>
      </c>
      <c r="J189" s="591">
        <v>13529355</v>
      </c>
      <c r="K189" s="591">
        <v>3487448</v>
      </c>
      <c r="L189" s="590">
        <v>0</v>
      </c>
      <c r="M189" s="590"/>
      <c r="N189" s="591">
        <v>1117619</v>
      </c>
      <c r="O189" s="591">
        <v>5095860</v>
      </c>
      <c r="P189" s="591">
        <v>0</v>
      </c>
      <c r="Q189" s="590">
        <v>476209</v>
      </c>
      <c r="R189" s="590"/>
      <c r="S189" s="591">
        <v>4530548</v>
      </c>
      <c r="T189" s="592">
        <v>-211700</v>
      </c>
      <c r="U189" s="592">
        <v>4318848</v>
      </c>
    </row>
    <row r="190" spans="1:21" x14ac:dyDescent="0.25">
      <c r="A190" s="587">
        <v>35905</v>
      </c>
      <c r="B190" s="588" t="s">
        <v>973</v>
      </c>
      <c r="C190" s="589">
        <v>3.5429999999999999E-4</v>
      </c>
      <c r="D190" s="589">
        <v>3.6640000000000002E-4</v>
      </c>
      <c r="E190" s="590">
        <v>533486.52</v>
      </c>
      <c r="F190" s="590">
        <v>1350257</v>
      </c>
      <c r="G190" s="590">
        <v>3256383</v>
      </c>
      <c r="H190" s="590"/>
      <c r="I190" s="591">
        <v>0</v>
      </c>
      <c r="J190" s="591">
        <v>1863054</v>
      </c>
      <c r="K190" s="591">
        <v>480237</v>
      </c>
      <c r="L190" s="590">
        <v>38923</v>
      </c>
      <c r="M190" s="590"/>
      <c r="N190" s="591">
        <v>153901</v>
      </c>
      <c r="O190" s="591">
        <v>701723</v>
      </c>
      <c r="P190" s="591">
        <v>0</v>
      </c>
      <c r="Q190" s="590">
        <v>0</v>
      </c>
      <c r="R190" s="590"/>
      <c r="S190" s="591">
        <v>623877</v>
      </c>
      <c r="T190" s="592">
        <v>14440</v>
      </c>
      <c r="U190" s="592">
        <v>638317</v>
      </c>
    </row>
    <row r="191" spans="1:21" x14ac:dyDescent="0.25">
      <c r="A191" s="587">
        <v>36000</v>
      </c>
      <c r="B191" s="588" t="s">
        <v>974</v>
      </c>
      <c r="C191" s="589">
        <v>5.8661999999999999E-2</v>
      </c>
      <c r="D191" s="589">
        <v>5.6787200000000003E-2</v>
      </c>
      <c r="E191" s="590">
        <v>67840944</v>
      </c>
      <c r="F191" s="590">
        <v>209272076</v>
      </c>
      <c r="G191" s="590">
        <v>539164378</v>
      </c>
      <c r="H191" s="590"/>
      <c r="I191" s="591">
        <v>0</v>
      </c>
      <c r="J191" s="591">
        <v>308468671</v>
      </c>
      <c r="K191" s="591">
        <v>79513643</v>
      </c>
      <c r="L191" s="590">
        <v>1286089</v>
      </c>
      <c r="M191" s="590"/>
      <c r="N191" s="591">
        <v>25481658</v>
      </c>
      <c r="O191" s="591">
        <v>116185371</v>
      </c>
      <c r="P191" s="591">
        <v>0</v>
      </c>
      <c r="Q191" s="590">
        <v>5513637</v>
      </c>
      <c r="R191" s="590"/>
      <c r="S191" s="591">
        <v>103296273</v>
      </c>
      <c r="T191" s="592">
        <v>-2030294</v>
      </c>
      <c r="U191" s="592">
        <v>101265980</v>
      </c>
    </row>
    <row r="192" spans="1:21" x14ac:dyDescent="0.25">
      <c r="A192" s="587">
        <v>36001</v>
      </c>
      <c r="B192" s="588" t="s">
        <v>975</v>
      </c>
      <c r="C192" s="589">
        <v>3.2799999999999998E-5</v>
      </c>
      <c r="D192" s="589">
        <v>3.4600000000000001E-5</v>
      </c>
      <c r="E192" s="590">
        <v>33856</v>
      </c>
      <c r="F192" s="590">
        <v>127508</v>
      </c>
      <c r="G192" s="590">
        <v>301466</v>
      </c>
      <c r="H192" s="590"/>
      <c r="I192" s="591">
        <v>0</v>
      </c>
      <c r="J192" s="591">
        <v>172476</v>
      </c>
      <c r="K192" s="591">
        <v>44459</v>
      </c>
      <c r="L192" s="590">
        <v>0</v>
      </c>
      <c r="M192" s="590"/>
      <c r="N192" s="591">
        <v>14248</v>
      </c>
      <c r="O192" s="591">
        <v>64963</v>
      </c>
      <c r="P192" s="591">
        <v>0</v>
      </c>
      <c r="Q192" s="590">
        <v>89847</v>
      </c>
      <c r="R192" s="590"/>
      <c r="S192" s="591">
        <v>57757</v>
      </c>
      <c r="T192" s="592">
        <v>-36872</v>
      </c>
      <c r="U192" s="592">
        <v>20885</v>
      </c>
    </row>
    <row r="193" spans="1:21" x14ac:dyDescent="0.25">
      <c r="A193" s="587">
        <v>36002</v>
      </c>
      <c r="B193" s="588" t="s">
        <v>976</v>
      </c>
      <c r="C193" s="589">
        <v>1.4239999999999999E-4</v>
      </c>
      <c r="D193" s="589">
        <v>2.019E-4</v>
      </c>
      <c r="E193" s="590"/>
      <c r="F193" s="590">
        <v>744041</v>
      </c>
      <c r="G193" s="590">
        <v>1308803</v>
      </c>
      <c r="H193" s="590"/>
      <c r="I193" s="591">
        <v>0</v>
      </c>
      <c r="J193" s="591">
        <v>748797</v>
      </c>
      <c r="K193" s="591">
        <v>193017</v>
      </c>
      <c r="L193" s="590">
        <v>61294</v>
      </c>
      <c r="M193" s="590"/>
      <c r="N193" s="591">
        <v>61856</v>
      </c>
      <c r="O193" s="591">
        <v>282036</v>
      </c>
      <c r="P193" s="591">
        <v>0</v>
      </c>
      <c r="Q193" s="590">
        <v>381636</v>
      </c>
      <c r="R193" s="590"/>
      <c r="S193" s="591">
        <v>250748</v>
      </c>
      <c r="T193" s="592">
        <v>-78253</v>
      </c>
      <c r="U193" s="592">
        <v>172495</v>
      </c>
    </row>
    <row r="194" spans="1:21" x14ac:dyDescent="0.25">
      <c r="A194" s="587">
        <v>36003</v>
      </c>
      <c r="B194" s="588" t="s">
        <v>977</v>
      </c>
      <c r="C194" s="589">
        <v>4.481E-4</v>
      </c>
      <c r="D194" s="589">
        <v>4.4470000000000002E-4</v>
      </c>
      <c r="E194" s="590">
        <v>456416.97</v>
      </c>
      <c r="F194" s="590">
        <v>1638808</v>
      </c>
      <c r="G194" s="590">
        <v>4118502</v>
      </c>
      <c r="H194" s="590"/>
      <c r="I194" s="591">
        <v>0</v>
      </c>
      <c r="J194" s="591">
        <v>2356292</v>
      </c>
      <c r="K194" s="591">
        <v>607379</v>
      </c>
      <c r="L194" s="590">
        <v>7097</v>
      </c>
      <c r="M194" s="590"/>
      <c r="N194" s="591">
        <v>194646</v>
      </c>
      <c r="O194" s="591">
        <v>887502</v>
      </c>
      <c r="P194" s="591">
        <v>0</v>
      </c>
      <c r="Q194" s="590">
        <v>113433</v>
      </c>
      <c r="R194" s="590"/>
      <c r="S194" s="591">
        <v>789047</v>
      </c>
      <c r="T194" s="592">
        <v>-32111</v>
      </c>
      <c r="U194" s="592">
        <v>756935</v>
      </c>
    </row>
    <row r="195" spans="1:21" x14ac:dyDescent="0.25">
      <c r="A195" s="587">
        <v>36004</v>
      </c>
      <c r="B195" s="588" t="s">
        <v>978</v>
      </c>
      <c r="C195" s="589">
        <v>2.1230000000000001E-4</v>
      </c>
      <c r="D195" s="589">
        <v>1.662E-4</v>
      </c>
      <c r="E195" s="590">
        <v>213964.6</v>
      </c>
      <c r="F195" s="590">
        <v>612480</v>
      </c>
      <c r="G195" s="590">
        <v>1951256</v>
      </c>
      <c r="H195" s="590"/>
      <c r="I195" s="591">
        <v>0</v>
      </c>
      <c r="J195" s="591">
        <v>1116360</v>
      </c>
      <c r="K195" s="591">
        <v>287763</v>
      </c>
      <c r="L195" s="590">
        <v>540573</v>
      </c>
      <c r="M195" s="590"/>
      <c r="N195" s="591">
        <v>92219</v>
      </c>
      <c r="O195" s="591">
        <v>420479</v>
      </c>
      <c r="P195" s="591">
        <v>0</v>
      </c>
      <c r="Q195" s="590">
        <v>0</v>
      </c>
      <c r="R195" s="590"/>
      <c r="S195" s="591">
        <v>373833</v>
      </c>
      <c r="T195" s="592">
        <v>230231</v>
      </c>
      <c r="U195" s="592">
        <v>604065</v>
      </c>
    </row>
    <row r="196" spans="1:21" x14ac:dyDescent="0.25">
      <c r="A196" s="587">
        <v>36005</v>
      </c>
      <c r="B196" s="588" t="s">
        <v>979</v>
      </c>
      <c r="C196" s="589">
        <v>5.0835000000000003E-3</v>
      </c>
      <c r="D196" s="589">
        <v>4.8573000000000002E-3</v>
      </c>
      <c r="E196" s="590">
        <v>6530099</v>
      </c>
      <c r="F196" s="590">
        <v>17900112</v>
      </c>
      <c r="G196" s="590">
        <v>46722616</v>
      </c>
      <c r="H196" s="590"/>
      <c r="I196" s="591">
        <v>0</v>
      </c>
      <c r="J196" s="591">
        <v>26731112</v>
      </c>
      <c r="K196" s="591">
        <v>6890450</v>
      </c>
      <c r="L196" s="590">
        <v>2208480</v>
      </c>
      <c r="M196" s="590"/>
      <c r="N196" s="591">
        <v>2208176</v>
      </c>
      <c r="O196" s="591">
        <v>10068329</v>
      </c>
      <c r="P196" s="591">
        <v>0</v>
      </c>
      <c r="Q196" s="590">
        <v>0</v>
      </c>
      <c r="R196" s="590"/>
      <c r="S196" s="591">
        <v>8951393</v>
      </c>
      <c r="T196" s="592">
        <v>866971</v>
      </c>
      <c r="U196" s="592">
        <v>9818364</v>
      </c>
    </row>
    <row r="197" spans="1:21" x14ac:dyDescent="0.25">
      <c r="A197" s="587">
        <v>36006</v>
      </c>
      <c r="B197" s="588" t="s">
        <v>980</v>
      </c>
      <c r="C197" s="589">
        <v>5.3390000000000002E-4</v>
      </c>
      <c r="D197" s="589">
        <v>5.419E-4</v>
      </c>
      <c r="E197" s="590">
        <v>574383.54</v>
      </c>
      <c r="F197" s="590">
        <v>1997009</v>
      </c>
      <c r="G197" s="590">
        <v>4907093</v>
      </c>
      <c r="H197" s="590"/>
      <c r="I197" s="591">
        <v>0</v>
      </c>
      <c r="J197" s="591">
        <v>2807463</v>
      </c>
      <c r="K197" s="591">
        <v>723677</v>
      </c>
      <c r="L197" s="590">
        <v>29904</v>
      </c>
      <c r="M197" s="590"/>
      <c r="N197" s="591">
        <v>231916</v>
      </c>
      <c r="O197" s="591">
        <v>1057437</v>
      </c>
      <c r="P197" s="591">
        <v>0</v>
      </c>
      <c r="Q197" s="590">
        <v>162253</v>
      </c>
      <c r="R197" s="590"/>
      <c r="S197" s="591">
        <v>940130</v>
      </c>
      <c r="T197" s="592">
        <v>-34882</v>
      </c>
      <c r="U197" s="592">
        <v>905248</v>
      </c>
    </row>
    <row r="198" spans="1:21" x14ac:dyDescent="0.25">
      <c r="A198" s="587">
        <v>36007</v>
      </c>
      <c r="B198" s="588" t="s">
        <v>981</v>
      </c>
      <c r="C198" s="589">
        <v>1.7589999999999999E-4</v>
      </c>
      <c r="D198" s="589">
        <v>1.8760000000000001E-4</v>
      </c>
      <c r="E198" s="590">
        <v>203084.61</v>
      </c>
      <c r="F198" s="590">
        <v>691343</v>
      </c>
      <c r="G198" s="590">
        <v>1616703</v>
      </c>
      <c r="H198" s="590"/>
      <c r="I198" s="591">
        <v>0</v>
      </c>
      <c r="J198" s="591">
        <v>924954</v>
      </c>
      <c r="K198" s="591">
        <v>238424</v>
      </c>
      <c r="L198" s="590">
        <v>19155</v>
      </c>
      <c r="M198" s="590"/>
      <c r="N198" s="591">
        <v>76408</v>
      </c>
      <c r="O198" s="591">
        <v>348386</v>
      </c>
      <c r="P198" s="591">
        <v>0</v>
      </c>
      <c r="Q198" s="590">
        <v>62572</v>
      </c>
      <c r="R198" s="590"/>
      <c r="S198" s="591">
        <v>309737</v>
      </c>
      <c r="T198" s="592">
        <v>-7762</v>
      </c>
      <c r="U198" s="592">
        <v>301975</v>
      </c>
    </row>
    <row r="199" spans="1:21" x14ac:dyDescent="0.25">
      <c r="A199" s="587">
        <v>36008</v>
      </c>
      <c r="B199" s="588" t="s">
        <v>982</v>
      </c>
      <c r="C199" s="589">
        <v>5.4390000000000005E-4</v>
      </c>
      <c r="D199" s="589">
        <v>5.4699999999999996E-4</v>
      </c>
      <c r="E199" s="590">
        <v>549609</v>
      </c>
      <c r="F199" s="590">
        <v>2015803</v>
      </c>
      <c r="G199" s="590">
        <v>4999003</v>
      </c>
      <c r="H199" s="590"/>
      <c r="I199" s="591">
        <v>0</v>
      </c>
      <c r="J199" s="591">
        <v>2860048</v>
      </c>
      <c r="K199" s="591">
        <v>737231</v>
      </c>
      <c r="L199" s="590">
        <v>30712</v>
      </c>
      <c r="M199" s="590"/>
      <c r="N199" s="591">
        <v>236260</v>
      </c>
      <c r="O199" s="591">
        <v>1077243</v>
      </c>
      <c r="P199" s="591">
        <v>0</v>
      </c>
      <c r="Q199" s="590">
        <v>121488</v>
      </c>
      <c r="R199" s="590"/>
      <c r="S199" s="591">
        <v>957738</v>
      </c>
      <c r="T199" s="592">
        <v>-17949</v>
      </c>
      <c r="U199" s="592">
        <v>939790</v>
      </c>
    </row>
    <row r="200" spans="1:21" x14ac:dyDescent="0.25">
      <c r="A200" s="587">
        <v>36009</v>
      </c>
      <c r="B200" s="588" t="s">
        <v>983</v>
      </c>
      <c r="C200" s="589">
        <v>1.7899999999999999E-4</v>
      </c>
      <c r="D200" s="589">
        <v>1.551E-4</v>
      </c>
      <c r="E200" s="590">
        <v>178529.76</v>
      </c>
      <c r="F200" s="590">
        <v>571574</v>
      </c>
      <c r="G200" s="590">
        <v>1645195</v>
      </c>
      <c r="H200" s="590"/>
      <c r="I200" s="591">
        <v>0</v>
      </c>
      <c r="J200" s="591">
        <v>941255</v>
      </c>
      <c r="K200" s="591">
        <v>242626</v>
      </c>
      <c r="L200" s="590">
        <v>220522</v>
      </c>
      <c r="M200" s="590"/>
      <c r="N200" s="591">
        <v>77754</v>
      </c>
      <c r="O200" s="591">
        <v>354525.61</v>
      </c>
      <c r="P200" s="591">
        <v>0</v>
      </c>
      <c r="Q200" s="590">
        <v>0</v>
      </c>
      <c r="R200" s="590"/>
      <c r="S200" s="591">
        <v>315196</v>
      </c>
      <c r="T200" s="592">
        <v>86689</v>
      </c>
      <c r="U200" s="592">
        <v>401885</v>
      </c>
    </row>
    <row r="201" spans="1:21" x14ac:dyDescent="0.25">
      <c r="A201" s="587">
        <v>36100</v>
      </c>
      <c r="B201" s="588" t="s">
        <v>984</v>
      </c>
      <c r="C201" s="589">
        <v>7.7249999999999997E-4</v>
      </c>
      <c r="D201" s="589">
        <v>7.8470000000000005E-4</v>
      </c>
      <c r="E201" s="590">
        <v>1025991.67</v>
      </c>
      <c r="F201" s="590">
        <v>2891775</v>
      </c>
      <c r="G201" s="590">
        <v>7100073</v>
      </c>
      <c r="H201" s="590"/>
      <c r="I201" s="591">
        <v>0</v>
      </c>
      <c r="J201" s="591">
        <v>4062119</v>
      </c>
      <c r="K201" s="591">
        <v>1047088</v>
      </c>
      <c r="L201" s="590">
        <v>8863</v>
      </c>
      <c r="M201" s="590"/>
      <c r="N201" s="591">
        <v>335559</v>
      </c>
      <c r="O201" s="591">
        <v>1530006</v>
      </c>
      <c r="P201" s="591">
        <v>0</v>
      </c>
      <c r="Q201" s="590">
        <v>84839</v>
      </c>
      <c r="R201" s="590"/>
      <c r="S201" s="591">
        <v>1360274</v>
      </c>
      <c r="T201" s="592">
        <v>-41521</v>
      </c>
      <c r="U201" s="592">
        <v>1318753</v>
      </c>
    </row>
    <row r="202" spans="1:21" x14ac:dyDescent="0.25">
      <c r="A202" s="587">
        <v>36102</v>
      </c>
      <c r="B202" s="588" t="s">
        <v>985</v>
      </c>
      <c r="C202" s="589">
        <v>1.615E-4</v>
      </c>
      <c r="D202" s="589">
        <v>1.21E-4</v>
      </c>
      <c r="E202" s="590">
        <v>166733.16</v>
      </c>
      <c r="F202" s="590">
        <v>445909</v>
      </c>
      <c r="G202" s="590">
        <v>1484352</v>
      </c>
      <c r="H202" s="590"/>
      <c r="I202" s="591">
        <v>0</v>
      </c>
      <c r="J202" s="591">
        <v>849233</v>
      </c>
      <c r="K202" s="591">
        <v>218906</v>
      </c>
      <c r="L202" s="590">
        <v>111668</v>
      </c>
      <c r="M202" s="590"/>
      <c r="N202" s="591">
        <v>70153</v>
      </c>
      <c r="O202" s="591">
        <v>319865</v>
      </c>
      <c r="P202" s="591">
        <v>0</v>
      </c>
      <c r="Q202" s="590">
        <v>164069</v>
      </c>
      <c r="R202" s="590"/>
      <c r="S202" s="591">
        <v>284381</v>
      </c>
      <c r="T202" s="592">
        <v>-33704</v>
      </c>
      <c r="U202" s="592">
        <v>250677</v>
      </c>
    </row>
    <row r="203" spans="1:21" x14ac:dyDescent="0.25">
      <c r="A203" s="587">
        <v>36105</v>
      </c>
      <c r="B203" s="588" t="s">
        <v>986</v>
      </c>
      <c r="C203" s="589">
        <v>4.1159999999999998E-4</v>
      </c>
      <c r="D203" s="589">
        <v>4.0910000000000002E-4</v>
      </c>
      <c r="E203" s="590">
        <v>573322</v>
      </c>
      <c r="F203" s="590">
        <v>1507615</v>
      </c>
      <c r="G203" s="590">
        <v>3783029</v>
      </c>
      <c r="H203" s="590"/>
      <c r="I203" s="591">
        <v>0</v>
      </c>
      <c r="J203" s="591">
        <v>2164360</v>
      </c>
      <c r="K203" s="591">
        <v>557905</v>
      </c>
      <c r="L203" s="590">
        <v>47372</v>
      </c>
      <c r="M203" s="590"/>
      <c r="N203" s="591">
        <v>178791</v>
      </c>
      <c r="O203" s="591">
        <v>815211</v>
      </c>
      <c r="P203" s="591">
        <v>0</v>
      </c>
      <c r="Q203" s="590">
        <v>27700</v>
      </c>
      <c r="R203" s="590"/>
      <c r="S203" s="591">
        <v>724775</v>
      </c>
      <c r="T203" s="592">
        <v>-1530</v>
      </c>
      <c r="U203" s="592">
        <v>723245</v>
      </c>
    </row>
    <row r="204" spans="1:21" x14ac:dyDescent="0.25">
      <c r="A204" s="587">
        <v>36200</v>
      </c>
      <c r="B204" s="588" t="s">
        <v>987</v>
      </c>
      <c r="C204" s="589">
        <v>1.632E-3</v>
      </c>
      <c r="D204" s="589">
        <v>1.5869E-3</v>
      </c>
      <c r="E204" s="590">
        <v>2089501.46</v>
      </c>
      <c r="F204" s="590">
        <v>5848041</v>
      </c>
      <c r="G204" s="590">
        <v>14999766</v>
      </c>
      <c r="H204" s="590"/>
      <c r="I204" s="591">
        <v>0</v>
      </c>
      <c r="J204" s="591">
        <v>8581720</v>
      </c>
      <c r="K204" s="591">
        <v>2212101</v>
      </c>
      <c r="L204" s="590">
        <v>200554</v>
      </c>
      <c r="M204" s="590"/>
      <c r="N204" s="591">
        <v>708910</v>
      </c>
      <c r="O204" s="591">
        <v>3232322.88</v>
      </c>
      <c r="P204" s="591">
        <v>0</v>
      </c>
      <c r="Q204" s="590">
        <v>31572</v>
      </c>
      <c r="R204" s="590"/>
      <c r="S204" s="591">
        <v>2873743</v>
      </c>
      <c r="T204" s="592">
        <v>42954</v>
      </c>
      <c r="U204" s="592">
        <v>2916697</v>
      </c>
    </row>
    <row r="205" spans="1:21" x14ac:dyDescent="0.25">
      <c r="A205" s="587">
        <v>36205</v>
      </c>
      <c r="B205" s="588" t="s">
        <v>988</v>
      </c>
      <c r="C205" s="589">
        <v>2.812E-4</v>
      </c>
      <c r="D205" s="589">
        <v>2.611E-4</v>
      </c>
      <c r="E205" s="590">
        <v>364701</v>
      </c>
      <c r="F205" s="590">
        <v>962205</v>
      </c>
      <c r="G205" s="590">
        <v>2584518</v>
      </c>
      <c r="H205" s="590"/>
      <c r="I205" s="591">
        <v>0</v>
      </c>
      <c r="J205" s="591">
        <v>1478664</v>
      </c>
      <c r="K205" s="591">
        <v>381154</v>
      </c>
      <c r="L205" s="590">
        <v>125578</v>
      </c>
      <c r="M205" s="590"/>
      <c r="N205" s="591">
        <v>122148</v>
      </c>
      <c r="O205" s="591">
        <v>556942</v>
      </c>
      <c r="P205" s="591">
        <v>0</v>
      </c>
      <c r="Q205" s="590">
        <v>0</v>
      </c>
      <c r="R205" s="590"/>
      <c r="S205" s="591">
        <v>495157</v>
      </c>
      <c r="T205" s="592">
        <v>44246</v>
      </c>
      <c r="U205" s="592">
        <v>539403</v>
      </c>
    </row>
    <row r="206" spans="1:21" x14ac:dyDescent="0.25">
      <c r="A206" s="587">
        <v>36300</v>
      </c>
      <c r="B206" s="588" t="s">
        <v>989</v>
      </c>
      <c r="C206" s="589">
        <v>5.0688E-3</v>
      </c>
      <c r="D206" s="589">
        <v>4.8706000000000001E-3</v>
      </c>
      <c r="E206" s="590">
        <v>6246830</v>
      </c>
      <c r="F206" s="590">
        <v>17949125</v>
      </c>
      <c r="G206" s="590">
        <v>46587508</v>
      </c>
      <c r="H206" s="590"/>
      <c r="I206" s="591">
        <v>0</v>
      </c>
      <c r="J206" s="591">
        <v>26653813</v>
      </c>
      <c r="K206" s="591">
        <v>6870525</v>
      </c>
      <c r="L206" s="590">
        <v>600254</v>
      </c>
      <c r="M206" s="590"/>
      <c r="N206" s="591">
        <v>2201790</v>
      </c>
      <c r="O206" s="591">
        <v>10039215</v>
      </c>
      <c r="P206" s="591">
        <v>0</v>
      </c>
      <c r="Q206" s="590">
        <v>112531</v>
      </c>
      <c r="R206" s="590"/>
      <c r="S206" s="591">
        <v>8925508</v>
      </c>
      <c r="T206" s="592">
        <v>115233</v>
      </c>
      <c r="U206" s="592">
        <v>9040741</v>
      </c>
    </row>
    <row r="207" spans="1:21" x14ac:dyDescent="0.25">
      <c r="A207" s="587">
        <v>36301</v>
      </c>
      <c r="B207" s="588" t="s">
        <v>990</v>
      </c>
      <c r="C207" s="589">
        <v>6.3499999999999999E-5</v>
      </c>
      <c r="D207" s="589">
        <v>5.0699999999999999E-5</v>
      </c>
      <c r="E207" s="590">
        <v>66605.39</v>
      </c>
      <c r="F207" s="590">
        <v>186840</v>
      </c>
      <c r="G207" s="590">
        <v>583631</v>
      </c>
      <c r="H207" s="590"/>
      <c r="I207" s="591">
        <v>0</v>
      </c>
      <c r="J207" s="591">
        <v>333909</v>
      </c>
      <c r="K207" s="591">
        <v>86071</v>
      </c>
      <c r="L207" s="590">
        <v>39647</v>
      </c>
      <c r="M207" s="590"/>
      <c r="N207" s="591">
        <v>27583</v>
      </c>
      <c r="O207" s="591">
        <v>125767</v>
      </c>
      <c r="P207" s="591">
        <v>0</v>
      </c>
      <c r="Q207" s="590">
        <v>0</v>
      </c>
      <c r="R207" s="590"/>
      <c r="S207" s="591">
        <v>111815</v>
      </c>
      <c r="T207" s="592">
        <v>12852</v>
      </c>
      <c r="U207" s="592">
        <v>124668</v>
      </c>
    </row>
    <row r="208" spans="1:21" x14ac:dyDescent="0.25">
      <c r="A208" s="587">
        <v>36302</v>
      </c>
      <c r="B208" s="588" t="s">
        <v>991</v>
      </c>
      <c r="C208" s="589">
        <v>1.2420000000000001E-4</v>
      </c>
      <c r="D208" s="589">
        <v>1.2669999999999999E-4</v>
      </c>
      <c r="E208" s="590">
        <v>132633</v>
      </c>
      <c r="F208" s="590">
        <v>466915</v>
      </c>
      <c r="G208" s="590">
        <v>1141526</v>
      </c>
      <c r="H208" s="590"/>
      <c r="I208" s="591">
        <v>0</v>
      </c>
      <c r="J208" s="591">
        <v>653094</v>
      </c>
      <c r="K208" s="591">
        <v>168347</v>
      </c>
      <c r="L208" s="590">
        <v>67426</v>
      </c>
      <c r="M208" s="590"/>
      <c r="N208" s="591">
        <v>53950</v>
      </c>
      <c r="O208" s="591">
        <v>245989</v>
      </c>
      <c r="P208" s="591">
        <v>0</v>
      </c>
      <c r="Q208" s="590">
        <v>28473</v>
      </c>
      <c r="R208" s="590"/>
      <c r="S208" s="591">
        <v>218700</v>
      </c>
      <c r="T208" s="592">
        <v>20897</v>
      </c>
      <c r="U208" s="592">
        <v>239598</v>
      </c>
    </row>
    <row r="209" spans="1:21" x14ac:dyDescent="0.25">
      <c r="A209" s="587">
        <v>36305</v>
      </c>
      <c r="B209" s="588" t="s">
        <v>992</v>
      </c>
      <c r="C209" s="589">
        <v>9.9630000000000009E-4</v>
      </c>
      <c r="D209" s="589">
        <v>9.7300000000000002E-4</v>
      </c>
      <c r="E209" s="590">
        <v>1392474.15</v>
      </c>
      <c r="F209" s="590">
        <v>3585698</v>
      </c>
      <c r="G209" s="590">
        <v>9157026</v>
      </c>
      <c r="H209" s="590"/>
      <c r="I209" s="591">
        <v>0</v>
      </c>
      <c r="J209" s="591">
        <v>5238951</v>
      </c>
      <c r="K209" s="591">
        <v>1350439</v>
      </c>
      <c r="L209" s="590">
        <v>276407</v>
      </c>
      <c r="M209" s="590"/>
      <c r="N209" s="591">
        <v>432774</v>
      </c>
      <c r="O209" s="591">
        <v>1973262</v>
      </c>
      <c r="P209" s="591">
        <v>0</v>
      </c>
      <c r="Q209" s="590">
        <v>58199</v>
      </c>
      <c r="R209" s="590"/>
      <c r="S209" s="591">
        <v>1754357</v>
      </c>
      <c r="T209" s="592">
        <v>56125</v>
      </c>
      <c r="U209" s="592">
        <v>1810481</v>
      </c>
    </row>
    <row r="210" spans="1:21" x14ac:dyDescent="0.25">
      <c r="A210" s="587">
        <v>36400</v>
      </c>
      <c r="B210" s="588" t="s">
        <v>993</v>
      </c>
      <c r="C210" s="589">
        <v>5.4936000000000004E-3</v>
      </c>
      <c r="D210" s="589">
        <v>5.4408E-3</v>
      </c>
      <c r="E210" s="590">
        <v>7057843</v>
      </c>
      <c r="F210" s="590">
        <v>20050425</v>
      </c>
      <c r="G210" s="590">
        <v>50491859</v>
      </c>
      <c r="H210" s="590"/>
      <c r="I210" s="591">
        <v>0</v>
      </c>
      <c r="J210" s="591">
        <v>28887585</v>
      </c>
      <c r="K210" s="591">
        <v>7446322</v>
      </c>
      <c r="L210" s="590">
        <v>238394</v>
      </c>
      <c r="M210" s="590"/>
      <c r="N210" s="591">
        <v>2386315</v>
      </c>
      <c r="O210" s="591">
        <v>10880569</v>
      </c>
      <c r="P210" s="591">
        <v>0</v>
      </c>
      <c r="Q210" s="590">
        <v>1316974</v>
      </c>
      <c r="R210" s="590"/>
      <c r="S210" s="591">
        <v>9673526</v>
      </c>
      <c r="T210" s="592">
        <v>-633239</v>
      </c>
      <c r="U210" s="592">
        <v>9040287</v>
      </c>
    </row>
    <row r="211" spans="1:21" x14ac:dyDescent="0.25">
      <c r="A211" s="587">
        <v>36405</v>
      </c>
      <c r="B211" s="588" t="s">
        <v>994</v>
      </c>
      <c r="C211" s="589">
        <v>9.4269999999999998E-4</v>
      </c>
      <c r="D211" s="589">
        <v>9.0160000000000001E-4</v>
      </c>
      <c r="E211" s="590">
        <v>1192167.48</v>
      </c>
      <c r="F211" s="590">
        <v>3322575</v>
      </c>
      <c r="G211" s="590">
        <v>8664387</v>
      </c>
      <c r="H211" s="590"/>
      <c r="I211" s="591">
        <v>0</v>
      </c>
      <c r="J211" s="591">
        <v>4957100</v>
      </c>
      <c r="K211" s="591">
        <v>1277786</v>
      </c>
      <c r="L211" s="590">
        <v>323451</v>
      </c>
      <c r="M211" s="590"/>
      <c r="N211" s="591">
        <v>409491</v>
      </c>
      <c r="O211" s="591">
        <v>1867102</v>
      </c>
      <c r="P211" s="591">
        <v>0</v>
      </c>
      <c r="Q211" s="590">
        <v>0</v>
      </c>
      <c r="R211" s="590"/>
      <c r="S211" s="591">
        <v>1659974</v>
      </c>
      <c r="T211" s="592">
        <v>137975</v>
      </c>
      <c r="U211" s="592">
        <v>1797949</v>
      </c>
    </row>
    <row r="212" spans="1:21" x14ac:dyDescent="0.25">
      <c r="A212" s="587">
        <v>36500</v>
      </c>
      <c r="B212" s="588" t="s">
        <v>995</v>
      </c>
      <c r="C212" s="589">
        <v>1.07055E-2</v>
      </c>
      <c r="D212" s="589">
        <v>1.0474600000000001E-2</v>
      </c>
      <c r="E212" s="590">
        <v>12914489</v>
      </c>
      <c r="F212" s="590">
        <v>38600975</v>
      </c>
      <c r="G212" s="590">
        <v>98394604</v>
      </c>
      <c r="H212" s="590"/>
      <c r="I212" s="591">
        <v>0</v>
      </c>
      <c r="J212" s="591">
        <v>56293876</v>
      </c>
      <c r="K212" s="591">
        <v>14510813</v>
      </c>
      <c r="L212" s="590">
        <v>1359270</v>
      </c>
      <c r="M212" s="590"/>
      <c r="N212" s="591">
        <v>4650266</v>
      </c>
      <c r="O212" s="591">
        <v>21203206</v>
      </c>
      <c r="P212" s="591">
        <v>0</v>
      </c>
      <c r="Q212" s="590">
        <v>0</v>
      </c>
      <c r="R212" s="590"/>
      <c r="S212" s="591">
        <v>18851015</v>
      </c>
      <c r="T212" s="592">
        <v>594246</v>
      </c>
      <c r="U212" s="592">
        <v>19445261</v>
      </c>
    </row>
    <row r="213" spans="1:21" x14ac:dyDescent="0.25">
      <c r="A213" s="587">
        <v>36501</v>
      </c>
      <c r="B213" s="588" t="s">
        <v>996</v>
      </c>
      <c r="C213" s="589">
        <v>1.205E-4</v>
      </c>
      <c r="D213" s="589">
        <v>1.187E-4</v>
      </c>
      <c r="E213" s="590">
        <v>138944</v>
      </c>
      <c r="F213" s="590">
        <v>437433</v>
      </c>
      <c r="G213" s="590">
        <v>1107519</v>
      </c>
      <c r="H213" s="590"/>
      <c r="I213" s="591">
        <v>0</v>
      </c>
      <c r="J213" s="591">
        <v>633638</v>
      </c>
      <c r="K213" s="591">
        <v>163332</v>
      </c>
      <c r="L213" s="590">
        <v>23571</v>
      </c>
      <c r="M213" s="590"/>
      <c r="N213" s="591">
        <v>52343</v>
      </c>
      <c r="O213" s="591">
        <v>238661</v>
      </c>
      <c r="P213" s="591">
        <v>0</v>
      </c>
      <c r="Q213" s="590">
        <v>4857</v>
      </c>
      <c r="R213" s="590"/>
      <c r="S213" s="591">
        <v>212185</v>
      </c>
      <c r="T213" s="592">
        <v>8078</v>
      </c>
      <c r="U213" s="592">
        <v>220263</v>
      </c>
    </row>
    <row r="214" spans="1:21" x14ac:dyDescent="0.25">
      <c r="A214" s="587">
        <v>36502</v>
      </c>
      <c r="B214" s="588" t="s">
        <v>997</v>
      </c>
      <c r="C214" s="589">
        <v>5.1600000000000001E-5</v>
      </c>
      <c r="D214" s="589">
        <v>4.3699999999999998E-5</v>
      </c>
      <c r="E214" s="590">
        <v>51913</v>
      </c>
      <c r="F214" s="590">
        <v>161043</v>
      </c>
      <c r="G214" s="590">
        <v>474257</v>
      </c>
      <c r="H214" s="590"/>
      <c r="I214" s="591">
        <v>0</v>
      </c>
      <c r="J214" s="591">
        <v>271334</v>
      </c>
      <c r="K214" s="591">
        <v>69941</v>
      </c>
      <c r="L214" s="590">
        <v>28723</v>
      </c>
      <c r="M214" s="590"/>
      <c r="N214" s="591">
        <v>22414</v>
      </c>
      <c r="O214" s="591">
        <v>102198</v>
      </c>
      <c r="P214" s="591">
        <v>0</v>
      </c>
      <c r="Q214" s="590">
        <v>8746</v>
      </c>
      <c r="R214" s="590"/>
      <c r="S214" s="591">
        <v>90861</v>
      </c>
      <c r="T214" s="592">
        <v>8075</v>
      </c>
      <c r="U214" s="592">
        <v>98936</v>
      </c>
    </row>
    <row r="215" spans="1:21" x14ac:dyDescent="0.25">
      <c r="A215" s="587">
        <v>36505</v>
      </c>
      <c r="B215" s="588" t="s">
        <v>998</v>
      </c>
      <c r="C215" s="589">
        <v>2.1451999999999999E-3</v>
      </c>
      <c r="D215" s="589">
        <v>2.0844000000000001E-3</v>
      </c>
      <c r="E215" s="590">
        <v>2838462.55</v>
      </c>
      <c r="F215" s="590">
        <v>7681427</v>
      </c>
      <c r="G215" s="590">
        <v>19716604</v>
      </c>
      <c r="H215" s="590"/>
      <c r="I215" s="591">
        <v>0</v>
      </c>
      <c r="J215" s="591">
        <v>11280335</v>
      </c>
      <c r="K215" s="591">
        <v>2907720</v>
      </c>
      <c r="L215" s="590">
        <v>530581</v>
      </c>
      <c r="M215" s="590"/>
      <c r="N215" s="591">
        <v>931834</v>
      </c>
      <c r="O215" s="591">
        <v>4248762</v>
      </c>
      <c r="P215" s="591">
        <v>0</v>
      </c>
      <c r="Q215" s="590">
        <v>191590</v>
      </c>
      <c r="R215" s="590"/>
      <c r="S215" s="591">
        <v>3777423</v>
      </c>
      <c r="T215" s="592">
        <v>141962</v>
      </c>
      <c r="U215" s="592">
        <v>3919384</v>
      </c>
    </row>
    <row r="216" spans="1:21" x14ac:dyDescent="0.25">
      <c r="A216" s="587">
        <v>36600</v>
      </c>
      <c r="B216" s="588" t="s">
        <v>999</v>
      </c>
      <c r="C216" s="589">
        <v>7.938E-4</v>
      </c>
      <c r="D216" s="589">
        <v>8.3319999999999998E-4</v>
      </c>
      <c r="E216" s="590">
        <v>1095362.55</v>
      </c>
      <c r="F216" s="590">
        <v>3070507</v>
      </c>
      <c r="G216" s="590">
        <v>7295842</v>
      </c>
      <c r="H216" s="590"/>
      <c r="I216" s="591">
        <v>0</v>
      </c>
      <c r="J216" s="591">
        <v>4174123</v>
      </c>
      <c r="K216" s="591">
        <v>1075959</v>
      </c>
      <c r="L216" s="590">
        <v>0</v>
      </c>
      <c r="M216" s="590"/>
      <c r="N216" s="591">
        <v>344812</v>
      </c>
      <c r="O216" s="591">
        <v>1572192</v>
      </c>
      <c r="P216" s="591">
        <v>0</v>
      </c>
      <c r="Q216" s="590">
        <v>237782</v>
      </c>
      <c r="R216" s="590"/>
      <c r="S216" s="591">
        <v>1397780</v>
      </c>
      <c r="T216" s="592">
        <v>-96293</v>
      </c>
      <c r="U216" s="592">
        <v>1301487</v>
      </c>
    </row>
    <row r="217" spans="1:21" x14ac:dyDescent="0.25">
      <c r="A217" s="587">
        <v>36601</v>
      </c>
      <c r="B217" s="588" t="s">
        <v>1000</v>
      </c>
      <c r="C217" s="589">
        <v>4.0440000000000002E-4</v>
      </c>
      <c r="D217" s="589">
        <v>3.6059999999999998E-4</v>
      </c>
      <c r="E217" s="590">
        <v>431383.73</v>
      </c>
      <c r="F217" s="590">
        <v>1328882</v>
      </c>
      <c r="G217" s="590">
        <v>3716854</v>
      </c>
      <c r="H217" s="590"/>
      <c r="I217" s="591">
        <v>0</v>
      </c>
      <c r="J217" s="591">
        <v>2126500</v>
      </c>
      <c r="K217" s="591">
        <v>548146</v>
      </c>
      <c r="L217" s="590">
        <v>255952</v>
      </c>
      <c r="M217" s="590"/>
      <c r="N217" s="591">
        <v>175664</v>
      </c>
      <c r="O217" s="591">
        <v>800951</v>
      </c>
      <c r="P217" s="591">
        <v>0</v>
      </c>
      <c r="Q217" s="590">
        <v>0</v>
      </c>
      <c r="R217" s="590"/>
      <c r="S217" s="591">
        <v>712097</v>
      </c>
      <c r="T217" s="592">
        <v>97730</v>
      </c>
      <c r="U217" s="592">
        <v>809827</v>
      </c>
    </row>
    <row r="218" spans="1:21" x14ac:dyDescent="0.25">
      <c r="A218" s="587">
        <v>36700</v>
      </c>
      <c r="B218" s="588" t="s">
        <v>1001</v>
      </c>
      <c r="C218" s="589">
        <v>9.1280000000000007E-3</v>
      </c>
      <c r="D218" s="589">
        <v>9.4318000000000006E-3</v>
      </c>
      <c r="E218" s="590">
        <v>10969467</v>
      </c>
      <c r="F218" s="590">
        <v>34758050</v>
      </c>
      <c r="G218" s="590">
        <v>83895749</v>
      </c>
      <c r="H218" s="590"/>
      <c r="I218" s="591">
        <v>0</v>
      </c>
      <c r="J218" s="591">
        <v>47998739</v>
      </c>
      <c r="K218" s="591">
        <v>12372584</v>
      </c>
      <c r="L218" s="590">
        <v>1127334</v>
      </c>
      <c r="M218" s="590"/>
      <c r="N218" s="591">
        <v>3965030</v>
      </c>
      <c r="O218" s="591">
        <v>18078826</v>
      </c>
      <c r="P218" s="591">
        <v>0</v>
      </c>
      <c r="Q218" s="590">
        <v>1563328</v>
      </c>
      <c r="R218" s="590"/>
      <c r="S218" s="591">
        <v>16073240</v>
      </c>
      <c r="T218" s="592">
        <v>37449</v>
      </c>
      <c r="U218" s="592">
        <v>16110689</v>
      </c>
    </row>
    <row r="219" spans="1:21" x14ac:dyDescent="0.25">
      <c r="A219" s="587">
        <v>36701</v>
      </c>
      <c r="B219" s="588" t="s">
        <v>1002</v>
      </c>
      <c r="C219" s="589">
        <v>4.6300000000000001E-5</v>
      </c>
      <c r="D219" s="589">
        <v>3.3599999999999997E-5</v>
      </c>
      <c r="E219" s="590">
        <v>43809.16</v>
      </c>
      <c r="F219" s="590">
        <v>123823</v>
      </c>
      <c r="G219" s="590">
        <v>425545</v>
      </c>
      <c r="H219" s="590"/>
      <c r="I219" s="591">
        <v>0</v>
      </c>
      <c r="J219" s="591">
        <v>243464</v>
      </c>
      <c r="K219" s="591">
        <v>62758</v>
      </c>
      <c r="L219" s="590">
        <v>114561</v>
      </c>
      <c r="M219" s="590"/>
      <c r="N219" s="591">
        <v>20112</v>
      </c>
      <c r="O219" s="591">
        <v>91701</v>
      </c>
      <c r="P219" s="591">
        <v>0</v>
      </c>
      <c r="Q219" s="590">
        <v>0</v>
      </c>
      <c r="R219" s="590"/>
      <c r="S219" s="591">
        <v>81528</v>
      </c>
      <c r="T219" s="592">
        <v>49482</v>
      </c>
      <c r="U219" s="592">
        <v>131011</v>
      </c>
    </row>
    <row r="220" spans="1:21" x14ac:dyDescent="0.25">
      <c r="A220" s="587">
        <v>36705</v>
      </c>
      <c r="B220" s="588" t="s">
        <v>1003</v>
      </c>
      <c r="C220" s="589">
        <v>1.0365999999999999E-3</v>
      </c>
      <c r="D220" s="589">
        <v>1.0287E-3</v>
      </c>
      <c r="E220" s="590">
        <v>1348858.14</v>
      </c>
      <c r="F220" s="590">
        <v>3790963</v>
      </c>
      <c r="G220" s="590">
        <v>9527425</v>
      </c>
      <c r="H220" s="590"/>
      <c r="I220" s="591">
        <v>0</v>
      </c>
      <c r="J220" s="591">
        <v>5450865</v>
      </c>
      <c r="K220" s="591">
        <v>1405064</v>
      </c>
      <c r="L220" s="590">
        <v>85054</v>
      </c>
      <c r="M220" s="590"/>
      <c r="N220" s="591">
        <v>450279</v>
      </c>
      <c r="O220" s="591">
        <v>2053080</v>
      </c>
      <c r="P220" s="591">
        <v>0</v>
      </c>
      <c r="Q220" s="590">
        <v>56437</v>
      </c>
      <c r="R220" s="590"/>
      <c r="S220" s="591">
        <v>1825320</v>
      </c>
      <c r="T220" s="592">
        <v>-3873</v>
      </c>
      <c r="U220" s="592">
        <v>1821447</v>
      </c>
    </row>
    <row r="221" spans="1:21" x14ac:dyDescent="0.25">
      <c r="A221" s="587">
        <v>36800</v>
      </c>
      <c r="B221" s="588" t="s">
        <v>1004</v>
      </c>
      <c r="C221" s="589">
        <v>3.4369000000000001E-3</v>
      </c>
      <c r="D221" s="589">
        <v>3.3264000000000002E-3</v>
      </c>
      <c r="E221" s="590">
        <v>4310027.09</v>
      </c>
      <c r="F221" s="590">
        <v>12258443</v>
      </c>
      <c r="G221" s="590">
        <v>31588661</v>
      </c>
      <c r="H221" s="590"/>
      <c r="I221" s="591">
        <v>0</v>
      </c>
      <c r="J221" s="591">
        <v>18072619</v>
      </c>
      <c r="K221" s="591">
        <v>4658560</v>
      </c>
      <c r="L221" s="590">
        <v>496977</v>
      </c>
      <c r="M221" s="590"/>
      <c r="N221" s="591">
        <v>1492924</v>
      </c>
      <c r="O221" s="591">
        <v>6807090</v>
      </c>
      <c r="P221" s="591">
        <v>0</v>
      </c>
      <c r="Q221" s="590">
        <v>69208</v>
      </c>
      <c r="R221" s="590"/>
      <c r="S221" s="591">
        <v>6051941</v>
      </c>
      <c r="T221" s="592">
        <v>119064</v>
      </c>
      <c r="U221" s="592">
        <v>6171005</v>
      </c>
    </row>
    <row r="222" spans="1:21" x14ac:dyDescent="0.25">
      <c r="A222" s="587">
        <v>36801</v>
      </c>
      <c r="B222" s="588" t="s">
        <v>1005</v>
      </c>
      <c r="C222" s="589">
        <v>0</v>
      </c>
      <c r="D222" s="589">
        <v>5.8400000000000003E-5</v>
      </c>
      <c r="E222" s="590"/>
      <c r="F222" s="590">
        <v>215216</v>
      </c>
      <c r="G222" s="590">
        <v>0</v>
      </c>
      <c r="H222" s="590"/>
      <c r="I222" s="591">
        <v>0</v>
      </c>
      <c r="J222" s="591">
        <v>0</v>
      </c>
      <c r="K222" s="591">
        <v>0</v>
      </c>
      <c r="L222" s="590">
        <v>0</v>
      </c>
      <c r="M222" s="590"/>
      <c r="N222" s="591">
        <v>0</v>
      </c>
      <c r="O222" s="591">
        <v>0</v>
      </c>
      <c r="P222" s="591">
        <v>0</v>
      </c>
      <c r="Q222" s="590">
        <v>233338</v>
      </c>
      <c r="R222" s="590"/>
      <c r="S222" s="591">
        <v>0</v>
      </c>
      <c r="T222" s="592">
        <v>-70677</v>
      </c>
      <c r="U222" s="592">
        <v>-70677</v>
      </c>
    </row>
    <row r="223" spans="1:21" x14ac:dyDescent="0.25">
      <c r="A223" s="587">
        <v>36802</v>
      </c>
      <c r="B223" s="588" t="s">
        <v>1006</v>
      </c>
      <c r="C223" s="589">
        <v>9.0199999999999997E-5</v>
      </c>
      <c r="D223" s="589">
        <v>8.42E-5</v>
      </c>
      <c r="E223" s="590">
        <v>89375</v>
      </c>
      <c r="F223" s="590">
        <v>310294</v>
      </c>
      <c r="G223" s="590">
        <v>829031</v>
      </c>
      <c r="H223" s="590"/>
      <c r="I223" s="591">
        <v>0</v>
      </c>
      <c r="J223" s="591">
        <v>474308</v>
      </c>
      <c r="K223" s="591">
        <v>122262</v>
      </c>
      <c r="L223" s="590">
        <v>1278</v>
      </c>
      <c r="M223" s="590"/>
      <c r="N223" s="591">
        <v>39181</v>
      </c>
      <c r="O223" s="591">
        <v>178649</v>
      </c>
      <c r="P223" s="591">
        <v>0</v>
      </c>
      <c r="Q223" s="590">
        <v>43898</v>
      </c>
      <c r="R223" s="590"/>
      <c r="S223" s="591">
        <v>158831</v>
      </c>
      <c r="T223" s="592">
        <v>-20748</v>
      </c>
      <c r="U223" s="592">
        <v>138083</v>
      </c>
    </row>
    <row r="224" spans="1:21" x14ac:dyDescent="0.25">
      <c r="A224" s="587">
        <v>36810</v>
      </c>
      <c r="B224" s="588" t="s">
        <v>1007</v>
      </c>
      <c r="C224" s="589">
        <v>6.6347000000000003E-3</v>
      </c>
      <c r="D224" s="589">
        <v>6.4930999999999999E-3</v>
      </c>
      <c r="E224" s="590">
        <v>7899363</v>
      </c>
      <c r="F224" s="590">
        <v>23928359</v>
      </c>
      <c r="G224" s="590">
        <v>60979747</v>
      </c>
      <c r="H224" s="590"/>
      <c r="I224" s="591">
        <v>0</v>
      </c>
      <c r="J224" s="591">
        <v>34887953</v>
      </c>
      <c r="K224" s="591">
        <v>8993031</v>
      </c>
      <c r="L224" s="590">
        <v>507831</v>
      </c>
      <c r="M224" s="590"/>
      <c r="N224" s="591">
        <v>2881988</v>
      </c>
      <c r="O224" s="591">
        <v>13140620</v>
      </c>
      <c r="P224" s="591">
        <v>0</v>
      </c>
      <c r="Q224" s="590">
        <v>0</v>
      </c>
      <c r="R224" s="590"/>
      <c r="S224" s="591">
        <v>11682857</v>
      </c>
      <c r="T224" s="592">
        <v>190463</v>
      </c>
      <c r="U224" s="592">
        <v>11873321</v>
      </c>
    </row>
    <row r="225" spans="1:21" x14ac:dyDescent="0.25">
      <c r="A225" s="587">
        <v>36900</v>
      </c>
      <c r="B225" s="588" t="s">
        <v>1008</v>
      </c>
      <c r="C225" s="589">
        <v>6.5419999999999996E-4</v>
      </c>
      <c r="D225" s="589">
        <v>6.3560000000000005E-4</v>
      </c>
      <c r="E225" s="590">
        <v>827506.58</v>
      </c>
      <c r="F225" s="590">
        <v>2342312</v>
      </c>
      <c r="G225" s="590">
        <v>6012774</v>
      </c>
      <c r="H225" s="590"/>
      <c r="I225" s="591">
        <v>0</v>
      </c>
      <c r="J225" s="591">
        <v>3440050</v>
      </c>
      <c r="K225" s="591">
        <v>886738</v>
      </c>
      <c r="L225" s="590">
        <v>70923</v>
      </c>
      <c r="M225" s="590"/>
      <c r="N225" s="591">
        <v>284172</v>
      </c>
      <c r="O225" s="591">
        <v>1295702</v>
      </c>
      <c r="P225" s="591">
        <v>0</v>
      </c>
      <c r="Q225" s="590">
        <v>0</v>
      </c>
      <c r="R225" s="590"/>
      <c r="S225" s="591">
        <v>1151962</v>
      </c>
      <c r="T225" s="592">
        <v>22451</v>
      </c>
      <c r="U225" s="592">
        <v>1174413</v>
      </c>
    </row>
    <row r="226" spans="1:21" x14ac:dyDescent="0.25">
      <c r="A226" s="587">
        <v>36901</v>
      </c>
      <c r="B226" s="588" t="s">
        <v>1009</v>
      </c>
      <c r="C226" s="589">
        <v>2.1709999999999999E-4</v>
      </c>
      <c r="D226" s="589">
        <v>1.983E-4</v>
      </c>
      <c r="E226" s="590">
        <v>272212</v>
      </c>
      <c r="F226" s="590">
        <v>730775</v>
      </c>
      <c r="G226" s="590">
        <v>1995373</v>
      </c>
      <c r="H226" s="590"/>
      <c r="I226" s="591">
        <v>0</v>
      </c>
      <c r="J226" s="591">
        <v>1141600</v>
      </c>
      <c r="K226" s="591">
        <v>294269</v>
      </c>
      <c r="L226" s="590">
        <v>95725</v>
      </c>
      <c r="M226" s="590"/>
      <c r="N226" s="591">
        <v>94304</v>
      </c>
      <c r="O226" s="591">
        <v>429986</v>
      </c>
      <c r="P226" s="591">
        <v>0</v>
      </c>
      <c r="Q226" s="590">
        <v>885</v>
      </c>
      <c r="R226" s="590"/>
      <c r="S226" s="591">
        <v>382285</v>
      </c>
      <c r="T226" s="592">
        <v>30123</v>
      </c>
      <c r="U226" s="592">
        <v>412408</v>
      </c>
    </row>
    <row r="227" spans="1:21" x14ac:dyDescent="0.25">
      <c r="A227" s="587">
        <v>36905</v>
      </c>
      <c r="B227" s="588" t="s">
        <v>1010</v>
      </c>
      <c r="C227" s="589">
        <v>2.084E-4</v>
      </c>
      <c r="D227" s="589">
        <v>1.9870000000000001E-4</v>
      </c>
      <c r="E227" s="590">
        <v>299197</v>
      </c>
      <c r="F227" s="590">
        <v>732249</v>
      </c>
      <c r="G227" s="590">
        <v>1915411</v>
      </c>
      <c r="H227" s="590"/>
      <c r="I227" s="591">
        <v>0</v>
      </c>
      <c r="J227" s="591">
        <v>1095852</v>
      </c>
      <c r="K227" s="591">
        <v>282477</v>
      </c>
      <c r="L227" s="590">
        <v>79457</v>
      </c>
      <c r="M227" s="590"/>
      <c r="N227" s="591">
        <v>90525</v>
      </c>
      <c r="O227" s="591">
        <v>412755</v>
      </c>
      <c r="P227" s="591">
        <v>0</v>
      </c>
      <c r="Q227" s="590">
        <v>562</v>
      </c>
      <c r="R227" s="590"/>
      <c r="S227" s="591">
        <v>366966</v>
      </c>
      <c r="T227" s="592">
        <v>27728</v>
      </c>
      <c r="U227" s="592">
        <v>394693</v>
      </c>
    </row>
    <row r="228" spans="1:21" x14ac:dyDescent="0.25">
      <c r="A228" s="587">
        <v>37000</v>
      </c>
      <c r="B228" s="588" t="s">
        <v>1011</v>
      </c>
      <c r="C228" s="589">
        <v>2.2902999999999999E-3</v>
      </c>
      <c r="D228" s="589">
        <v>2.1697000000000001E-3</v>
      </c>
      <c r="E228" s="590">
        <v>2829364.21</v>
      </c>
      <c r="F228" s="590">
        <v>7995774</v>
      </c>
      <c r="G228" s="590">
        <v>21050223</v>
      </c>
      <c r="H228" s="590"/>
      <c r="I228" s="591">
        <v>0</v>
      </c>
      <c r="J228" s="591">
        <v>12043330</v>
      </c>
      <c r="K228" s="591">
        <v>3104396</v>
      </c>
      <c r="L228" s="590">
        <v>508916</v>
      </c>
      <c r="M228" s="590"/>
      <c r="N228" s="591">
        <v>994863</v>
      </c>
      <c r="O228" s="591">
        <v>4536145</v>
      </c>
      <c r="P228" s="591">
        <v>0</v>
      </c>
      <c r="Q228" s="590">
        <v>177339</v>
      </c>
      <c r="R228" s="590"/>
      <c r="S228" s="591">
        <v>4032925</v>
      </c>
      <c r="T228" s="592">
        <v>61465</v>
      </c>
      <c r="U228" s="592">
        <v>4094390</v>
      </c>
    </row>
    <row r="229" spans="1:21" x14ac:dyDescent="0.25">
      <c r="A229" s="587">
        <v>37001</v>
      </c>
      <c r="B229" s="588" t="s">
        <v>1168</v>
      </c>
      <c r="C229" s="589">
        <v>4.4100000000000001E-5</v>
      </c>
      <c r="D229" s="589">
        <v>0</v>
      </c>
      <c r="E229" s="590">
        <v>48004.07</v>
      </c>
      <c r="F229" s="590"/>
      <c r="G229" s="590">
        <v>405325</v>
      </c>
      <c r="H229" s="590"/>
      <c r="I229" s="591">
        <v>0</v>
      </c>
      <c r="J229" s="591">
        <v>231896</v>
      </c>
      <c r="K229" s="591">
        <v>59776</v>
      </c>
      <c r="L229" s="590">
        <v>148075</v>
      </c>
      <c r="M229" s="590"/>
      <c r="N229" s="591">
        <v>19156</v>
      </c>
      <c r="O229" s="591">
        <v>87344</v>
      </c>
      <c r="P229" s="591">
        <v>0</v>
      </c>
      <c r="Q229" s="590">
        <v>0</v>
      </c>
      <c r="R229" s="590"/>
      <c r="S229" s="591">
        <v>77654</v>
      </c>
      <c r="T229" s="592">
        <v>42428</v>
      </c>
      <c r="U229" s="592">
        <v>120083</v>
      </c>
    </row>
    <row r="230" spans="1:21" x14ac:dyDescent="0.25">
      <c r="A230" s="587">
        <v>37005</v>
      </c>
      <c r="B230" s="588" t="s">
        <v>1012</v>
      </c>
      <c r="C230" s="589">
        <v>5.3939999999999999E-4</v>
      </c>
      <c r="D230" s="589">
        <v>5.4609999999999999E-4</v>
      </c>
      <c r="E230" s="590">
        <v>756011.25</v>
      </c>
      <c r="F230" s="590">
        <v>2012487</v>
      </c>
      <c r="G230" s="590">
        <v>4957643</v>
      </c>
      <c r="H230" s="590"/>
      <c r="I230" s="591">
        <v>0</v>
      </c>
      <c r="J230" s="591">
        <v>2836385</v>
      </c>
      <c r="K230" s="591">
        <v>731132</v>
      </c>
      <c r="L230" s="590">
        <v>71728</v>
      </c>
      <c r="M230" s="590"/>
      <c r="N230" s="591">
        <v>234305</v>
      </c>
      <c r="O230" s="591">
        <v>1068330</v>
      </c>
      <c r="P230" s="591">
        <v>0</v>
      </c>
      <c r="Q230" s="590">
        <v>0</v>
      </c>
      <c r="R230" s="590"/>
      <c r="S230" s="591">
        <v>949814</v>
      </c>
      <c r="T230" s="592">
        <v>26846</v>
      </c>
      <c r="U230" s="592">
        <v>976661</v>
      </c>
    </row>
    <row r="231" spans="1:21" x14ac:dyDescent="0.25">
      <c r="A231" s="587">
        <v>37100</v>
      </c>
      <c r="B231" s="588" t="s">
        <v>1013</v>
      </c>
      <c r="C231" s="589">
        <v>3.1722999999999999E-3</v>
      </c>
      <c r="D231" s="589">
        <v>3.0909000000000002E-3</v>
      </c>
      <c r="E231" s="590">
        <v>3814576</v>
      </c>
      <c r="F231" s="590">
        <v>11390578</v>
      </c>
      <c r="G231" s="590">
        <v>29156714</v>
      </c>
      <c r="H231" s="590"/>
      <c r="I231" s="591">
        <v>0</v>
      </c>
      <c r="J231" s="591">
        <v>16681245</v>
      </c>
      <c r="K231" s="591">
        <v>4299907</v>
      </c>
      <c r="L231" s="590">
        <v>461419</v>
      </c>
      <c r="M231" s="590"/>
      <c r="N231" s="591">
        <v>1377987</v>
      </c>
      <c r="O231" s="591">
        <v>6283026</v>
      </c>
      <c r="P231" s="591">
        <v>0</v>
      </c>
      <c r="Q231" s="590">
        <v>337220</v>
      </c>
      <c r="R231" s="590"/>
      <c r="S231" s="591">
        <v>5586014</v>
      </c>
      <c r="T231" s="592">
        <v>-22519</v>
      </c>
      <c r="U231" s="592">
        <v>5563495</v>
      </c>
    </row>
    <row r="232" spans="1:21" x14ac:dyDescent="0.25">
      <c r="A232" s="587">
        <v>37200</v>
      </c>
      <c r="B232" s="588" t="s">
        <v>1014</v>
      </c>
      <c r="C232" s="589">
        <v>7.157E-4</v>
      </c>
      <c r="D232" s="589">
        <v>7.4390000000000003E-4</v>
      </c>
      <c r="E232" s="590">
        <v>926475</v>
      </c>
      <c r="F232" s="590">
        <v>2741419</v>
      </c>
      <c r="G232" s="590">
        <v>6578022</v>
      </c>
      <c r="H232" s="590"/>
      <c r="I232" s="591">
        <v>0</v>
      </c>
      <c r="J232" s="591">
        <v>3763442</v>
      </c>
      <c r="K232" s="591">
        <v>970098</v>
      </c>
      <c r="L232" s="590">
        <v>75711</v>
      </c>
      <c r="M232" s="590"/>
      <c r="N232" s="591">
        <v>310886</v>
      </c>
      <c r="O232" s="591">
        <v>1417508</v>
      </c>
      <c r="P232" s="591">
        <v>0</v>
      </c>
      <c r="Q232" s="590">
        <v>135677</v>
      </c>
      <c r="R232" s="590"/>
      <c r="S232" s="591">
        <v>1260256</v>
      </c>
      <c r="T232" s="592">
        <v>-23304</v>
      </c>
      <c r="U232" s="592">
        <v>1236952</v>
      </c>
    </row>
    <row r="233" spans="1:21" x14ac:dyDescent="0.25">
      <c r="A233" s="587">
        <v>37300</v>
      </c>
      <c r="B233" s="588" t="s">
        <v>1015</v>
      </c>
      <c r="C233" s="589">
        <v>1.8910000000000001E-3</v>
      </c>
      <c r="D233" s="589">
        <v>1.8423000000000001E-3</v>
      </c>
      <c r="E233" s="590">
        <v>2317890.73</v>
      </c>
      <c r="F233" s="590">
        <v>6789240</v>
      </c>
      <c r="G233" s="590">
        <v>17380243</v>
      </c>
      <c r="H233" s="590"/>
      <c r="I233" s="591">
        <v>0</v>
      </c>
      <c r="J233" s="591">
        <v>9943648</v>
      </c>
      <c r="K233" s="591">
        <v>2563164</v>
      </c>
      <c r="L233" s="590">
        <v>102205</v>
      </c>
      <c r="M233" s="590"/>
      <c r="N233" s="591">
        <v>821414</v>
      </c>
      <c r="O233" s="591">
        <v>3745296</v>
      </c>
      <c r="P233" s="591">
        <v>0</v>
      </c>
      <c r="Q233" s="590">
        <v>359064</v>
      </c>
      <c r="R233" s="590"/>
      <c r="S233" s="591">
        <v>3329809</v>
      </c>
      <c r="T233" s="592">
        <v>-149383</v>
      </c>
      <c r="U233" s="592">
        <v>3180426</v>
      </c>
    </row>
    <row r="234" spans="1:21" x14ac:dyDescent="0.25">
      <c r="A234" s="587">
        <v>37301</v>
      </c>
      <c r="B234" s="588" t="s">
        <v>1016</v>
      </c>
      <c r="C234" s="589">
        <v>1.974E-4</v>
      </c>
      <c r="D234" s="589">
        <v>1.941E-4</v>
      </c>
      <c r="E234" s="590">
        <v>234621.66</v>
      </c>
      <c r="F234" s="590">
        <v>715297</v>
      </c>
      <c r="G234" s="590">
        <v>1814310</v>
      </c>
      <c r="H234" s="590"/>
      <c r="I234" s="591">
        <v>0</v>
      </c>
      <c r="J234" s="591">
        <v>1038010</v>
      </c>
      <c r="K234" s="591">
        <v>267567</v>
      </c>
      <c r="L234" s="590">
        <v>82121</v>
      </c>
      <c r="M234" s="590"/>
      <c r="N234" s="591">
        <v>85747</v>
      </c>
      <c r="O234" s="591">
        <v>390968</v>
      </c>
      <c r="P234" s="591">
        <v>0</v>
      </c>
      <c r="Q234" s="590">
        <v>1281</v>
      </c>
      <c r="R234" s="590"/>
      <c r="S234" s="591">
        <v>347596</v>
      </c>
      <c r="T234" s="592">
        <v>33474</v>
      </c>
      <c r="U234" s="592">
        <v>381071</v>
      </c>
    </row>
    <row r="235" spans="1:21" x14ac:dyDescent="0.25">
      <c r="A235" s="587">
        <v>37305</v>
      </c>
      <c r="B235" s="588" t="s">
        <v>1017</v>
      </c>
      <c r="C235" s="589">
        <v>5.6899999999999995E-4</v>
      </c>
      <c r="D235" s="589">
        <v>6.1359999999999995E-4</v>
      </c>
      <c r="E235" s="590">
        <v>825933</v>
      </c>
      <c r="F235" s="590">
        <v>2261237</v>
      </c>
      <c r="G235" s="590">
        <v>5229698</v>
      </c>
      <c r="H235" s="590"/>
      <c r="I235" s="591">
        <v>0</v>
      </c>
      <c r="J235" s="591">
        <v>2992034</v>
      </c>
      <c r="K235" s="591">
        <v>771253</v>
      </c>
      <c r="L235" s="590">
        <v>0</v>
      </c>
      <c r="M235" s="590"/>
      <c r="N235" s="591">
        <v>247163</v>
      </c>
      <c r="O235" s="591">
        <v>1126955.71</v>
      </c>
      <c r="P235" s="591">
        <v>0</v>
      </c>
      <c r="Q235" s="590">
        <v>369515</v>
      </c>
      <c r="R235" s="590"/>
      <c r="S235" s="591">
        <v>1001936</v>
      </c>
      <c r="T235" s="592">
        <v>-141397</v>
      </c>
      <c r="U235" s="592">
        <v>860539</v>
      </c>
    </row>
    <row r="236" spans="1:21" x14ac:dyDescent="0.25">
      <c r="A236" s="587">
        <v>37400</v>
      </c>
      <c r="B236" s="588" t="s">
        <v>1018</v>
      </c>
      <c r="C236" s="589">
        <v>9.1569000000000008E-3</v>
      </c>
      <c r="D236" s="589">
        <v>9.2087999999999996E-3</v>
      </c>
      <c r="E236" s="590">
        <v>10687673</v>
      </c>
      <c r="F236" s="590">
        <v>33936251</v>
      </c>
      <c r="G236" s="590">
        <v>84161370</v>
      </c>
      <c r="H236" s="590"/>
      <c r="I236" s="591">
        <v>0</v>
      </c>
      <c r="J236" s="591">
        <v>48150707</v>
      </c>
      <c r="K236" s="591">
        <v>12411757</v>
      </c>
      <c r="L236" s="590">
        <v>102319</v>
      </c>
      <c r="M236" s="590"/>
      <c r="N236" s="591">
        <v>3977583</v>
      </c>
      <c r="O236" s="591">
        <v>18136065</v>
      </c>
      <c r="P236" s="591">
        <v>0</v>
      </c>
      <c r="Q236" s="590">
        <v>1253089</v>
      </c>
      <c r="R236" s="590"/>
      <c r="S236" s="591">
        <v>16124129</v>
      </c>
      <c r="T236" s="592">
        <v>-407995</v>
      </c>
      <c r="U236" s="592">
        <v>15716134</v>
      </c>
    </row>
    <row r="237" spans="1:21" x14ac:dyDescent="0.25">
      <c r="A237" s="587">
        <v>37405</v>
      </c>
      <c r="B237" s="588" t="s">
        <v>1019</v>
      </c>
      <c r="C237" s="589">
        <v>2.0752000000000001E-3</v>
      </c>
      <c r="D237" s="589">
        <v>1.9784E-3</v>
      </c>
      <c r="E237" s="590">
        <v>2527980</v>
      </c>
      <c r="F237" s="590">
        <v>7290796</v>
      </c>
      <c r="G237" s="590">
        <v>19073232</v>
      </c>
      <c r="H237" s="590"/>
      <c r="I237" s="591">
        <v>0</v>
      </c>
      <c r="J237" s="591">
        <v>10912246</v>
      </c>
      <c r="K237" s="591">
        <v>2812838</v>
      </c>
      <c r="L237" s="590">
        <v>599792</v>
      </c>
      <c r="M237" s="590"/>
      <c r="N237" s="591">
        <v>901427</v>
      </c>
      <c r="O237" s="591">
        <v>4110120</v>
      </c>
      <c r="P237" s="591">
        <v>0</v>
      </c>
      <c r="Q237" s="590">
        <v>0</v>
      </c>
      <c r="R237" s="590"/>
      <c r="S237" s="591">
        <v>3654162</v>
      </c>
      <c r="T237" s="592">
        <v>226753</v>
      </c>
      <c r="U237" s="592">
        <v>3880915</v>
      </c>
    </row>
    <row r="238" spans="1:21" x14ac:dyDescent="0.25">
      <c r="A238" s="587">
        <v>37500</v>
      </c>
      <c r="B238" s="588" t="s">
        <v>1020</v>
      </c>
      <c r="C238" s="589">
        <v>1.0169000000000001E-3</v>
      </c>
      <c r="D238" s="589">
        <v>1.0656000000000001E-3</v>
      </c>
      <c r="E238" s="590">
        <v>1373813</v>
      </c>
      <c r="F238" s="590">
        <v>3926947</v>
      </c>
      <c r="G238" s="590">
        <v>9346361</v>
      </c>
      <c r="H238" s="590"/>
      <c r="I238" s="591">
        <v>0</v>
      </c>
      <c r="J238" s="591">
        <v>5347274</v>
      </c>
      <c r="K238" s="591">
        <v>1378361</v>
      </c>
      <c r="L238" s="590">
        <v>230793</v>
      </c>
      <c r="M238" s="590"/>
      <c r="N238" s="591">
        <v>441722</v>
      </c>
      <c r="O238" s="591">
        <v>2014062</v>
      </c>
      <c r="P238" s="591">
        <v>0</v>
      </c>
      <c r="Q238" s="590">
        <v>108197</v>
      </c>
      <c r="R238" s="590"/>
      <c r="S238" s="591">
        <v>1790631</v>
      </c>
      <c r="T238" s="592">
        <v>71608</v>
      </c>
      <c r="U238" s="592">
        <v>1862239</v>
      </c>
    </row>
    <row r="239" spans="1:21" x14ac:dyDescent="0.25">
      <c r="A239" s="587">
        <v>37600</v>
      </c>
      <c r="B239" s="588" t="s">
        <v>1021</v>
      </c>
      <c r="C239" s="589">
        <v>6.4549000000000004E-3</v>
      </c>
      <c r="D239" s="589">
        <v>6.4326000000000001E-3</v>
      </c>
      <c r="E239" s="590">
        <v>7626236</v>
      </c>
      <c r="F239" s="590">
        <v>23705405</v>
      </c>
      <c r="G239" s="590">
        <v>59327199</v>
      </c>
      <c r="H239" s="590"/>
      <c r="I239" s="591">
        <v>0</v>
      </c>
      <c r="J239" s="591">
        <v>33942491</v>
      </c>
      <c r="K239" s="591">
        <v>8749320</v>
      </c>
      <c r="L239" s="590">
        <v>0</v>
      </c>
      <c r="M239" s="590"/>
      <c r="N239" s="591">
        <v>2803886</v>
      </c>
      <c r="O239" s="591">
        <v>12784510</v>
      </c>
      <c r="P239" s="591">
        <v>0</v>
      </c>
      <c r="Q239" s="590">
        <v>1130498</v>
      </c>
      <c r="R239" s="590"/>
      <c r="S239" s="591">
        <v>11366253</v>
      </c>
      <c r="T239" s="592">
        <v>-414681</v>
      </c>
      <c r="U239" s="592">
        <v>10951571</v>
      </c>
    </row>
    <row r="240" spans="1:21" x14ac:dyDescent="0.25">
      <c r="A240" s="587">
        <v>37601</v>
      </c>
      <c r="B240" s="588" t="s">
        <v>1022</v>
      </c>
      <c r="C240" s="589">
        <v>2.029E-4</v>
      </c>
      <c r="D240" s="589">
        <v>8.25E-5</v>
      </c>
      <c r="E240" s="590">
        <v>204986</v>
      </c>
      <c r="F240" s="590">
        <v>304029</v>
      </c>
      <c r="G240" s="590">
        <v>1864861</v>
      </c>
      <c r="H240" s="590"/>
      <c r="I240" s="591">
        <v>0</v>
      </c>
      <c r="J240" s="591">
        <v>1066931</v>
      </c>
      <c r="K240" s="591">
        <v>275022</v>
      </c>
      <c r="L240" s="590">
        <v>588427</v>
      </c>
      <c r="M240" s="590"/>
      <c r="N240" s="591">
        <v>88136</v>
      </c>
      <c r="O240" s="591">
        <v>401862</v>
      </c>
      <c r="P240" s="591">
        <v>0</v>
      </c>
      <c r="Q240" s="590">
        <v>0</v>
      </c>
      <c r="R240" s="590"/>
      <c r="S240" s="591">
        <v>357281</v>
      </c>
      <c r="T240" s="592">
        <v>205125</v>
      </c>
      <c r="U240" s="592">
        <v>562406</v>
      </c>
    </row>
    <row r="241" spans="1:21" x14ac:dyDescent="0.25">
      <c r="A241" s="587">
        <v>37605</v>
      </c>
      <c r="B241" s="588" t="s">
        <v>1023</v>
      </c>
      <c r="C241" s="589">
        <v>7.6970000000000001E-4</v>
      </c>
      <c r="D241" s="589">
        <v>7.3910000000000002E-4</v>
      </c>
      <c r="E241" s="590">
        <v>948931</v>
      </c>
      <c r="F241" s="590">
        <v>2723730</v>
      </c>
      <c r="G241" s="590">
        <v>7074338</v>
      </c>
      <c r="H241" s="590"/>
      <c r="I241" s="591">
        <v>0</v>
      </c>
      <c r="J241" s="591">
        <v>4047396</v>
      </c>
      <c r="K241" s="591">
        <v>1043293</v>
      </c>
      <c r="L241" s="590">
        <v>83580</v>
      </c>
      <c r="M241" s="590"/>
      <c r="N241" s="591">
        <v>334343</v>
      </c>
      <c r="O241" s="591">
        <v>1524460</v>
      </c>
      <c r="P241" s="591">
        <v>0</v>
      </c>
      <c r="Q241" s="590">
        <v>20415</v>
      </c>
      <c r="R241" s="590"/>
      <c r="S241" s="591">
        <v>1355343</v>
      </c>
      <c r="T241" s="592">
        <v>15608</v>
      </c>
      <c r="U241" s="592">
        <v>1370951</v>
      </c>
    </row>
    <row r="242" spans="1:21" x14ac:dyDescent="0.25">
      <c r="A242" s="587">
        <v>37610</v>
      </c>
      <c r="B242" s="588" t="s">
        <v>1024</v>
      </c>
      <c r="C242" s="589">
        <v>1.9426999999999999E-3</v>
      </c>
      <c r="D242" s="589">
        <v>2.0593E-3</v>
      </c>
      <c r="E242" s="590">
        <v>2187554.94</v>
      </c>
      <c r="F242" s="590">
        <v>7588928</v>
      </c>
      <c r="G242" s="590">
        <v>17855420</v>
      </c>
      <c r="H242" s="590"/>
      <c r="I242" s="591">
        <v>0</v>
      </c>
      <c r="J242" s="591">
        <v>10215507</v>
      </c>
      <c r="K242" s="591">
        <v>2633240</v>
      </c>
      <c r="L242" s="590">
        <v>10412</v>
      </c>
      <c r="M242" s="590"/>
      <c r="N242" s="591">
        <v>843872</v>
      </c>
      <c r="O242" s="591">
        <v>3847692</v>
      </c>
      <c r="P242" s="591">
        <v>0</v>
      </c>
      <c r="Q242" s="590">
        <v>856589</v>
      </c>
      <c r="R242" s="590"/>
      <c r="S242" s="591">
        <v>3420846</v>
      </c>
      <c r="T242" s="592">
        <v>-261626</v>
      </c>
      <c r="U242" s="592">
        <v>3159220</v>
      </c>
    </row>
    <row r="243" spans="1:21" x14ac:dyDescent="0.25">
      <c r="A243" s="587">
        <v>37700</v>
      </c>
      <c r="B243" s="588" t="s">
        <v>1025</v>
      </c>
      <c r="C243" s="589">
        <v>2.7463000000000001E-3</v>
      </c>
      <c r="D243" s="589">
        <v>2.7039999999999998E-3</v>
      </c>
      <c r="E243" s="590">
        <v>3374355</v>
      </c>
      <c r="F243" s="590">
        <v>9964775</v>
      </c>
      <c r="G243" s="590">
        <v>25241334</v>
      </c>
      <c r="H243" s="590"/>
      <c r="I243" s="591">
        <v>0</v>
      </c>
      <c r="J243" s="591">
        <v>14441163</v>
      </c>
      <c r="K243" s="591">
        <v>3722483</v>
      </c>
      <c r="L243" s="590">
        <v>55207</v>
      </c>
      <c r="M243" s="590"/>
      <c r="N243" s="591">
        <v>1192941</v>
      </c>
      <c r="O243" s="591">
        <v>5439294</v>
      </c>
      <c r="P243" s="591">
        <v>0</v>
      </c>
      <c r="Q243" s="590">
        <v>172136</v>
      </c>
      <c r="R243" s="590"/>
      <c r="S243" s="591">
        <v>4835883</v>
      </c>
      <c r="T243" s="592">
        <v>-74123</v>
      </c>
      <c r="U243" s="592">
        <v>4761760</v>
      </c>
    </row>
    <row r="244" spans="1:21" x14ac:dyDescent="0.25">
      <c r="A244" s="587">
        <v>37705</v>
      </c>
      <c r="B244" s="588" t="s">
        <v>1026</v>
      </c>
      <c r="C244" s="589">
        <v>8.03E-4</v>
      </c>
      <c r="D244" s="589">
        <v>7.9880000000000001E-4</v>
      </c>
      <c r="E244" s="590">
        <v>1000791</v>
      </c>
      <c r="F244" s="590">
        <v>2943736</v>
      </c>
      <c r="G244" s="590">
        <v>7380399</v>
      </c>
      <c r="H244" s="590"/>
      <c r="I244" s="591">
        <v>0</v>
      </c>
      <c r="J244" s="591">
        <v>4222501</v>
      </c>
      <c r="K244" s="591">
        <v>1088430</v>
      </c>
      <c r="L244" s="590">
        <v>200597</v>
      </c>
      <c r="M244" s="590"/>
      <c r="N244" s="591">
        <v>348808</v>
      </c>
      <c r="O244" s="591">
        <v>1590413.77</v>
      </c>
      <c r="P244" s="591">
        <v>0</v>
      </c>
      <c r="Q244" s="590">
        <v>1450</v>
      </c>
      <c r="R244" s="590"/>
      <c r="S244" s="591">
        <v>1413980</v>
      </c>
      <c r="T244" s="592">
        <v>105184</v>
      </c>
      <c r="U244" s="592">
        <v>1519164</v>
      </c>
    </row>
    <row r="245" spans="1:21" x14ac:dyDescent="0.25">
      <c r="A245" s="587">
        <v>37800</v>
      </c>
      <c r="B245" s="588" t="s">
        <v>1027</v>
      </c>
      <c r="C245" s="589">
        <v>8.3046000000000005E-3</v>
      </c>
      <c r="D245" s="589">
        <v>8.3140999999999996E-3</v>
      </c>
      <c r="E245" s="590">
        <v>10326533</v>
      </c>
      <c r="F245" s="590">
        <v>30639105</v>
      </c>
      <c r="G245" s="590">
        <v>76327853</v>
      </c>
      <c r="H245" s="590"/>
      <c r="I245" s="591">
        <v>0</v>
      </c>
      <c r="J245" s="591">
        <v>43668967</v>
      </c>
      <c r="K245" s="591">
        <v>11256503</v>
      </c>
      <c r="L245" s="590">
        <v>232682</v>
      </c>
      <c r="M245" s="590"/>
      <c r="N245" s="591">
        <v>3607360</v>
      </c>
      <c r="O245" s="591">
        <v>16448008</v>
      </c>
      <c r="P245" s="591">
        <v>0</v>
      </c>
      <c r="Q245" s="590">
        <v>302653</v>
      </c>
      <c r="R245" s="590"/>
      <c r="S245" s="591">
        <v>14623338</v>
      </c>
      <c r="T245" s="592">
        <v>35155</v>
      </c>
      <c r="U245" s="592">
        <v>14658493</v>
      </c>
    </row>
    <row r="246" spans="1:21" x14ac:dyDescent="0.25">
      <c r="A246" s="587">
        <v>37801</v>
      </c>
      <c r="B246" s="588" t="s">
        <v>1028</v>
      </c>
      <c r="C246" s="589">
        <v>5.3900000000000002E-5</v>
      </c>
      <c r="D246" s="589">
        <v>5.6499999999999998E-5</v>
      </c>
      <c r="E246" s="590">
        <v>63338</v>
      </c>
      <c r="F246" s="590">
        <v>208214</v>
      </c>
      <c r="G246" s="590">
        <v>495397</v>
      </c>
      <c r="H246" s="590"/>
      <c r="I246" s="591">
        <v>0</v>
      </c>
      <c r="J246" s="591">
        <v>283428</v>
      </c>
      <c r="K246" s="591">
        <v>73059</v>
      </c>
      <c r="L246" s="590">
        <v>141029</v>
      </c>
      <c r="M246" s="590"/>
      <c r="N246" s="591">
        <v>23413</v>
      </c>
      <c r="O246" s="591">
        <v>106754</v>
      </c>
      <c r="P246" s="591">
        <v>0</v>
      </c>
      <c r="Q246" s="590">
        <v>13169</v>
      </c>
      <c r="R246" s="590"/>
      <c r="S246" s="591">
        <v>94911</v>
      </c>
      <c r="T246" s="592">
        <v>62897</v>
      </c>
      <c r="U246" s="592">
        <v>157808</v>
      </c>
    </row>
    <row r="247" spans="1:21" x14ac:dyDescent="0.25">
      <c r="A247" s="587">
        <v>37805</v>
      </c>
      <c r="B247" s="588" t="s">
        <v>1029</v>
      </c>
      <c r="C247" s="589">
        <v>6.6949999999999996E-4</v>
      </c>
      <c r="D247" s="589">
        <v>7.4660000000000004E-4</v>
      </c>
      <c r="E247" s="590">
        <v>884208.79</v>
      </c>
      <c r="F247" s="590">
        <v>2751369</v>
      </c>
      <c r="G247" s="590">
        <v>6153397</v>
      </c>
      <c r="H247" s="590"/>
      <c r="I247" s="591">
        <v>0</v>
      </c>
      <c r="J247" s="591">
        <v>3520503</v>
      </c>
      <c r="K247" s="591">
        <v>907476</v>
      </c>
      <c r="L247" s="590">
        <v>79272</v>
      </c>
      <c r="M247" s="590"/>
      <c r="N247" s="591">
        <v>290818</v>
      </c>
      <c r="O247" s="591">
        <v>1326005</v>
      </c>
      <c r="P247" s="591">
        <v>0</v>
      </c>
      <c r="Q247" s="590">
        <v>448677</v>
      </c>
      <c r="R247" s="590"/>
      <c r="S247" s="591">
        <v>1178904</v>
      </c>
      <c r="T247" s="592">
        <v>-103986</v>
      </c>
      <c r="U247" s="592">
        <v>1074918</v>
      </c>
    </row>
    <row r="248" spans="1:21" x14ac:dyDescent="0.25">
      <c r="A248" s="587">
        <v>37900</v>
      </c>
      <c r="B248" s="588" t="s">
        <v>1030</v>
      </c>
      <c r="C248" s="589">
        <v>4.5617000000000001E-3</v>
      </c>
      <c r="D248" s="589">
        <v>4.7647999999999996E-3</v>
      </c>
      <c r="E248" s="590">
        <v>5820539</v>
      </c>
      <c r="F248" s="590">
        <v>17559231</v>
      </c>
      <c r="G248" s="590">
        <v>41926735</v>
      </c>
      <c r="H248" s="590"/>
      <c r="I248" s="591">
        <v>0</v>
      </c>
      <c r="J248" s="591">
        <v>23987275</v>
      </c>
      <c r="K248" s="591">
        <v>6183175</v>
      </c>
      <c r="L248" s="590">
        <v>88219</v>
      </c>
      <c r="M248" s="590"/>
      <c r="N248" s="591">
        <v>1981516</v>
      </c>
      <c r="O248" s="591">
        <v>9034857</v>
      </c>
      <c r="P248" s="591">
        <v>0</v>
      </c>
      <c r="Q248" s="590">
        <v>1236921</v>
      </c>
      <c r="R248" s="590"/>
      <c r="S248" s="591">
        <v>8032570</v>
      </c>
      <c r="T248" s="592">
        <v>-357238</v>
      </c>
      <c r="U248" s="592">
        <v>7675332</v>
      </c>
    </row>
    <row r="249" spans="1:21" x14ac:dyDescent="0.25">
      <c r="A249" s="587">
        <v>37901</v>
      </c>
      <c r="B249" s="588" t="s">
        <v>1031</v>
      </c>
      <c r="C249" s="589">
        <v>6.1799999999999998E-5</v>
      </c>
      <c r="D249" s="589">
        <v>6.3499999999999999E-5</v>
      </c>
      <c r="E249" s="590">
        <v>69945.09</v>
      </c>
      <c r="F249" s="590">
        <v>234010</v>
      </c>
      <c r="G249" s="590">
        <v>568006</v>
      </c>
      <c r="H249" s="590"/>
      <c r="I249" s="591">
        <v>0</v>
      </c>
      <c r="J249" s="591">
        <v>324970</v>
      </c>
      <c r="K249" s="591">
        <v>83767</v>
      </c>
      <c r="L249" s="590">
        <v>571</v>
      </c>
      <c r="M249" s="590"/>
      <c r="N249" s="591">
        <v>26845</v>
      </c>
      <c r="O249" s="591">
        <v>122400</v>
      </c>
      <c r="P249" s="591">
        <v>0</v>
      </c>
      <c r="Q249" s="590">
        <v>12695</v>
      </c>
      <c r="R249" s="590"/>
      <c r="S249" s="591">
        <v>108822</v>
      </c>
      <c r="T249" s="592">
        <v>-3345</v>
      </c>
      <c r="U249" s="592">
        <v>105477</v>
      </c>
    </row>
    <row r="250" spans="1:21" x14ac:dyDescent="0.25">
      <c r="A250" s="587">
        <v>37905</v>
      </c>
      <c r="B250" s="588" t="s">
        <v>1032</v>
      </c>
      <c r="C250" s="589">
        <v>5.1179999999999997E-4</v>
      </c>
      <c r="D250" s="589">
        <v>5.2079999999999997E-4</v>
      </c>
      <c r="E250" s="590">
        <v>734022.86</v>
      </c>
      <c r="F250" s="590">
        <v>1919251</v>
      </c>
      <c r="G250" s="590">
        <v>4703971</v>
      </c>
      <c r="H250" s="590"/>
      <c r="I250" s="591">
        <v>0</v>
      </c>
      <c r="J250" s="591">
        <v>2691253</v>
      </c>
      <c r="K250" s="591">
        <v>693721</v>
      </c>
      <c r="L250" s="590">
        <v>35133</v>
      </c>
      <c r="M250" s="590"/>
      <c r="N250" s="591">
        <v>222316</v>
      </c>
      <c r="O250" s="591">
        <v>1013666</v>
      </c>
      <c r="P250" s="591">
        <v>0</v>
      </c>
      <c r="Q250" s="590">
        <v>44488</v>
      </c>
      <c r="R250" s="590"/>
      <c r="S250" s="591">
        <v>901214</v>
      </c>
      <c r="T250" s="592">
        <v>-6383</v>
      </c>
      <c r="U250" s="592">
        <v>894832</v>
      </c>
    </row>
    <row r="251" spans="1:21" x14ac:dyDescent="0.25">
      <c r="A251" s="587">
        <v>38000</v>
      </c>
      <c r="B251" s="588" t="s">
        <v>1033</v>
      </c>
      <c r="C251" s="589">
        <v>7.1815000000000004E-3</v>
      </c>
      <c r="D251" s="589">
        <v>7.1176E-3</v>
      </c>
      <c r="E251" s="590">
        <v>8836148</v>
      </c>
      <c r="F251" s="590">
        <v>26229765</v>
      </c>
      <c r="G251" s="590">
        <v>66005403</v>
      </c>
      <c r="H251" s="590"/>
      <c r="I251" s="591">
        <v>0</v>
      </c>
      <c r="J251" s="591">
        <v>37763250</v>
      </c>
      <c r="K251" s="591">
        <v>9734193</v>
      </c>
      <c r="L251" s="590">
        <v>0</v>
      </c>
      <c r="M251" s="590"/>
      <c r="N251" s="591">
        <v>3119507</v>
      </c>
      <c r="O251" s="591">
        <v>14223607</v>
      </c>
      <c r="P251" s="591">
        <v>0</v>
      </c>
      <c r="Q251" s="590">
        <v>1444366</v>
      </c>
      <c r="R251" s="590"/>
      <c r="S251" s="591">
        <v>12645702</v>
      </c>
      <c r="T251" s="592">
        <v>-730520</v>
      </c>
      <c r="U251" s="592">
        <v>11915182</v>
      </c>
    </row>
    <row r="252" spans="1:21" x14ac:dyDescent="0.25">
      <c r="A252" s="587">
        <v>38005</v>
      </c>
      <c r="B252" s="588" t="s">
        <v>1034</v>
      </c>
      <c r="C252" s="589">
        <v>1.4989000000000001E-3</v>
      </c>
      <c r="D252" s="589">
        <v>1.4445E-3</v>
      </c>
      <c r="E252" s="590">
        <v>1905174.84</v>
      </c>
      <c r="F252" s="590">
        <v>5323269</v>
      </c>
      <c r="G252" s="590">
        <v>13776439</v>
      </c>
      <c r="H252" s="590"/>
      <c r="I252" s="591">
        <v>0</v>
      </c>
      <c r="J252" s="591">
        <v>7881826</v>
      </c>
      <c r="K252" s="591">
        <v>2031690</v>
      </c>
      <c r="L252" s="590">
        <v>397636</v>
      </c>
      <c r="M252" s="590"/>
      <c r="N252" s="591">
        <v>651094</v>
      </c>
      <c r="O252" s="591">
        <v>2968706</v>
      </c>
      <c r="P252" s="591">
        <v>0</v>
      </c>
      <c r="Q252" s="590">
        <v>0</v>
      </c>
      <c r="R252" s="590"/>
      <c r="S252" s="591">
        <v>2639371</v>
      </c>
      <c r="T252" s="592">
        <v>152911</v>
      </c>
      <c r="U252" s="592">
        <v>2792282</v>
      </c>
    </row>
    <row r="253" spans="1:21" x14ac:dyDescent="0.25">
      <c r="A253" s="587">
        <v>38100</v>
      </c>
      <c r="B253" s="588" t="s">
        <v>1035</v>
      </c>
      <c r="C253" s="589">
        <v>3.3161000000000002E-3</v>
      </c>
      <c r="D253" s="589">
        <v>3.3126000000000002E-3</v>
      </c>
      <c r="E253" s="590">
        <v>4178329</v>
      </c>
      <c r="F253" s="590">
        <v>12207587</v>
      </c>
      <c r="G253" s="590">
        <v>30478385</v>
      </c>
      <c r="H253" s="590"/>
      <c r="I253" s="591">
        <v>0</v>
      </c>
      <c r="J253" s="591">
        <v>17437403</v>
      </c>
      <c r="K253" s="591">
        <v>4494821</v>
      </c>
      <c r="L253" s="590">
        <v>0</v>
      </c>
      <c r="M253" s="590"/>
      <c r="N253" s="591">
        <v>1440451</v>
      </c>
      <c r="O253" s="591">
        <v>6567834</v>
      </c>
      <c r="P253" s="591">
        <v>0</v>
      </c>
      <c r="Q253" s="590">
        <v>504299</v>
      </c>
      <c r="R253" s="590"/>
      <c r="S253" s="591">
        <v>5839228</v>
      </c>
      <c r="T253" s="592">
        <v>-258290</v>
      </c>
      <c r="U253" s="592">
        <v>5580938</v>
      </c>
    </row>
    <row r="254" spans="1:21" x14ac:dyDescent="0.25">
      <c r="A254" s="587">
        <v>38105</v>
      </c>
      <c r="B254" s="588" t="s">
        <v>1036</v>
      </c>
      <c r="C254" s="589">
        <v>6.8400000000000004E-4</v>
      </c>
      <c r="D254" s="589">
        <v>6.8559999999999997E-4</v>
      </c>
      <c r="E254" s="590">
        <v>857933.99</v>
      </c>
      <c r="F254" s="590">
        <v>2526572</v>
      </c>
      <c r="G254" s="590">
        <v>6286667</v>
      </c>
      <c r="H254" s="590"/>
      <c r="I254" s="591">
        <v>0</v>
      </c>
      <c r="J254" s="591">
        <v>3596750</v>
      </c>
      <c r="K254" s="591">
        <v>927131</v>
      </c>
      <c r="L254" s="590">
        <v>0</v>
      </c>
      <c r="M254" s="590"/>
      <c r="N254" s="591">
        <v>297117</v>
      </c>
      <c r="O254" s="591">
        <v>1354723.56</v>
      </c>
      <c r="P254" s="591">
        <v>0</v>
      </c>
      <c r="Q254" s="590">
        <v>82858</v>
      </c>
      <c r="R254" s="590"/>
      <c r="S254" s="591">
        <v>1204436</v>
      </c>
      <c r="T254" s="592">
        <v>-32836</v>
      </c>
      <c r="U254" s="592">
        <v>1171600</v>
      </c>
    </row>
    <row r="255" spans="1:21" x14ac:dyDescent="0.25">
      <c r="A255" s="587">
        <v>38200</v>
      </c>
      <c r="B255" s="588" t="s">
        <v>1037</v>
      </c>
      <c r="C255" s="589">
        <v>3.2125000000000001E-3</v>
      </c>
      <c r="D255" s="589">
        <v>3.2916E-3</v>
      </c>
      <c r="E255" s="590">
        <v>3908534.33</v>
      </c>
      <c r="F255" s="590">
        <v>12130198</v>
      </c>
      <c r="G255" s="590">
        <v>29526194</v>
      </c>
      <c r="H255" s="590"/>
      <c r="I255" s="591">
        <v>0</v>
      </c>
      <c r="J255" s="591">
        <v>16892632</v>
      </c>
      <c r="K255" s="591">
        <v>4354396</v>
      </c>
      <c r="L255" s="590">
        <v>50250</v>
      </c>
      <c r="M255" s="590"/>
      <c r="N255" s="591">
        <v>1395449</v>
      </c>
      <c r="O255" s="591">
        <v>6362645</v>
      </c>
      <c r="P255" s="591">
        <v>0</v>
      </c>
      <c r="Q255" s="590">
        <v>470033</v>
      </c>
      <c r="R255" s="590"/>
      <c r="S255" s="591">
        <v>5656801</v>
      </c>
      <c r="T255" s="592">
        <v>-111871</v>
      </c>
      <c r="U255" s="592">
        <v>5544930</v>
      </c>
    </row>
    <row r="256" spans="1:21" x14ac:dyDescent="0.25">
      <c r="A256" s="587">
        <v>38205</v>
      </c>
      <c r="B256" s="588" t="s">
        <v>1038</v>
      </c>
      <c r="C256" s="589">
        <v>4.5439999999999999E-4</v>
      </c>
      <c r="D256" s="589">
        <v>4.5619999999999998E-4</v>
      </c>
      <c r="E256" s="590">
        <v>624810</v>
      </c>
      <c r="F256" s="590">
        <v>1681187</v>
      </c>
      <c r="G256" s="590">
        <v>4176405</v>
      </c>
      <c r="H256" s="590"/>
      <c r="I256" s="591">
        <v>0</v>
      </c>
      <c r="J256" s="591">
        <v>2389420</v>
      </c>
      <c r="K256" s="591">
        <v>615918</v>
      </c>
      <c r="L256" s="590">
        <v>30018</v>
      </c>
      <c r="M256" s="590"/>
      <c r="N256" s="591">
        <v>197383</v>
      </c>
      <c r="O256" s="591">
        <v>899980</v>
      </c>
      <c r="P256" s="591">
        <v>0</v>
      </c>
      <c r="Q256" s="590">
        <v>84868</v>
      </c>
      <c r="R256" s="590"/>
      <c r="S256" s="591">
        <v>800140</v>
      </c>
      <c r="T256" s="592">
        <v>-26192</v>
      </c>
      <c r="U256" s="592">
        <v>773948</v>
      </c>
    </row>
    <row r="257" spans="1:21" x14ac:dyDescent="0.25">
      <c r="A257" s="587">
        <v>38210</v>
      </c>
      <c r="B257" s="588" t="s">
        <v>1039</v>
      </c>
      <c r="C257" s="589">
        <v>1.1793000000000001E-3</v>
      </c>
      <c r="D257" s="589">
        <v>1.1485E-3</v>
      </c>
      <c r="E257" s="590">
        <v>1417451.14</v>
      </c>
      <c r="F257" s="590">
        <v>4232450</v>
      </c>
      <c r="G257" s="590">
        <v>10838985</v>
      </c>
      <c r="H257" s="590"/>
      <c r="I257" s="591">
        <v>0</v>
      </c>
      <c r="J257" s="591">
        <v>6201239</v>
      </c>
      <c r="K257" s="591">
        <v>1598487</v>
      </c>
      <c r="L257" s="590">
        <v>87673</v>
      </c>
      <c r="M257" s="590"/>
      <c r="N257" s="591">
        <v>512266</v>
      </c>
      <c r="O257" s="591">
        <v>2335710</v>
      </c>
      <c r="P257" s="591">
        <v>0</v>
      </c>
      <c r="Q257" s="590">
        <v>62799</v>
      </c>
      <c r="R257" s="590"/>
      <c r="S257" s="591">
        <v>2076596</v>
      </c>
      <c r="T257" s="592">
        <v>13103</v>
      </c>
      <c r="U257" s="592">
        <v>2089699</v>
      </c>
    </row>
    <row r="258" spans="1:21" x14ac:dyDescent="0.25">
      <c r="A258" s="587">
        <v>38300</v>
      </c>
      <c r="B258" s="588" t="s">
        <v>1040</v>
      </c>
      <c r="C258" s="589">
        <v>2.5320999999999998E-3</v>
      </c>
      <c r="D258" s="589">
        <v>2.5233E-3</v>
      </c>
      <c r="E258" s="590">
        <v>3100456.2</v>
      </c>
      <c r="F258" s="590">
        <v>9298860</v>
      </c>
      <c r="G258" s="590">
        <v>23272615</v>
      </c>
      <c r="H258" s="590"/>
      <c r="I258" s="591">
        <v>0</v>
      </c>
      <c r="J258" s="591">
        <v>13314812</v>
      </c>
      <c r="K258" s="591">
        <v>3432145</v>
      </c>
      <c r="L258" s="590">
        <v>0</v>
      </c>
      <c r="M258" s="590"/>
      <c r="N258" s="591">
        <v>1099896</v>
      </c>
      <c r="O258" s="591">
        <v>5015052</v>
      </c>
      <c r="P258" s="591">
        <v>0</v>
      </c>
      <c r="Q258" s="590">
        <v>502401</v>
      </c>
      <c r="R258" s="590"/>
      <c r="S258" s="591">
        <v>4458704</v>
      </c>
      <c r="T258" s="592">
        <v>-260227</v>
      </c>
      <c r="U258" s="592">
        <v>4198477</v>
      </c>
    </row>
    <row r="259" spans="1:21" x14ac:dyDescent="0.25">
      <c r="A259" s="587">
        <v>38400</v>
      </c>
      <c r="B259" s="588" t="s">
        <v>1041</v>
      </c>
      <c r="C259" s="589">
        <v>3.1153999999999999E-3</v>
      </c>
      <c r="D259" s="589">
        <v>3.2049000000000001E-3</v>
      </c>
      <c r="E259" s="590">
        <v>3816257</v>
      </c>
      <c r="F259" s="590">
        <v>11810691</v>
      </c>
      <c r="G259" s="590">
        <v>28633744</v>
      </c>
      <c r="H259" s="590"/>
      <c r="I259" s="591">
        <v>0</v>
      </c>
      <c r="J259" s="591">
        <v>16382041</v>
      </c>
      <c r="K259" s="591">
        <v>4222781</v>
      </c>
      <c r="L259" s="590">
        <v>8437</v>
      </c>
      <c r="M259" s="590"/>
      <c r="N259" s="591">
        <v>1353271</v>
      </c>
      <c r="O259" s="591">
        <v>6170330</v>
      </c>
      <c r="P259" s="591">
        <v>0</v>
      </c>
      <c r="Q259" s="590">
        <v>840268</v>
      </c>
      <c r="R259" s="590"/>
      <c r="S259" s="591">
        <v>5485821</v>
      </c>
      <c r="T259" s="592">
        <v>-349814</v>
      </c>
      <c r="U259" s="592">
        <v>5136006</v>
      </c>
    </row>
    <row r="260" spans="1:21" x14ac:dyDescent="0.25">
      <c r="A260" s="587">
        <v>38402</v>
      </c>
      <c r="B260" s="588" t="s">
        <v>1042</v>
      </c>
      <c r="C260" s="589">
        <v>1.052E-4</v>
      </c>
      <c r="D260" s="589">
        <v>1.086E-4</v>
      </c>
      <c r="E260" s="590">
        <v>126614</v>
      </c>
      <c r="F260" s="590">
        <v>400213</v>
      </c>
      <c r="G260" s="590">
        <v>966897</v>
      </c>
      <c r="H260" s="590"/>
      <c r="I260" s="591">
        <v>0</v>
      </c>
      <c r="J260" s="591">
        <v>553184</v>
      </c>
      <c r="K260" s="591">
        <v>142594</v>
      </c>
      <c r="L260" s="590">
        <v>20431</v>
      </c>
      <c r="M260" s="590"/>
      <c r="N260" s="591">
        <v>45697</v>
      </c>
      <c r="O260" s="591">
        <v>208358</v>
      </c>
      <c r="P260" s="591">
        <v>0</v>
      </c>
      <c r="Q260" s="590">
        <v>28487</v>
      </c>
      <c r="R260" s="590"/>
      <c r="S260" s="591">
        <v>185244</v>
      </c>
      <c r="T260" s="592">
        <v>2192</v>
      </c>
      <c r="U260" s="592">
        <v>187435</v>
      </c>
    </row>
    <row r="261" spans="1:21" x14ac:dyDescent="0.25">
      <c r="A261" s="587">
        <v>38405</v>
      </c>
      <c r="B261" s="588" t="s">
        <v>1043</v>
      </c>
      <c r="C261" s="589">
        <v>7.6369999999999997E-4</v>
      </c>
      <c r="D261" s="589">
        <v>7.5730000000000003E-4</v>
      </c>
      <c r="E261" s="590">
        <v>927482.5</v>
      </c>
      <c r="F261" s="590">
        <v>2790800</v>
      </c>
      <c r="G261" s="590">
        <v>7019192</v>
      </c>
      <c r="H261" s="590"/>
      <c r="I261" s="591">
        <v>0</v>
      </c>
      <c r="J261" s="591">
        <v>4015845</v>
      </c>
      <c r="K261" s="591">
        <v>1035160</v>
      </c>
      <c r="L261" s="590">
        <v>0</v>
      </c>
      <c r="M261" s="590"/>
      <c r="N261" s="591">
        <v>331737</v>
      </c>
      <c r="O261" s="591">
        <v>1512577</v>
      </c>
      <c r="P261" s="591">
        <v>0</v>
      </c>
      <c r="Q261" s="590">
        <v>136046</v>
      </c>
      <c r="R261" s="590"/>
      <c r="S261" s="591">
        <v>1344778</v>
      </c>
      <c r="T261" s="592">
        <v>-58469</v>
      </c>
      <c r="U261" s="592">
        <v>1286309</v>
      </c>
    </row>
    <row r="262" spans="1:21" x14ac:dyDescent="0.25">
      <c r="A262" s="587">
        <v>38500</v>
      </c>
      <c r="B262" s="588" t="s">
        <v>1044</v>
      </c>
      <c r="C262" s="589">
        <v>2.4922999999999998E-3</v>
      </c>
      <c r="D262" s="589">
        <v>2.5734E-3</v>
      </c>
      <c r="E262" s="590">
        <v>3070391.3</v>
      </c>
      <c r="F262" s="590">
        <v>9483489</v>
      </c>
      <c r="G262" s="590">
        <v>22906812</v>
      </c>
      <c r="H262" s="590"/>
      <c r="I262" s="591">
        <v>0</v>
      </c>
      <c r="J262" s="591">
        <v>13105528</v>
      </c>
      <c r="K262" s="591">
        <v>3378198</v>
      </c>
      <c r="L262" s="590">
        <v>0</v>
      </c>
      <c r="M262" s="590"/>
      <c r="N262" s="591">
        <v>1082608</v>
      </c>
      <c r="O262" s="591">
        <v>4936224</v>
      </c>
      <c r="P262" s="591">
        <v>0</v>
      </c>
      <c r="Q262" s="590">
        <v>683080</v>
      </c>
      <c r="R262" s="590"/>
      <c r="S262" s="591">
        <v>4388621</v>
      </c>
      <c r="T262" s="592">
        <v>-246507</v>
      </c>
      <c r="U262" s="592">
        <v>4142115</v>
      </c>
    </row>
    <row r="263" spans="1:21" x14ac:dyDescent="0.25">
      <c r="A263" s="587">
        <v>38600</v>
      </c>
      <c r="B263" s="588" t="s">
        <v>1045</v>
      </c>
      <c r="C263" s="589">
        <v>3.0961000000000001E-3</v>
      </c>
      <c r="D263" s="589">
        <v>3.1337000000000001E-3</v>
      </c>
      <c r="E263" s="590">
        <v>3785122</v>
      </c>
      <c r="F263" s="590">
        <v>11548305</v>
      </c>
      <c r="G263" s="590">
        <v>28456357</v>
      </c>
      <c r="H263" s="590"/>
      <c r="I263" s="591">
        <v>0</v>
      </c>
      <c r="J263" s="591">
        <v>16280554</v>
      </c>
      <c r="K263" s="591">
        <v>4196621</v>
      </c>
      <c r="L263" s="590">
        <v>4145</v>
      </c>
      <c r="M263" s="590"/>
      <c r="N263" s="591">
        <v>1344887</v>
      </c>
      <c r="O263" s="591">
        <v>6132105</v>
      </c>
      <c r="P263" s="591">
        <v>0</v>
      </c>
      <c r="Q263" s="590">
        <v>634452</v>
      </c>
      <c r="R263" s="590"/>
      <c r="S263" s="591">
        <v>5451836</v>
      </c>
      <c r="T263" s="592">
        <v>-284523</v>
      </c>
      <c r="U263" s="592">
        <v>5167312</v>
      </c>
    </row>
    <row r="264" spans="1:21" x14ac:dyDescent="0.25">
      <c r="A264" s="587">
        <v>38601</v>
      </c>
      <c r="B264" s="588" t="s">
        <v>1046</v>
      </c>
      <c r="C264" s="589">
        <v>4.1300000000000001E-5</v>
      </c>
      <c r="D264" s="589">
        <v>4.0399999999999999E-5</v>
      </c>
      <c r="E264" s="590">
        <v>45523.1</v>
      </c>
      <c r="F264" s="590">
        <v>148882</v>
      </c>
      <c r="G264" s="590">
        <v>379590</v>
      </c>
      <c r="H264" s="590"/>
      <c r="I264" s="591">
        <v>0</v>
      </c>
      <c r="J264" s="591">
        <v>217172</v>
      </c>
      <c r="K264" s="591">
        <v>55980</v>
      </c>
      <c r="L264" s="590">
        <v>23619</v>
      </c>
      <c r="M264" s="590"/>
      <c r="N264" s="591">
        <v>17940</v>
      </c>
      <c r="O264" s="591">
        <v>81798</v>
      </c>
      <c r="P264" s="591">
        <v>0</v>
      </c>
      <c r="Q264" s="590">
        <v>2305</v>
      </c>
      <c r="R264" s="590"/>
      <c r="S264" s="591">
        <v>72724</v>
      </c>
      <c r="T264" s="592">
        <v>9992</v>
      </c>
      <c r="U264" s="592">
        <v>82716</v>
      </c>
    </row>
    <row r="265" spans="1:21" x14ac:dyDescent="0.25">
      <c r="A265" s="587">
        <v>38602</v>
      </c>
      <c r="B265" s="588" t="s">
        <v>1047</v>
      </c>
      <c r="C265" s="589">
        <v>1.83E-4</v>
      </c>
      <c r="D265" s="589">
        <v>1.717E-4</v>
      </c>
      <c r="E265" s="590">
        <v>227788</v>
      </c>
      <c r="F265" s="590">
        <v>632748</v>
      </c>
      <c r="G265" s="590">
        <v>1681959</v>
      </c>
      <c r="H265" s="590"/>
      <c r="I265" s="591">
        <v>0</v>
      </c>
      <c r="J265" s="591">
        <v>962288</v>
      </c>
      <c r="K265" s="591">
        <v>248048</v>
      </c>
      <c r="L265" s="590">
        <v>98125</v>
      </c>
      <c r="M265" s="590"/>
      <c r="N265" s="591">
        <v>79492</v>
      </c>
      <c r="O265" s="591">
        <v>362448</v>
      </c>
      <c r="P265" s="591">
        <v>0</v>
      </c>
      <c r="Q265" s="590">
        <v>0</v>
      </c>
      <c r="R265" s="590"/>
      <c r="S265" s="591">
        <v>322240</v>
      </c>
      <c r="T265" s="592">
        <v>34463</v>
      </c>
      <c r="U265" s="592">
        <v>356702</v>
      </c>
    </row>
    <row r="266" spans="1:21" x14ac:dyDescent="0.25">
      <c r="A266" s="587">
        <v>38605</v>
      </c>
      <c r="B266" s="588" t="s">
        <v>1048</v>
      </c>
      <c r="C266" s="589">
        <v>8.5070000000000002E-4</v>
      </c>
      <c r="D266" s="589">
        <v>8.4349999999999996E-4</v>
      </c>
      <c r="E266" s="590">
        <v>1074563.79</v>
      </c>
      <c r="F266" s="590">
        <v>3108465</v>
      </c>
      <c r="G266" s="590">
        <v>7818812</v>
      </c>
      <c r="H266" s="590"/>
      <c r="I266" s="591">
        <v>0</v>
      </c>
      <c r="J266" s="591">
        <v>4473327</v>
      </c>
      <c r="K266" s="591">
        <v>1153085</v>
      </c>
      <c r="L266" s="590">
        <v>56750</v>
      </c>
      <c r="M266" s="590"/>
      <c r="N266" s="591">
        <v>369528</v>
      </c>
      <c r="O266" s="591">
        <v>1684888</v>
      </c>
      <c r="P266" s="591">
        <v>0</v>
      </c>
      <c r="Q266" s="590">
        <v>42459</v>
      </c>
      <c r="R266" s="590"/>
      <c r="S266" s="591">
        <v>1497974</v>
      </c>
      <c r="T266" s="592">
        <v>10204</v>
      </c>
      <c r="U266" s="592">
        <v>1508178</v>
      </c>
    </row>
    <row r="267" spans="1:21" x14ac:dyDescent="0.25">
      <c r="A267" s="587">
        <v>38610</v>
      </c>
      <c r="B267" s="588" t="s">
        <v>1049</v>
      </c>
      <c r="C267" s="589">
        <v>6.2620000000000004E-4</v>
      </c>
      <c r="D267" s="589">
        <v>6.401E-4</v>
      </c>
      <c r="E267" s="590">
        <v>827029.58</v>
      </c>
      <c r="F267" s="590">
        <v>2358895</v>
      </c>
      <c r="G267" s="590">
        <v>5755425</v>
      </c>
      <c r="H267" s="590"/>
      <c r="I267" s="591">
        <v>0</v>
      </c>
      <c r="J267" s="591">
        <v>3292814</v>
      </c>
      <c r="K267" s="591">
        <v>848785</v>
      </c>
      <c r="L267" s="590">
        <v>36605</v>
      </c>
      <c r="M267" s="590"/>
      <c r="N267" s="591">
        <v>272009</v>
      </c>
      <c r="O267" s="591">
        <v>1240245</v>
      </c>
      <c r="P267" s="591">
        <v>0</v>
      </c>
      <c r="Q267" s="590">
        <v>26746</v>
      </c>
      <c r="R267" s="590"/>
      <c r="S267" s="591">
        <v>1102658</v>
      </c>
      <c r="T267" s="592">
        <v>12621</v>
      </c>
      <c r="U267" s="592">
        <v>1115279</v>
      </c>
    </row>
    <row r="268" spans="1:21" x14ac:dyDescent="0.25">
      <c r="A268" s="587">
        <v>38620</v>
      </c>
      <c r="B268" s="588" t="s">
        <v>1050</v>
      </c>
      <c r="C268" s="589">
        <v>5.3479999999999999E-4</v>
      </c>
      <c r="D268" s="589">
        <v>5.2720000000000002E-4</v>
      </c>
      <c r="E268" s="590">
        <v>666269.61</v>
      </c>
      <c r="F268" s="590">
        <v>1942836</v>
      </c>
      <c r="G268" s="590">
        <v>4915364</v>
      </c>
      <c r="H268" s="590"/>
      <c r="I268" s="591">
        <v>0</v>
      </c>
      <c r="J268" s="591">
        <v>2812196</v>
      </c>
      <c r="K268" s="591">
        <v>724897</v>
      </c>
      <c r="L268" s="590">
        <v>100747</v>
      </c>
      <c r="M268" s="590"/>
      <c r="N268" s="591">
        <v>232307</v>
      </c>
      <c r="O268" s="591">
        <v>1059220</v>
      </c>
      <c r="P268" s="591">
        <v>0</v>
      </c>
      <c r="Q268" s="590">
        <v>0</v>
      </c>
      <c r="R268" s="590"/>
      <c r="S268" s="591">
        <v>941714</v>
      </c>
      <c r="T268" s="592">
        <v>39081</v>
      </c>
      <c r="U268" s="592">
        <v>980795</v>
      </c>
    </row>
    <row r="269" spans="1:21" x14ac:dyDescent="0.25">
      <c r="A269" s="587">
        <v>38700</v>
      </c>
      <c r="B269" s="588" t="s">
        <v>1051</v>
      </c>
      <c r="C269" s="589">
        <v>9.167E-4</v>
      </c>
      <c r="D269" s="589">
        <v>8.9820000000000004E-4</v>
      </c>
      <c r="E269" s="590">
        <v>1134767</v>
      </c>
      <c r="F269" s="590">
        <v>3310045</v>
      </c>
      <c r="G269" s="590">
        <v>8425420</v>
      </c>
      <c r="H269" s="590"/>
      <c r="I269" s="591">
        <v>0</v>
      </c>
      <c r="J269" s="591">
        <v>4820382</v>
      </c>
      <c r="K269" s="591">
        <v>1242545</v>
      </c>
      <c r="L269" s="590">
        <v>221072</v>
      </c>
      <c r="M269" s="590"/>
      <c r="N269" s="591">
        <v>398197</v>
      </c>
      <c r="O269" s="591">
        <v>1815607</v>
      </c>
      <c r="P269" s="591">
        <v>0</v>
      </c>
      <c r="Q269" s="590">
        <v>0</v>
      </c>
      <c r="R269" s="590"/>
      <c r="S269" s="591">
        <v>1614191</v>
      </c>
      <c r="T269" s="592">
        <v>87744</v>
      </c>
      <c r="U269" s="592">
        <v>1701935</v>
      </c>
    </row>
    <row r="270" spans="1:21" x14ac:dyDescent="0.25">
      <c r="A270" s="587">
        <v>38701</v>
      </c>
      <c r="B270" s="588" t="s">
        <v>1052</v>
      </c>
      <c r="C270" s="589">
        <v>6.2899999999999997E-5</v>
      </c>
      <c r="D270" s="589">
        <v>6.0099999999999997E-5</v>
      </c>
      <c r="E270" s="590">
        <v>75744</v>
      </c>
      <c r="F270" s="590">
        <v>221480</v>
      </c>
      <c r="G270" s="590">
        <v>578116</v>
      </c>
      <c r="H270" s="590"/>
      <c r="I270" s="591">
        <v>0</v>
      </c>
      <c r="J270" s="591">
        <v>330754</v>
      </c>
      <c r="K270" s="591">
        <v>85258</v>
      </c>
      <c r="L270" s="590">
        <v>6477</v>
      </c>
      <c r="M270" s="590"/>
      <c r="N270" s="591">
        <v>27323</v>
      </c>
      <c r="O270" s="591">
        <v>124579</v>
      </c>
      <c r="P270" s="591">
        <v>0</v>
      </c>
      <c r="Q270" s="590">
        <v>34487</v>
      </c>
      <c r="R270" s="590"/>
      <c r="S270" s="591">
        <v>110759</v>
      </c>
      <c r="T270" s="592">
        <v>-14978</v>
      </c>
      <c r="U270" s="592">
        <v>95781</v>
      </c>
    </row>
    <row r="271" spans="1:21" x14ac:dyDescent="0.25">
      <c r="A271" s="587">
        <v>38800</v>
      </c>
      <c r="B271" s="588" t="s">
        <v>1053</v>
      </c>
      <c r="C271" s="589">
        <v>1.5732999999999999E-3</v>
      </c>
      <c r="D271" s="589">
        <v>1.5524E-3</v>
      </c>
      <c r="E271" s="590">
        <v>1931736</v>
      </c>
      <c r="F271" s="590">
        <v>5720901</v>
      </c>
      <c r="G271" s="590">
        <v>14460252</v>
      </c>
      <c r="H271" s="590"/>
      <c r="I271" s="591">
        <v>0</v>
      </c>
      <c r="J271" s="591">
        <v>8273052</v>
      </c>
      <c r="K271" s="591">
        <v>2132536</v>
      </c>
      <c r="L271" s="590">
        <v>129136</v>
      </c>
      <c r="M271" s="590"/>
      <c r="N271" s="591">
        <v>683412</v>
      </c>
      <c r="O271" s="591">
        <v>3116062</v>
      </c>
      <c r="P271" s="591">
        <v>0</v>
      </c>
      <c r="Q271" s="590">
        <v>22708</v>
      </c>
      <c r="R271" s="590"/>
      <c r="S271" s="591">
        <v>2770380</v>
      </c>
      <c r="T271" s="592">
        <v>34965</v>
      </c>
      <c r="U271" s="592">
        <v>2805345</v>
      </c>
    </row>
    <row r="272" spans="1:21" x14ac:dyDescent="0.25">
      <c r="A272" s="587">
        <v>38801</v>
      </c>
      <c r="B272" s="588" t="s">
        <v>1054</v>
      </c>
      <c r="C272" s="589">
        <v>1.1069999999999999E-4</v>
      </c>
      <c r="D272" s="589">
        <v>8.8300000000000005E-5</v>
      </c>
      <c r="E272" s="590">
        <v>110631</v>
      </c>
      <c r="F272" s="590">
        <v>325403</v>
      </c>
      <c r="G272" s="590">
        <v>1017447</v>
      </c>
      <c r="H272" s="590"/>
      <c r="I272" s="591">
        <v>0</v>
      </c>
      <c r="J272" s="591">
        <v>582106</v>
      </c>
      <c r="K272" s="591">
        <v>150049</v>
      </c>
      <c r="L272" s="590">
        <v>109390</v>
      </c>
      <c r="M272" s="590"/>
      <c r="N272" s="591">
        <v>48086</v>
      </c>
      <c r="O272" s="591">
        <v>219251</v>
      </c>
      <c r="P272" s="591">
        <v>0</v>
      </c>
      <c r="Q272" s="590">
        <v>32694</v>
      </c>
      <c r="R272" s="590"/>
      <c r="S272" s="591">
        <v>194929</v>
      </c>
      <c r="T272" s="592">
        <v>33636</v>
      </c>
      <c r="U272" s="592">
        <v>228564</v>
      </c>
    </row>
    <row r="273" spans="1:21" x14ac:dyDescent="0.25">
      <c r="A273" s="587">
        <v>38900</v>
      </c>
      <c r="B273" s="588" t="s">
        <v>1055</v>
      </c>
      <c r="C273" s="589">
        <v>3.5940000000000001E-4</v>
      </c>
      <c r="D273" s="589">
        <v>3.3260000000000001E-4</v>
      </c>
      <c r="E273" s="590">
        <v>405250</v>
      </c>
      <c r="F273" s="590">
        <v>1225697</v>
      </c>
      <c r="G273" s="590">
        <v>3303257</v>
      </c>
      <c r="H273" s="590"/>
      <c r="I273" s="591">
        <v>0</v>
      </c>
      <c r="J273" s="591">
        <v>1889871</v>
      </c>
      <c r="K273" s="591">
        <v>487150</v>
      </c>
      <c r="L273" s="590">
        <v>70964</v>
      </c>
      <c r="M273" s="590"/>
      <c r="N273" s="591">
        <v>156117</v>
      </c>
      <c r="O273" s="591">
        <v>711824</v>
      </c>
      <c r="P273" s="591">
        <v>0</v>
      </c>
      <c r="Q273" s="590">
        <v>48740</v>
      </c>
      <c r="R273" s="590"/>
      <c r="S273" s="591">
        <v>632857</v>
      </c>
      <c r="T273" s="592">
        <v>-5200</v>
      </c>
      <c r="U273" s="592">
        <v>627658</v>
      </c>
    </row>
    <row r="274" spans="1:21" x14ac:dyDescent="0.25">
      <c r="A274" s="587">
        <v>39000</v>
      </c>
      <c r="B274" s="588" t="s">
        <v>1056</v>
      </c>
      <c r="C274" s="589">
        <v>1.5830199999999999E-2</v>
      </c>
      <c r="D274" s="589">
        <v>1.5730299999999999E-2</v>
      </c>
      <c r="E274" s="590">
        <v>18695919</v>
      </c>
      <c r="F274" s="590">
        <v>57969270</v>
      </c>
      <c r="G274" s="590">
        <v>145495891</v>
      </c>
      <c r="H274" s="590"/>
      <c r="I274" s="591">
        <v>0</v>
      </c>
      <c r="J274" s="591">
        <v>83241634</v>
      </c>
      <c r="K274" s="591">
        <v>21457108</v>
      </c>
      <c r="L274" s="590">
        <v>643682</v>
      </c>
      <c r="M274" s="590"/>
      <c r="N274" s="591">
        <v>6876338</v>
      </c>
      <c r="O274" s="591">
        <v>31353136</v>
      </c>
      <c r="P274" s="591">
        <v>0</v>
      </c>
      <c r="Q274" s="590">
        <v>1707340</v>
      </c>
      <c r="R274" s="590"/>
      <c r="S274" s="591">
        <v>27874956</v>
      </c>
      <c r="T274" s="592">
        <v>-497104</v>
      </c>
      <c r="U274" s="592">
        <v>27377852</v>
      </c>
    </row>
    <row r="275" spans="1:21" x14ac:dyDescent="0.25">
      <c r="A275" s="587">
        <v>39100</v>
      </c>
      <c r="B275" s="588" t="s">
        <v>1057</v>
      </c>
      <c r="C275" s="589">
        <v>2.4624E-3</v>
      </c>
      <c r="D275" s="589">
        <v>2.5027999999999999E-3</v>
      </c>
      <c r="E275" s="590">
        <v>3305540</v>
      </c>
      <c r="F275" s="590">
        <v>9223314</v>
      </c>
      <c r="G275" s="590">
        <v>22632000</v>
      </c>
      <c r="H275" s="590"/>
      <c r="I275" s="591">
        <v>0</v>
      </c>
      <c r="J275" s="591">
        <v>12948301</v>
      </c>
      <c r="K275" s="591">
        <v>3337670</v>
      </c>
      <c r="L275" s="590">
        <v>0</v>
      </c>
      <c r="M275" s="590"/>
      <c r="N275" s="591">
        <v>1069620</v>
      </c>
      <c r="O275" s="591">
        <v>4877005</v>
      </c>
      <c r="P275" s="591">
        <v>0</v>
      </c>
      <c r="Q275" s="590">
        <v>135880</v>
      </c>
      <c r="R275" s="590"/>
      <c r="S275" s="591">
        <v>4335971</v>
      </c>
      <c r="T275" s="592">
        <v>-73101</v>
      </c>
      <c r="U275" s="592">
        <v>4262870</v>
      </c>
    </row>
    <row r="276" spans="1:21" x14ac:dyDescent="0.25">
      <c r="A276" s="587">
        <v>39101</v>
      </c>
      <c r="B276" s="588" t="s">
        <v>1058</v>
      </c>
      <c r="C276" s="589">
        <v>1.7560000000000001E-4</v>
      </c>
      <c r="D276" s="589">
        <v>1.75E-4</v>
      </c>
      <c r="E276" s="590">
        <v>214530.62</v>
      </c>
      <c r="F276" s="590">
        <v>644909.65</v>
      </c>
      <c r="G276" s="590">
        <v>1613945</v>
      </c>
      <c r="H276" s="590"/>
      <c r="I276" s="591">
        <v>0</v>
      </c>
      <c r="J276" s="591">
        <v>923376</v>
      </c>
      <c r="K276" s="591">
        <v>238018</v>
      </c>
      <c r="L276" s="590">
        <v>0</v>
      </c>
      <c r="M276" s="590"/>
      <c r="N276" s="591">
        <v>76277</v>
      </c>
      <c r="O276" s="591">
        <v>347792</v>
      </c>
      <c r="P276" s="591">
        <v>0</v>
      </c>
      <c r="Q276" s="590">
        <v>26692</v>
      </c>
      <c r="R276" s="590"/>
      <c r="S276" s="591">
        <v>309209</v>
      </c>
      <c r="T276" s="592">
        <v>-10852</v>
      </c>
      <c r="U276" s="592">
        <v>298357</v>
      </c>
    </row>
    <row r="277" spans="1:21" x14ac:dyDescent="0.25">
      <c r="A277" s="587">
        <v>39105</v>
      </c>
      <c r="B277" s="588" t="s">
        <v>1059</v>
      </c>
      <c r="C277" s="589">
        <v>1.0095E-3</v>
      </c>
      <c r="D277" s="589">
        <v>1.0374E-3</v>
      </c>
      <c r="E277" s="590">
        <v>1313778</v>
      </c>
      <c r="F277" s="590">
        <v>3823024</v>
      </c>
      <c r="G277" s="590">
        <v>9278348</v>
      </c>
      <c r="H277" s="590"/>
      <c r="I277" s="591">
        <v>0</v>
      </c>
      <c r="J277" s="591">
        <v>5308362</v>
      </c>
      <c r="K277" s="591">
        <v>1368331</v>
      </c>
      <c r="L277" s="590">
        <v>90010</v>
      </c>
      <c r="M277" s="590"/>
      <c r="N277" s="591">
        <v>438508</v>
      </c>
      <c r="O277" s="591">
        <v>1999406</v>
      </c>
      <c r="P277" s="591">
        <v>0</v>
      </c>
      <c r="Q277" s="590">
        <v>74735</v>
      </c>
      <c r="R277" s="590"/>
      <c r="S277" s="591">
        <v>1777600</v>
      </c>
      <c r="T277" s="592">
        <v>21519</v>
      </c>
      <c r="U277" s="592">
        <v>1799120</v>
      </c>
    </row>
    <row r="278" spans="1:21" x14ac:dyDescent="0.25">
      <c r="A278" s="587">
        <v>39200</v>
      </c>
      <c r="B278" s="588" t="s">
        <v>1060</v>
      </c>
      <c r="C278" s="589">
        <v>6.4350400000000002E-2</v>
      </c>
      <c r="D278" s="589">
        <v>6.1601799999999998E-2</v>
      </c>
      <c r="E278" s="590">
        <v>76747294</v>
      </c>
      <c r="F278" s="590">
        <v>227014830</v>
      </c>
      <c r="G278" s="590">
        <v>591446650</v>
      </c>
      <c r="H278" s="590"/>
      <c r="I278" s="591">
        <v>0</v>
      </c>
      <c r="J278" s="591">
        <v>338380594</v>
      </c>
      <c r="K278" s="591">
        <v>87224007</v>
      </c>
      <c r="L278" s="590">
        <v>9051046</v>
      </c>
      <c r="M278" s="590"/>
      <c r="N278" s="591">
        <v>27952591</v>
      </c>
      <c r="O278" s="591">
        <v>127451759</v>
      </c>
      <c r="P278" s="591">
        <v>0</v>
      </c>
      <c r="Q278" s="590">
        <v>0</v>
      </c>
      <c r="R278" s="590"/>
      <c r="S278" s="591">
        <v>113312818</v>
      </c>
      <c r="T278" s="592">
        <v>2985489</v>
      </c>
      <c r="U278" s="592">
        <v>116298306</v>
      </c>
    </row>
    <row r="279" spans="1:21" x14ac:dyDescent="0.25">
      <c r="A279" s="587">
        <v>39201</v>
      </c>
      <c r="B279" s="588" t="s">
        <v>1061</v>
      </c>
      <c r="C279" s="589">
        <v>1.94E-4</v>
      </c>
      <c r="D279" s="589">
        <v>1.8990000000000001E-4</v>
      </c>
      <c r="E279" s="590">
        <v>194379.69</v>
      </c>
      <c r="F279" s="590">
        <v>699819</v>
      </c>
      <c r="G279" s="590">
        <v>1783060</v>
      </c>
      <c r="H279" s="590"/>
      <c r="I279" s="591">
        <v>0</v>
      </c>
      <c r="J279" s="591">
        <v>1020131</v>
      </c>
      <c r="K279" s="591">
        <v>262958</v>
      </c>
      <c r="L279" s="590">
        <v>46220</v>
      </c>
      <c r="M279" s="590"/>
      <c r="N279" s="591">
        <v>84270</v>
      </c>
      <c r="O279" s="591">
        <v>384234.46</v>
      </c>
      <c r="P279" s="591">
        <v>0</v>
      </c>
      <c r="Q279" s="590">
        <v>36210</v>
      </c>
      <c r="R279" s="590"/>
      <c r="S279" s="591">
        <v>341609</v>
      </c>
      <c r="T279" s="592">
        <v>4663</v>
      </c>
      <c r="U279" s="592">
        <v>346272</v>
      </c>
    </row>
    <row r="280" spans="1:21" x14ac:dyDescent="0.25">
      <c r="A280" s="587">
        <v>39204</v>
      </c>
      <c r="B280" s="588" t="s">
        <v>1062</v>
      </c>
      <c r="C280" s="589">
        <v>1.3359999999999999E-4</v>
      </c>
      <c r="D280" s="589">
        <v>1.167E-4</v>
      </c>
      <c r="E280" s="590">
        <v>147095.62</v>
      </c>
      <c r="F280" s="590">
        <v>430063</v>
      </c>
      <c r="G280" s="590">
        <v>1227922</v>
      </c>
      <c r="H280" s="590"/>
      <c r="I280" s="591">
        <v>0</v>
      </c>
      <c r="J280" s="591">
        <v>702523</v>
      </c>
      <c r="K280" s="591">
        <v>181089</v>
      </c>
      <c r="L280" s="590">
        <v>202630</v>
      </c>
      <c r="M280" s="590"/>
      <c r="N280" s="591">
        <v>58033</v>
      </c>
      <c r="O280" s="591">
        <v>264607</v>
      </c>
      <c r="P280" s="591">
        <v>0</v>
      </c>
      <c r="Q280" s="590">
        <v>0</v>
      </c>
      <c r="R280" s="590"/>
      <c r="S280" s="591">
        <v>235252</v>
      </c>
      <c r="T280" s="592">
        <v>80968</v>
      </c>
      <c r="U280" s="592">
        <v>316220</v>
      </c>
    </row>
    <row r="281" spans="1:21" x14ac:dyDescent="0.25">
      <c r="A281" s="587">
        <v>39205</v>
      </c>
      <c r="B281" s="588" t="s">
        <v>1063</v>
      </c>
      <c r="C281" s="589">
        <v>5.0689000000000003E-3</v>
      </c>
      <c r="D281" s="589">
        <v>4.8887000000000002E-3</v>
      </c>
      <c r="E281" s="590">
        <v>6578883</v>
      </c>
      <c r="F281" s="590">
        <v>18015827</v>
      </c>
      <c r="G281" s="590">
        <v>46588427</v>
      </c>
      <c r="H281" s="590"/>
      <c r="I281" s="591">
        <v>0</v>
      </c>
      <c r="J281" s="591">
        <v>26654339</v>
      </c>
      <c r="K281" s="591">
        <v>6870661</v>
      </c>
      <c r="L281" s="590">
        <v>2928732</v>
      </c>
      <c r="M281" s="590"/>
      <c r="N281" s="591">
        <v>2201834</v>
      </c>
      <c r="O281" s="591">
        <v>10039413</v>
      </c>
      <c r="P281" s="591">
        <v>0</v>
      </c>
      <c r="Q281" s="590">
        <v>0</v>
      </c>
      <c r="R281" s="590"/>
      <c r="S281" s="591">
        <v>8925684</v>
      </c>
      <c r="T281" s="592">
        <v>1178875</v>
      </c>
      <c r="U281" s="592">
        <v>10104559</v>
      </c>
    </row>
    <row r="282" spans="1:21" x14ac:dyDescent="0.25">
      <c r="A282" s="587">
        <v>39208</v>
      </c>
      <c r="B282" s="588" t="s">
        <v>1064</v>
      </c>
      <c r="C282" s="589">
        <v>4.0460000000000002E-4</v>
      </c>
      <c r="D282" s="589">
        <v>3.926E-4</v>
      </c>
      <c r="E282" s="590">
        <v>417318</v>
      </c>
      <c r="F282" s="590">
        <v>1446809</v>
      </c>
      <c r="G282" s="590">
        <v>3718692</v>
      </c>
      <c r="H282" s="590"/>
      <c r="I282" s="591">
        <v>0</v>
      </c>
      <c r="J282" s="591">
        <v>2127551</v>
      </c>
      <c r="K282" s="591">
        <v>548417</v>
      </c>
      <c r="L282" s="590">
        <v>0</v>
      </c>
      <c r="M282" s="590"/>
      <c r="N282" s="591">
        <v>175751</v>
      </c>
      <c r="O282" s="591">
        <v>801347</v>
      </c>
      <c r="P282" s="591">
        <v>0</v>
      </c>
      <c r="Q282" s="590">
        <v>147063</v>
      </c>
      <c r="R282" s="590"/>
      <c r="S282" s="591">
        <v>712449</v>
      </c>
      <c r="T282" s="592">
        <v>-66847</v>
      </c>
      <c r="U282" s="592">
        <v>645602</v>
      </c>
    </row>
    <row r="283" spans="1:21" x14ac:dyDescent="0.25">
      <c r="A283" s="587">
        <v>39209</v>
      </c>
      <c r="B283" s="588" t="s">
        <v>1065</v>
      </c>
      <c r="C283" s="589">
        <v>2.0369999999999999E-4</v>
      </c>
      <c r="D283" s="589">
        <v>1.7799999999999999E-4</v>
      </c>
      <c r="E283" s="590">
        <v>204766</v>
      </c>
      <c r="F283" s="590">
        <v>655965</v>
      </c>
      <c r="G283" s="590">
        <v>1872213</v>
      </c>
      <c r="H283" s="590"/>
      <c r="I283" s="591">
        <v>0</v>
      </c>
      <c r="J283" s="591">
        <v>1071138</v>
      </c>
      <c r="K283" s="591">
        <v>276106</v>
      </c>
      <c r="L283" s="590">
        <v>80092</v>
      </c>
      <c r="M283" s="590"/>
      <c r="N283" s="591">
        <v>88483</v>
      </c>
      <c r="O283" s="591">
        <v>403446</v>
      </c>
      <c r="P283" s="591">
        <v>0</v>
      </c>
      <c r="Q283" s="590">
        <v>32248</v>
      </c>
      <c r="R283" s="590"/>
      <c r="S283" s="591">
        <v>358690</v>
      </c>
      <c r="T283" s="592">
        <v>8064</v>
      </c>
      <c r="U283" s="592">
        <v>366753</v>
      </c>
    </row>
    <row r="284" spans="1:21" x14ac:dyDescent="0.25">
      <c r="A284" s="587">
        <v>39300</v>
      </c>
      <c r="B284" s="588" t="s">
        <v>1066</v>
      </c>
      <c r="C284" s="589">
        <v>9.5830000000000004E-4</v>
      </c>
      <c r="D284" s="589">
        <v>9.5180000000000004E-4</v>
      </c>
      <c r="E284" s="590">
        <v>1228877</v>
      </c>
      <c r="F284" s="590">
        <v>3507571</v>
      </c>
      <c r="G284" s="590">
        <v>8807767</v>
      </c>
      <c r="H284" s="590"/>
      <c r="I284" s="591">
        <v>0</v>
      </c>
      <c r="J284" s="591">
        <v>5039131</v>
      </c>
      <c r="K284" s="591">
        <v>1298932</v>
      </c>
      <c r="L284" s="590">
        <v>86747</v>
      </c>
      <c r="M284" s="590"/>
      <c r="N284" s="591">
        <v>416267</v>
      </c>
      <c r="O284" s="591">
        <v>1897999</v>
      </c>
      <c r="P284" s="591">
        <v>0</v>
      </c>
      <c r="Q284" s="590">
        <v>31101</v>
      </c>
      <c r="R284" s="590"/>
      <c r="S284" s="591">
        <v>1687444</v>
      </c>
      <c r="T284" s="592">
        <v>12932</v>
      </c>
      <c r="U284" s="592">
        <v>1700376</v>
      </c>
    </row>
    <row r="285" spans="1:21" x14ac:dyDescent="0.25">
      <c r="A285" s="587">
        <v>39301</v>
      </c>
      <c r="B285" s="588" t="s">
        <v>1067</v>
      </c>
      <c r="C285" s="589">
        <v>5.2299999999999997E-5</v>
      </c>
      <c r="D285" s="589">
        <v>6.4499999999999996E-5</v>
      </c>
      <c r="E285" s="590">
        <v>71062.23</v>
      </c>
      <c r="F285" s="590">
        <v>237695</v>
      </c>
      <c r="G285" s="590">
        <v>480691</v>
      </c>
      <c r="H285" s="590"/>
      <c r="I285" s="591">
        <v>0</v>
      </c>
      <c r="J285" s="591">
        <v>275015</v>
      </c>
      <c r="K285" s="591">
        <v>70890</v>
      </c>
      <c r="L285" s="590">
        <v>33180</v>
      </c>
      <c r="M285" s="590"/>
      <c r="N285" s="591">
        <v>22718</v>
      </c>
      <c r="O285" s="591">
        <v>103585</v>
      </c>
      <c r="P285" s="591">
        <v>0</v>
      </c>
      <c r="Q285" s="590">
        <v>65178</v>
      </c>
      <c r="R285" s="590"/>
      <c r="S285" s="591">
        <v>92094</v>
      </c>
      <c r="T285" s="592">
        <v>-2650</v>
      </c>
      <c r="U285" s="592">
        <v>89443</v>
      </c>
    </row>
    <row r="286" spans="1:21" x14ac:dyDescent="0.25">
      <c r="A286" s="587">
        <v>39400</v>
      </c>
      <c r="B286" s="588" t="s">
        <v>1068</v>
      </c>
      <c r="C286" s="589">
        <v>6.5919999999999998E-4</v>
      </c>
      <c r="D286" s="589">
        <v>6.8510000000000001E-4</v>
      </c>
      <c r="E286" s="590">
        <v>898724.91</v>
      </c>
      <c r="F286" s="590">
        <v>2524729</v>
      </c>
      <c r="G286" s="590">
        <v>6058729</v>
      </c>
      <c r="H286" s="590"/>
      <c r="I286" s="591">
        <v>0</v>
      </c>
      <c r="J286" s="591">
        <v>3466342</v>
      </c>
      <c r="K286" s="591">
        <v>893515</v>
      </c>
      <c r="L286" s="590">
        <v>152179</v>
      </c>
      <c r="M286" s="590"/>
      <c r="N286" s="591">
        <v>286344</v>
      </c>
      <c r="O286" s="591">
        <v>1305605</v>
      </c>
      <c r="P286" s="591">
        <v>0</v>
      </c>
      <c r="Q286" s="590">
        <v>98699</v>
      </c>
      <c r="R286" s="590"/>
      <c r="S286" s="591">
        <v>1160767</v>
      </c>
      <c r="T286" s="592">
        <v>51447</v>
      </c>
      <c r="U286" s="592">
        <v>1212213</v>
      </c>
    </row>
    <row r="287" spans="1:21" x14ac:dyDescent="0.25">
      <c r="A287" s="587">
        <v>39401</v>
      </c>
      <c r="B287" s="588" t="s">
        <v>1069</v>
      </c>
      <c r="C287" s="589">
        <v>2.22E-4</v>
      </c>
      <c r="D287" s="589">
        <v>1.6760000000000001E-4</v>
      </c>
      <c r="E287" s="590">
        <v>228226.07</v>
      </c>
      <c r="F287" s="590">
        <v>617639</v>
      </c>
      <c r="G287" s="590">
        <v>2040409</v>
      </c>
      <c r="H287" s="590"/>
      <c r="I287" s="591">
        <v>0</v>
      </c>
      <c r="J287" s="591">
        <v>1167366</v>
      </c>
      <c r="K287" s="591">
        <v>300911</v>
      </c>
      <c r="L287" s="590">
        <v>352846</v>
      </c>
      <c r="M287" s="590"/>
      <c r="N287" s="591">
        <v>96433</v>
      </c>
      <c r="O287" s="591">
        <v>439690.98</v>
      </c>
      <c r="P287" s="591">
        <v>0</v>
      </c>
      <c r="Q287" s="590">
        <v>0</v>
      </c>
      <c r="R287" s="590"/>
      <c r="S287" s="591">
        <v>390914</v>
      </c>
      <c r="T287" s="592">
        <v>131233</v>
      </c>
      <c r="U287" s="592">
        <v>522147</v>
      </c>
    </row>
    <row r="288" spans="1:21" x14ac:dyDescent="0.25">
      <c r="A288" s="587">
        <v>39500</v>
      </c>
      <c r="B288" s="588" t="s">
        <v>1070</v>
      </c>
      <c r="C288" s="589">
        <v>1.9851000000000001E-3</v>
      </c>
      <c r="D288" s="589">
        <v>1.9558000000000002E-3</v>
      </c>
      <c r="E288" s="590">
        <v>2430299</v>
      </c>
      <c r="F288" s="590">
        <v>7207510</v>
      </c>
      <c r="G288" s="590">
        <v>18245120</v>
      </c>
      <c r="H288" s="590"/>
      <c r="I288" s="591">
        <v>0</v>
      </c>
      <c r="J288" s="591">
        <v>10438464</v>
      </c>
      <c r="K288" s="591">
        <v>2690712</v>
      </c>
      <c r="L288" s="590">
        <v>67779</v>
      </c>
      <c r="M288" s="590"/>
      <c r="N288" s="591">
        <v>862290</v>
      </c>
      <c r="O288" s="591">
        <v>3931669</v>
      </c>
      <c r="P288" s="591">
        <v>0</v>
      </c>
      <c r="Q288" s="590">
        <v>51158</v>
      </c>
      <c r="R288" s="590"/>
      <c r="S288" s="591">
        <v>3495507</v>
      </c>
      <c r="T288" s="592">
        <v>10477</v>
      </c>
      <c r="U288" s="592">
        <v>3505984</v>
      </c>
    </row>
    <row r="289" spans="1:21" x14ac:dyDescent="0.25">
      <c r="A289" s="587">
        <v>39501</v>
      </c>
      <c r="B289" s="588" t="s">
        <v>1071</v>
      </c>
      <c r="C289" s="589">
        <v>6.41E-5</v>
      </c>
      <c r="D289" s="589">
        <v>6.7199999999999994E-5</v>
      </c>
      <c r="E289" s="590">
        <v>77171</v>
      </c>
      <c r="F289" s="590">
        <v>247645</v>
      </c>
      <c r="G289" s="590">
        <v>589145</v>
      </c>
      <c r="H289" s="590"/>
      <c r="I289" s="591">
        <v>0</v>
      </c>
      <c r="J289" s="591">
        <v>337064</v>
      </c>
      <c r="K289" s="591">
        <v>86885</v>
      </c>
      <c r="L289" s="590">
        <v>6068</v>
      </c>
      <c r="M289" s="590"/>
      <c r="N289" s="591">
        <v>27844</v>
      </c>
      <c r="O289" s="591">
        <v>126956</v>
      </c>
      <c r="P289" s="591">
        <v>0</v>
      </c>
      <c r="Q289" s="590">
        <v>30379</v>
      </c>
      <c r="R289" s="590"/>
      <c r="S289" s="591">
        <v>112872</v>
      </c>
      <c r="T289" s="592">
        <v>-6873</v>
      </c>
      <c r="U289" s="592">
        <v>105999</v>
      </c>
    </row>
    <row r="290" spans="1:21" x14ac:dyDescent="0.25">
      <c r="A290" s="587">
        <v>39600</v>
      </c>
      <c r="B290" s="588" t="s">
        <v>1072</v>
      </c>
      <c r="C290" s="589">
        <v>6.5063999999999999E-3</v>
      </c>
      <c r="D290" s="589">
        <v>6.4853000000000003E-3</v>
      </c>
      <c r="E290" s="590">
        <v>8224796</v>
      </c>
      <c r="F290" s="590">
        <v>23899615</v>
      </c>
      <c r="G290" s="590">
        <v>59800537</v>
      </c>
      <c r="H290" s="590"/>
      <c r="I290" s="591">
        <v>0</v>
      </c>
      <c r="J290" s="591">
        <v>34213299</v>
      </c>
      <c r="K290" s="591">
        <v>8819126</v>
      </c>
      <c r="L290" s="590">
        <v>118037</v>
      </c>
      <c r="M290" s="590"/>
      <c r="N290" s="591">
        <v>2826257</v>
      </c>
      <c r="O290" s="591">
        <v>12886511</v>
      </c>
      <c r="P290" s="591">
        <v>0</v>
      </c>
      <c r="Q290" s="590">
        <v>623421</v>
      </c>
      <c r="R290" s="590"/>
      <c r="S290" s="591">
        <v>11456938</v>
      </c>
      <c r="T290" s="592">
        <v>-306240</v>
      </c>
      <c r="U290" s="592">
        <v>11150698</v>
      </c>
    </row>
    <row r="291" spans="1:21" x14ac:dyDescent="0.25">
      <c r="A291" s="587">
        <v>39605</v>
      </c>
      <c r="B291" s="588" t="s">
        <v>1073</v>
      </c>
      <c r="C291" s="589">
        <v>9.4019999999999998E-4</v>
      </c>
      <c r="D291" s="589">
        <v>9.5520000000000002E-4</v>
      </c>
      <c r="E291" s="590">
        <v>1247635</v>
      </c>
      <c r="F291" s="590">
        <v>3520101</v>
      </c>
      <c r="G291" s="590">
        <v>8641409</v>
      </c>
      <c r="H291" s="590"/>
      <c r="I291" s="591">
        <v>0</v>
      </c>
      <c r="J291" s="591">
        <v>4943954</v>
      </c>
      <c r="K291" s="591">
        <v>1274398</v>
      </c>
      <c r="L291" s="590">
        <v>168824</v>
      </c>
      <c r="M291" s="590"/>
      <c r="N291" s="591">
        <v>408405</v>
      </c>
      <c r="O291" s="591">
        <v>1862151</v>
      </c>
      <c r="P291" s="591">
        <v>0</v>
      </c>
      <c r="Q291" s="590">
        <v>12463</v>
      </c>
      <c r="R291" s="590"/>
      <c r="S291" s="591">
        <v>1655572</v>
      </c>
      <c r="T291" s="592">
        <v>74105</v>
      </c>
      <c r="U291" s="592">
        <v>1729676</v>
      </c>
    </row>
    <row r="292" spans="1:21" x14ac:dyDescent="0.25">
      <c r="A292" s="587">
        <v>39700</v>
      </c>
      <c r="B292" s="588" t="s">
        <v>1074</v>
      </c>
      <c r="C292" s="589">
        <v>3.8947000000000001E-3</v>
      </c>
      <c r="D292" s="589">
        <v>3.9490999999999997E-3</v>
      </c>
      <c r="E292" s="590">
        <v>4694298.05</v>
      </c>
      <c r="F292" s="590">
        <v>14553215</v>
      </c>
      <c r="G292" s="590">
        <v>35796316</v>
      </c>
      <c r="H292" s="590"/>
      <c r="I292" s="591">
        <v>0</v>
      </c>
      <c r="J292" s="591">
        <v>20479918</v>
      </c>
      <c r="K292" s="591">
        <v>5279087</v>
      </c>
      <c r="L292" s="590">
        <v>268552</v>
      </c>
      <c r="M292" s="590"/>
      <c r="N292" s="591">
        <v>1691784</v>
      </c>
      <c r="O292" s="591">
        <v>7713804</v>
      </c>
      <c r="P292" s="591">
        <v>0</v>
      </c>
      <c r="Q292" s="590">
        <v>565655</v>
      </c>
      <c r="R292" s="590"/>
      <c r="S292" s="591">
        <v>6858068</v>
      </c>
      <c r="T292" s="592">
        <v>-106191</v>
      </c>
      <c r="U292" s="592">
        <v>6751877</v>
      </c>
    </row>
    <row r="293" spans="1:21" x14ac:dyDescent="0.25">
      <c r="A293" s="587">
        <v>39703</v>
      </c>
      <c r="B293" s="588" t="s">
        <v>1075</v>
      </c>
      <c r="C293" s="589">
        <v>1.199E-4</v>
      </c>
      <c r="D293" s="589">
        <v>8.6700000000000007E-5</v>
      </c>
      <c r="E293" s="590">
        <v>119538</v>
      </c>
      <c r="F293" s="590">
        <v>319507</v>
      </c>
      <c r="G293" s="590">
        <v>1102005</v>
      </c>
      <c r="H293" s="590"/>
      <c r="I293" s="591">
        <v>0</v>
      </c>
      <c r="J293" s="591">
        <v>630483</v>
      </c>
      <c r="K293" s="591">
        <v>162519</v>
      </c>
      <c r="L293" s="590">
        <v>292240</v>
      </c>
      <c r="M293" s="590"/>
      <c r="N293" s="591">
        <v>52082</v>
      </c>
      <c r="O293" s="591">
        <v>237473</v>
      </c>
      <c r="P293" s="591">
        <v>0</v>
      </c>
      <c r="Q293" s="590">
        <v>0</v>
      </c>
      <c r="R293" s="590"/>
      <c r="S293" s="591">
        <v>211129</v>
      </c>
      <c r="T293" s="592">
        <v>128316</v>
      </c>
      <c r="U293" s="592">
        <v>339444</v>
      </c>
    </row>
    <row r="294" spans="1:21" x14ac:dyDescent="0.25">
      <c r="A294" s="587">
        <v>39705</v>
      </c>
      <c r="B294" s="588" t="s">
        <v>1076</v>
      </c>
      <c r="C294" s="589">
        <v>9.0930000000000004E-4</v>
      </c>
      <c r="D294" s="589">
        <v>9.142E-4</v>
      </c>
      <c r="E294" s="590">
        <v>1194986.71</v>
      </c>
      <c r="F294" s="590">
        <v>3369008</v>
      </c>
      <c r="G294" s="590">
        <v>8357406</v>
      </c>
      <c r="H294" s="590"/>
      <c r="I294" s="591">
        <v>0</v>
      </c>
      <c r="J294" s="591">
        <v>4781469</v>
      </c>
      <c r="K294" s="591">
        <v>1232514</v>
      </c>
      <c r="L294" s="590">
        <v>222038</v>
      </c>
      <c r="M294" s="590"/>
      <c r="N294" s="591">
        <v>394983</v>
      </c>
      <c r="O294" s="591">
        <v>1800950</v>
      </c>
      <c r="P294" s="591">
        <v>0</v>
      </c>
      <c r="Q294" s="590">
        <v>0</v>
      </c>
      <c r="R294" s="590"/>
      <c r="S294" s="591">
        <v>1601161</v>
      </c>
      <c r="T294" s="592">
        <v>101669</v>
      </c>
      <c r="U294" s="592">
        <v>1702830</v>
      </c>
    </row>
    <row r="295" spans="1:21" x14ac:dyDescent="0.25">
      <c r="A295" s="587">
        <v>39800</v>
      </c>
      <c r="B295" s="588" t="s">
        <v>1077</v>
      </c>
      <c r="C295" s="589">
        <v>4.3068999999999998E-3</v>
      </c>
      <c r="D295" s="589">
        <v>4.3731000000000004E-3</v>
      </c>
      <c r="E295" s="590">
        <v>5344290</v>
      </c>
      <c r="F295" s="590">
        <v>16115739</v>
      </c>
      <c r="G295" s="590">
        <v>39584860</v>
      </c>
      <c r="H295" s="590"/>
      <c r="I295" s="591">
        <v>0</v>
      </c>
      <c r="J295" s="591">
        <v>22647433</v>
      </c>
      <c r="K295" s="591">
        <v>5837805</v>
      </c>
      <c r="L295" s="590">
        <v>0</v>
      </c>
      <c r="M295" s="590"/>
      <c r="N295" s="591">
        <v>1870836</v>
      </c>
      <c r="O295" s="591">
        <v>8530203</v>
      </c>
      <c r="P295" s="591">
        <v>0</v>
      </c>
      <c r="Q295" s="590">
        <v>819822</v>
      </c>
      <c r="R295" s="590"/>
      <c r="S295" s="591">
        <v>7583900</v>
      </c>
      <c r="T295" s="592">
        <v>-365122</v>
      </c>
      <c r="U295" s="592">
        <v>7218777</v>
      </c>
    </row>
    <row r="296" spans="1:21" x14ac:dyDescent="0.25">
      <c r="A296" s="594">
        <v>39805</v>
      </c>
      <c r="B296" s="584" t="s">
        <v>1078</v>
      </c>
      <c r="C296" s="595">
        <v>4.8710000000000002E-4</v>
      </c>
      <c r="D296" s="595">
        <v>4.8930000000000002E-4</v>
      </c>
      <c r="E296" s="590">
        <v>678122</v>
      </c>
      <c r="F296" s="590">
        <v>1803167</v>
      </c>
      <c r="G296" s="596">
        <v>4476952</v>
      </c>
      <c r="I296" s="591">
        <v>0</v>
      </c>
      <c r="J296" s="584">
        <v>2561370.0496999999</v>
      </c>
      <c r="K296" s="584">
        <v>660241.64339999994</v>
      </c>
      <c r="L296" s="584">
        <v>60555.833927609798</v>
      </c>
      <c r="N296" s="584">
        <v>211586.98509999999</v>
      </c>
      <c r="O296" s="584">
        <v>964745.38899999997</v>
      </c>
      <c r="P296" s="591">
        <v>0</v>
      </c>
      <c r="Q296" s="584">
        <v>35622.923577127403</v>
      </c>
      <c r="S296" s="584">
        <v>857720.75120000006</v>
      </c>
      <c r="T296" s="592">
        <v>-344</v>
      </c>
      <c r="U296" s="597">
        <v>857377</v>
      </c>
    </row>
    <row r="297" spans="1:21" s="583" customFormat="1" x14ac:dyDescent="0.25">
      <c r="A297" s="594">
        <v>39900</v>
      </c>
      <c r="B297" s="598" t="s">
        <v>1079</v>
      </c>
      <c r="C297" s="595">
        <v>2.1467000000000001E-3</v>
      </c>
      <c r="D297" s="595">
        <v>2.1565E-3</v>
      </c>
      <c r="E297" s="590">
        <v>2718249</v>
      </c>
      <c r="F297" s="590">
        <v>7947129</v>
      </c>
      <c r="G297" s="596">
        <v>19730391</v>
      </c>
      <c r="H297" s="599"/>
      <c r="I297" s="591">
        <v>0</v>
      </c>
      <c r="J297" s="598">
        <v>11288222.3069</v>
      </c>
      <c r="K297" s="598">
        <v>2909753.1017999998</v>
      </c>
      <c r="L297" s="598">
        <v>101989.875498482</v>
      </c>
      <c r="M297" s="598"/>
      <c r="N297" s="598">
        <v>932485.69270000001</v>
      </c>
      <c r="O297" s="598">
        <v>4251732.5530000003</v>
      </c>
      <c r="P297" s="591">
        <v>0</v>
      </c>
      <c r="Q297" s="598">
        <v>266818.631954037</v>
      </c>
      <c r="R297" s="598"/>
      <c r="S297" s="598">
        <v>3780063.9224</v>
      </c>
      <c r="T297" s="600">
        <v>-97948</v>
      </c>
      <c r="U297" s="600">
        <v>3682116</v>
      </c>
    </row>
    <row r="298" spans="1:21" x14ac:dyDescent="0.25">
      <c r="A298" s="594">
        <v>51000</v>
      </c>
      <c r="B298" s="584" t="s">
        <v>1169</v>
      </c>
      <c r="C298" s="595">
        <v>3.3725400000000003E-2</v>
      </c>
      <c r="D298" s="595">
        <v>3.5084200000000003E-2</v>
      </c>
      <c r="E298" s="590">
        <v>47171405</v>
      </c>
      <c r="F298" s="590">
        <v>132444542</v>
      </c>
      <c r="G298" s="596">
        <v>309971264</v>
      </c>
      <c r="I298" s="591">
        <v>0</v>
      </c>
      <c r="J298" s="584">
        <v>177341879.43779999</v>
      </c>
      <c r="K298" s="584">
        <v>45713228.331600003</v>
      </c>
      <c r="L298" s="584">
        <v>2309154.99830369</v>
      </c>
      <c r="N298" s="584">
        <v>14649672.977399999</v>
      </c>
      <c r="O298" s="584">
        <v>66796189.986000001</v>
      </c>
      <c r="P298" s="591">
        <v>0</v>
      </c>
      <c r="Q298" s="584">
        <v>3340984.1708170301</v>
      </c>
      <c r="S298" s="584">
        <v>59386112.548799999</v>
      </c>
      <c r="T298" s="597">
        <v>236870</v>
      </c>
      <c r="U298" s="597">
        <v>59622983</v>
      </c>
    </row>
    <row r="299" spans="1:21" x14ac:dyDescent="0.25">
      <c r="A299" s="594">
        <v>51000.2</v>
      </c>
      <c r="B299" s="584" t="s">
        <v>1170</v>
      </c>
      <c r="C299" s="595">
        <v>2.34E-5</v>
      </c>
      <c r="D299" s="595">
        <v>3.9499999999999998E-5</v>
      </c>
      <c r="E299" s="590"/>
      <c r="F299" s="590"/>
      <c r="G299" s="596">
        <v>215070</v>
      </c>
      <c r="I299" s="591">
        <v>0</v>
      </c>
      <c r="J299" s="584">
        <v>123046.72380000001</v>
      </c>
      <c r="K299" s="584">
        <v>31717.623599999999</v>
      </c>
      <c r="L299" s="584">
        <v>2601.99811680836</v>
      </c>
      <c r="N299" s="584">
        <v>10164.5154</v>
      </c>
      <c r="O299" s="584">
        <v>46345.805999999997</v>
      </c>
      <c r="P299" s="591">
        <v>0</v>
      </c>
      <c r="Q299" s="584">
        <v>48931.273209544401</v>
      </c>
      <c r="S299" s="584">
        <v>41204.404799999997</v>
      </c>
      <c r="T299" s="597">
        <v>-12675</v>
      </c>
      <c r="U299" s="597">
        <v>28530</v>
      </c>
    </row>
    <row r="300" spans="1:21" x14ac:dyDescent="0.25">
      <c r="A300" s="594">
        <v>51000.3</v>
      </c>
      <c r="B300" s="584" t="s">
        <v>1171</v>
      </c>
      <c r="C300" s="595">
        <v>7.8580000000000002E-4</v>
      </c>
      <c r="D300" s="595">
        <v>8.1579999999999999E-4</v>
      </c>
      <c r="E300" s="590"/>
      <c r="F300" s="590"/>
      <c r="G300" s="596">
        <v>7222314</v>
      </c>
      <c r="I300" s="591">
        <v>0</v>
      </c>
      <c r="J300" s="584">
        <v>4132056.2206000001</v>
      </c>
      <c r="K300" s="584">
        <v>1065115.7531999999</v>
      </c>
      <c r="L300" s="584">
        <v>53695.7760723272</v>
      </c>
      <c r="N300" s="584">
        <v>341336.58980000002</v>
      </c>
      <c r="O300" s="584">
        <v>1556347.622</v>
      </c>
      <c r="P300" s="591">
        <v>0</v>
      </c>
      <c r="Q300" s="584">
        <v>28835.667793451699</v>
      </c>
      <c r="S300" s="584">
        <v>1383693.2176000001</v>
      </c>
      <c r="T300" s="597">
        <v>19506</v>
      </c>
      <c r="U300" s="597">
        <v>1403199</v>
      </c>
    </row>
    <row r="301" spans="1:21" x14ac:dyDescent="0.25">
      <c r="A301" s="552" t="s">
        <v>1157</v>
      </c>
      <c r="B301" s="553" t="s">
        <v>1163</v>
      </c>
      <c r="C301" s="589">
        <v>4.1300000000000001E-5</v>
      </c>
      <c r="D301" s="589">
        <v>4.0399999999999999E-5</v>
      </c>
      <c r="E301" s="590">
        <v>45523.1</v>
      </c>
      <c r="F301" s="590">
        <v>148882</v>
      </c>
      <c r="G301" s="590">
        <v>379590</v>
      </c>
      <c r="H301" s="590"/>
      <c r="I301" s="591">
        <v>0</v>
      </c>
      <c r="J301" s="591">
        <v>217172</v>
      </c>
      <c r="K301" s="591">
        <v>55980</v>
      </c>
      <c r="L301" s="590">
        <v>23619</v>
      </c>
      <c r="M301" s="590"/>
      <c r="N301" s="591">
        <v>17940</v>
      </c>
      <c r="O301" s="591">
        <v>81798</v>
      </c>
      <c r="P301" s="591">
        <v>0</v>
      </c>
      <c r="Q301" s="590">
        <v>2305</v>
      </c>
      <c r="R301" s="590"/>
      <c r="S301" s="591">
        <v>72724</v>
      </c>
      <c r="T301" s="592">
        <v>9992</v>
      </c>
      <c r="U301" s="592">
        <v>82716</v>
      </c>
    </row>
    <row r="302" spans="1:21" x14ac:dyDescent="0.25">
      <c r="B302" s="584" t="s">
        <v>466</v>
      </c>
      <c r="C302" s="601">
        <f>SUM(C3:C300)</f>
        <v>1</v>
      </c>
      <c r="D302" s="601">
        <f>SUM(D3:D300)</f>
        <v>0.99999990000000005</v>
      </c>
      <c r="E302" s="602">
        <f>SUM(E3:E300)</f>
        <v>1272194394</v>
      </c>
      <c r="F302" s="602">
        <f>SUM(F3:F300)</f>
        <v>3685197999</v>
      </c>
      <c r="G302" s="602">
        <f>SUM(G3:G300)</f>
        <v>9191032996</v>
      </c>
      <c r="H302" s="602"/>
      <c r="I302" s="602">
        <f t="shared" ref="I302:U302" si="0">SUM(I3:I300)</f>
        <v>0</v>
      </c>
      <c r="J302" s="602">
        <f t="shared" si="0"/>
        <v>5258406993</v>
      </c>
      <c r="K302" s="602">
        <f t="shared" si="0"/>
        <v>1355454004</v>
      </c>
      <c r="L302" s="602">
        <f t="shared" si="0"/>
        <v>105861789</v>
      </c>
      <c r="M302" s="602"/>
      <c r="N302" s="602">
        <f t="shared" si="0"/>
        <v>434381001</v>
      </c>
      <c r="O302" s="602">
        <f t="shared" si="0"/>
        <v>1980589997</v>
      </c>
      <c r="P302" s="602">
        <f t="shared" si="0"/>
        <v>0</v>
      </c>
      <c r="Q302" s="602">
        <f t="shared" si="0"/>
        <v>105861382</v>
      </c>
      <c r="R302" s="602"/>
      <c r="S302" s="602">
        <f t="shared" si="0"/>
        <v>1760872005</v>
      </c>
      <c r="T302" s="602">
        <f t="shared" si="0"/>
        <v>156</v>
      </c>
      <c r="U302" s="602">
        <f t="shared" si="0"/>
        <v>1760872160</v>
      </c>
    </row>
    <row r="303" spans="1:21" x14ac:dyDescent="0.25">
      <c r="G303" s="603"/>
      <c r="I303" s="603"/>
      <c r="J303" s="603"/>
      <c r="K303" s="603"/>
      <c r="L303" s="604"/>
      <c r="M303" s="603"/>
      <c r="N303" s="603"/>
      <c r="O303" s="603"/>
      <c r="P303" s="603"/>
      <c r="Q303" s="603"/>
      <c r="R303" s="603"/>
      <c r="S303" s="603"/>
      <c r="T303" s="603"/>
      <c r="U303" s="603"/>
    </row>
    <row r="304" spans="1:21" hidden="1" x14ac:dyDescent="0.25">
      <c r="J304" s="605"/>
      <c r="K304" s="605"/>
      <c r="L304" s="605"/>
      <c r="M304" s="605"/>
      <c r="N304" s="605"/>
      <c r="O304" s="605"/>
      <c r="P304" s="605"/>
      <c r="Q304" s="605"/>
      <c r="R304" s="605"/>
      <c r="S304" s="605"/>
    </row>
    <row r="305" spans="2:21" hidden="1" x14ac:dyDescent="0.25">
      <c r="J305" s="606"/>
      <c r="K305" s="607"/>
      <c r="L305" s="607"/>
      <c r="M305" s="607"/>
      <c r="N305" s="607"/>
      <c r="O305" s="607"/>
      <c r="P305" s="607"/>
      <c r="Q305" s="607"/>
      <c r="R305" s="607"/>
      <c r="S305" s="606"/>
    </row>
    <row r="306" spans="2:21" hidden="1" x14ac:dyDescent="0.25">
      <c r="J306" s="606"/>
      <c r="K306" s="607"/>
      <c r="L306" s="607"/>
      <c r="M306" s="607"/>
      <c r="N306" s="607"/>
      <c r="O306" s="607"/>
      <c r="P306" s="607"/>
      <c r="Q306" s="607"/>
      <c r="R306" s="607"/>
      <c r="S306" s="606"/>
    </row>
    <row r="307" spans="2:21" hidden="1" x14ac:dyDescent="0.25">
      <c r="J307" s="606"/>
      <c r="K307" s="607"/>
      <c r="L307" s="607"/>
      <c r="M307" s="607"/>
      <c r="N307" s="607"/>
      <c r="O307" s="607"/>
      <c r="P307" s="607"/>
      <c r="Q307" s="607"/>
      <c r="R307" s="607"/>
      <c r="S307" s="606"/>
    </row>
    <row r="308" spans="2:21" hidden="1" x14ac:dyDescent="0.25">
      <c r="J308" s="606"/>
      <c r="K308" s="607"/>
      <c r="L308" s="607"/>
      <c r="M308" s="607"/>
      <c r="N308" s="607"/>
      <c r="O308" s="607"/>
      <c r="P308" s="607"/>
      <c r="Q308" s="607"/>
      <c r="R308" s="607"/>
      <c r="S308" s="606"/>
    </row>
    <row r="309" spans="2:21" hidden="1" x14ac:dyDescent="0.25">
      <c r="J309" s="606"/>
      <c r="K309" s="607"/>
      <c r="L309" s="607"/>
      <c r="M309" s="607"/>
      <c r="N309" s="607"/>
      <c r="O309" s="607"/>
      <c r="P309" s="607"/>
      <c r="Q309" s="607"/>
      <c r="R309" s="607"/>
      <c r="S309" s="606"/>
    </row>
    <row r="310" spans="2:21" hidden="1" x14ac:dyDescent="0.25">
      <c r="J310" s="606"/>
      <c r="K310" s="607"/>
      <c r="L310" s="607"/>
      <c r="M310" s="607"/>
      <c r="N310" s="607"/>
      <c r="O310" s="607"/>
      <c r="P310" s="607"/>
      <c r="Q310" s="607"/>
      <c r="R310" s="607"/>
      <c r="S310" s="606"/>
    </row>
    <row r="311" spans="2:21" hidden="1" x14ac:dyDescent="0.25">
      <c r="J311" s="606"/>
      <c r="K311" s="607"/>
      <c r="L311" s="607"/>
      <c r="M311" s="607"/>
      <c r="N311" s="607"/>
      <c r="O311" s="607"/>
      <c r="P311" s="607"/>
      <c r="Q311" s="607"/>
      <c r="R311" s="607"/>
      <c r="S311" s="606"/>
    </row>
    <row r="312" spans="2:21" hidden="1" x14ac:dyDescent="0.25">
      <c r="J312" s="606"/>
      <c r="K312" s="607"/>
      <c r="L312" s="607"/>
      <c r="M312" s="607"/>
      <c r="N312" s="607"/>
      <c r="O312" s="607"/>
      <c r="P312" s="607"/>
      <c r="Q312" s="607"/>
      <c r="R312" s="607"/>
      <c r="S312" s="606"/>
    </row>
    <row r="313" spans="2:21" hidden="1" x14ac:dyDescent="0.25">
      <c r="J313" s="605"/>
      <c r="K313" s="605"/>
      <c r="L313" s="605"/>
      <c r="M313" s="605"/>
      <c r="N313" s="605"/>
      <c r="O313" s="605"/>
      <c r="P313" s="605"/>
      <c r="Q313" s="605"/>
      <c r="R313" s="605"/>
      <c r="S313" s="605"/>
    </row>
    <row r="315" spans="2:21" x14ac:dyDescent="0.25">
      <c r="G315" s="608"/>
      <c r="H315" s="608"/>
      <c r="I315" s="608"/>
      <c r="J315" s="608"/>
      <c r="K315" s="593"/>
      <c r="L315" s="608"/>
      <c r="M315" s="608"/>
      <c r="N315" s="608"/>
      <c r="O315" s="608"/>
      <c r="P315" s="608"/>
      <c r="Q315" s="608"/>
      <c r="R315" s="609"/>
      <c r="S315" s="608"/>
      <c r="T315" s="608"/>
      <c r="U315" s="608"/>
    </row>
    <row r="316" spans="2:21" x14ac:dyDescent="0.25">
      <c r="B316" s="588" t="s">
        <v>927</v>
      </c>
      <c r="C316" s="587">
        <v>33501</v>
      </c>
    </row>
    <row r="317" spans="2:21" x14ac:dyDescent="0.25">
      <c r="B317" s="588" t="s">
        <v>990</v>
      </c>
      <c r="C317" s="587">
        <v>36301</v>
      </c>
    </row>
    <row r="318" spans="2:21" x14ac:dyDescent="0.25">
      <c r="B318" s="588" t="s">
        <v>795</v>
      </c>
      <c r="C318" s="587">
        <v>10800</v>
      </c>
    </row>
    <row r="319" spans="2:21" x14ac:dyDescent="0.25">
      <c r="B319" s="588" t="s">
        <v>851</v>
      </c>
      <c r="C319" s="587">
        <v>30105</v>
      </c>
      <c r="G319" s="603"/>
      <c r="L319" s="610"/>
    </row>
    <row r="320" spans="2:21" x14ac:dyDescent="0.25">
      <c r="B320" s="588" t="s">
        <v>847</v>
      </c>
      <c r="C320" s="587">
        <v>30100</v>
      </c>
      <c r="G320" s="603"/>
      <c r="L320" s="610"/>
    </row>
    <row r="321" spans="2:14" x14ac:dyDescent="0.25">
      <c r="B321" s="588" t="s">
        <v>852</v>
      </c>
      <c r="C321" s="587">
        <v>30200</v>
      </c>
      <c r="G321" s="603"/>
    </row>
    <row r="322" spans="2:14" x14ac:dyDescent="0.25">
      <c r="B322" s="588" t="s">
        <v>853</v>
      </c>
      <c r="C322" s="587">
        <v>30300</v>
      </c>
      <c r="G322" s="603"/>
      <c r="K322" s="610"/>
      <c r="L322" s="610"/>
      <c r="M322" s="610"/>
      <c r="N322" s="610"/>
    </row>
    <row r="323" spans="2:14" x14ac:dyDescent="0.25">
      <c r="B323" s="588" t="s">
        <v>951</v>
      </c>
      <c r="C323" s="587">
        <v>34901</v>
      </c>
      <c r="G323" s="603"/>
      <c r="K323" s="610"/>
      <c r="L323" s="610"/>
      <c r="M323" s="610"/>
      <c r="N323" s="610"/>
    </row>
    <row r="324" spans="2:14" x14ac:dyDescent="0.25">
      <c r="B324" s="588" t="s">
        <v>854</v>
      </c>
      <c r="C324" s="587">
        <v>30400</v>
      </c>
      <c r="G324" s="603"/>
      <c r="K324" s="610"/>
      <c r="L324" s="610"/>
      <c r="M324" s="610"/>
      <c r="N324" s="610"/>
    </row>
    <row r="325" spans="2:14" x14ac:dyDescent="0.25">
      <c r="B325" s="588" t="s">
        <v>826</v>
      </c>
      <c r="C325" s="587">
        <v>20100</v>
      </c>
      <c r="G325" s="603"/>
    </row>
    <row r="326" spans="2:14" x14ac:dyDescent="0.25">
      <c r="B326" s="588" t="s">
        <v>1009</v>
      </c>
      <c r="C326" s="587">
        <v>36901</v>
      </c>
      <c r="G326" s="603"/>
    </row>
    <row r="327" spans="2:14" x14ac:dyDescent="0.25">
      <c r="B327" s="588" t="s">
        <v>923</v>
      </c>
      <c r="C327" s="587">
        <v>33402</v>
      </c>
    </row>
    <row r="328" spans="2:14" x14ac:dyDescent="0.25">
      <c r="B328" s="588" t="s">
        <v>856</v>
      </c>
      <c r="C328" s="587">
        <v>30500</v>
      </c>
    </row>
    <row r="329" spans="2:14" x14ac:dyDescent="0.25">
      <c r="B329" s="588" t="s">
        <v>1024</v>
      </c>
      <c r="C329" s="587">
        <v>37610</v>
      </c>
    </row>
    <row r="330" spans="2:14" x14ac:dyDescent="0.25">
      <c r="B330" s="588" t="s">
        <v>870</v>
      </c>
      <c r="C330" s="587">
        <v>31110</v>
      </c>
    </row>
    <row r="331" spans="2:14" x14ac:dyDescent="0.25">
      <c r="B331" s="588" t="s">
        <v>869</v>
      </c>
      <c r="C331" s="587">
        <v>31105</v>
      </c>
      <c r="L331" s="611"/>
    </row>
    <row r="332" spans="2:14" x14ac:dyDescent="0.25">
      <c r="B332" s="588" t="s">
        <v>857</v>
      </c>
      <c r="C332" s="587">
        <v>30600</v>
      </c>
    </row>
    <row r="333" spans="2:14" x14ac:dyDescent="0.25">
      <c r="B333" s="588" t="s">
        <v>818</v>
      </c>
      <c r="C333" s="587">
        <v>18600</v>
      </c>
    </row>
    <row r="334" spans="2:14" x14ac:dyDescent="0.25">
      <c r="B334" s="588" t="s">
        <v>919</v>
      </c>
      <c r="C334" s="587">
        <v>33206</v>
      </c>
    </row>
    <row r="335" spans="2:14" x14ac:dyDescent="0.25">
      <c r="B335" s="588" t="s">
        <v>860</v>
      </c>
      <c r="C335" s="587">
        <v>30705</v>
      </c>
    </row>
    <row r="336" spans="2:14" x14ac:dyDescent="0.25">
      <c r="B336" s="588" t="s">
        <v>859</v>
      </c>
      <c r="C336" s="587">
        <v>30700</v>
      </c>
    </row>
    <row r="337" spans="2:3" x14ac:dyDescent="0.25">
      <c r="B337" s="588" t="s">
        <v>861</v>
      </c>
      <c r="C337" s="587">
        <v>30800</v>
      </c>
    </row>
    <row r="338" spans="2:3" x14ac:dyDescent="0.25">
      <c r="B338" s="588" t="s">
        <v>1031</v>
      </c>
      <c r="C338" s="587">
        <v>37901</v>
      </c>
    </row>
    <row r="339" spans="2:3" x14ac:dyDescent="0.25">
      <c r="B339" s="588" t="s">
        <v>863</v>
      </c>
      <c r="C339" s="587">
        <v>30905</v>
      </c>
    </row>
    <row r="340" spans="2:3" x14ac:dyDescent="0.25">
      <c r="B340" s="588" t="s">
        <v>862</v>
      </c>
      <c r="C340" s="587">
        <v>30900</v>
      </c>
    </row>
    <row r="341" spans="2:3" x14ac:dyDescent="0.25">
      <c r="B341" s="588" t="s">
        <v>945</v>
      </c>
      <c r="C341" s="587">
        <v>34505</v>
      </c>
    </row>
    <row r="342" spans="2:3" x14ac:dyDescent="0.25">
      <c r="B342" s="588" t="s">
        <v>1054</v>
      </c>
      <c r="C342" s="587">
        <v>38801</v>
      </c>
    </row>
    <row r="343" spans="2:3" x14ac:dyDescent="0.25">
      <c r="B343" s="588" t="s">
        <v>1046</v>
      </c>
      <c r="C343" s="587">
        <v>38601</v>
      </c>
    </row>
    <row r="344" spans="2:3" x14ac:dyDescent="0.25">
      <c r="B344" s="588" t="s">
        <v>865</v>
      </c>
      <c r="C344" s="587">
        <v>31005</v>
      </c>
    </row>
    <row r="345" spans="2:3" x14ac:dyDescent="0.25">
      <c r="B345" s="588" t="s">
        <v>864</v>
      </c>
      <c r="C345" s="587">
        <v>31000</v>
      </c>
    </row>
    <row r="346" spans="2:3" x14ac:dyDescent="0.25">
      <c r="B346" s="588" t="s">
        <v>866</v>
      </c>
      <c r="C346" s="587">
        <v>31100</v>
      </c>
    </row>
    <row r="347" spans="2:3" x14ac:dyDescent="0.25">
      <c r="B347" s="588" t="s">
        <v>871</v>
      </c>
      <c r="C347" s="587">
        <v>31200</v>
      </c>
    </row>
    <row r="348" spans="2:3" x14ac:dyDescent="0.25">
      <c r="B348" s="588" t="s">
        <v>873</v>
      </c>
      <c r="C348" s="587">
        <v>31300</v>
      </c>
    </row>
    <row r="349" spans="2:3" x14ac:dyDescent="0.25">
      <c r="B349" s="588" t="s">
        <v>877</v>
      </c>
      <c r="C349" s="587">
        <v>31405</v>
      </c>
    </row>
    <row r="350" spans="2:3" x14ac:dyDescent="0.25">
      <c r="B350" s="588" t="s">
        <v>876</v>
      </c>
      <c r="C350" s="587">
        <v>31400</v>
      </c>
    </row>
    <row r="351" spans="2:3" x14ac:dyDescent="0.25">
      <c r="B351" s="588" t="s">
        <v>878</v>
      </c>
      <c r="C351" s="587">
        <v>31500</v>
      </c>
    </row>
    <row r="352" spans="2:3" x14ac:dyDescent="0.25">
      <c r="B352" s="588" t="s">
        <v>998</v>
      </c>
      <c r="C352" s="587">
        <v>36505</v>
      </c>
    </row>
    <row r="353" spans="2:3" x14ac:dyDescent="0.25">
      <c r="B353" s="588" t="s">
        <v>996</v>
      </c>
      <c r="C353" s="587">
        <v>36501</v>
      </c>
    </row>
    <row r="354" spans="2:3" x14ac:dyDescent="0.25">
      <c r="B354" s="588" t="s">
        <v>880</v>
      </c>
      <c r="C354" s="587">
        <v>31601</v>
      </c>
    </row>
    <row r="355" spans="2:3" x14ac:dyDescent="0.25">
      <c r="B355" s="588" t="s">
        <v>874</v>
      </c>
      <c r="C355" s="587">
        <v>31301</v>
      </c>
    </row>
    <row r="356" spans="2:3" x14ac:dyDescent="0.25">
      <c r="B356" s="588" t="s">
        <v>881</v>
      </c>
      <c r="C356" s="587">
        <v>31605</v>
      </c>
    </row>
    <row r="357" spans="2:3" x14ac:dyDescent="0.25">
      <c r="B357" s="588" t="s">
        <v>879</v>
      </c>
      <c r="C357" s="587">
        <v>31600</v>
      </c>
    </row>
    <row r="358" spans="2:3" x14ac:dyDescent="0.25">
      <c r="B358" s="588" t="s">
        <v>1065</v>
      </c>
      <c r="C358" s="587">
        <v>39209</v>
      </c>
    </row>
    <row r="359" spans="2:3" x14ac:dyDescent="0.25">
      <c r="B359" s="588" t="s">
        <v>882</v>
      </c>
      <c r="C359" s="587">
        <v>31700</v>
      </c>
    </row>
    <row r="360" spans="2:3" x14ac:dyDescent="0.25">
      <c r="B360" s="588" t="s">
        <v>883</v>
      </c>
      <c r="C360" s="587">
        <v>31800</v>
      </c>
    </row>
    <row r="361" spans="2:3" x14ac:dyDescent="0.25">
      <c r="B361" s="588" t="s">
        <v>884</v>
      </c>
      <c r="C361" s="587">
        <v>31805</v>
      </c>
    </row>
    <row r="362" spans="2:3" x14ac:dyDescent="0.25">
      <c r="B362" s="588" t="s">
        <v>962</v>
      </c>
      <c r="C362" s="587">
        <v>35305</v>
      </c>
    </row>
    <row r="363" spans="2:3" x14ac:dyDescent="0.25">
      <c r="B363" s="588" t="s">
        <v>915</v>
      </c>
      <c r="C363" s="587">
        <v>33202</v>
      </c>
    </row>
    <row r="364" spans="2:3" x14ac:dyDescent="0.25">
      <c r="B364" s="588" t="s">
        <v>979</v>
      </c>
      <c r="C364" s="587">
        <v>36005</v>
      </c>
    </row>
    <row r="365" spans="2:3" x14ac:dyDescent="0.25">
      <c r="B365" s="588" t="s">
        <v>1007</v>
      </c>
      <c r="C365" s="587">
        <v>36810</v>
      </c>
    </row>
    <row r="366" spans="2:3" x14ac:dyDescent="0.25">
      <c r="B366" s="588" t="s">
        <v>983</v>
      </c>
      <c r="C366" s="587">
        <v>36009</v>
      </c>
    </row>
    <row r="367" spans="2:3" x14ac:dyDescent="0.25">
      <c r="B367" s="588" t="s">
        <v>974</v>
      </c>
      <c r="C367" s="587">
        <v>36000</v>
      </c>
    </row>
    <row r="368" spans="2:3" x14ac:dyDescent="0.25">
      <c r="B368" s="588" t="s">
        <v>887</v>
      </c>
      <c r="C368" s="587">
        <v>31900</v>
      </c>
    </row>
    <row r="369" spans="2:3" x14ac:dyDescent="0.25">
      <c r="B369" s="588" t="s">
        <v>888</v>
      </c>
      <c r="C369" s="587">
        <v>32000</v>
      </c>
    </row>
    <row r="370" spans="2:3" x14ac:dyDescent="0.25">
      <c r="B370" s="588" t="s">
        <v>964</v>
      </c>
      <c r="C370" s="587">
        <v>35401</v>
      </c>
    </row>
    <row r="371" spans="2:3" x14ac:dyDescent="0.25">
      <c r="B371" s="588" t="s">
        <v>891</v>
      </c>
      <c r="C371" s="587">
        <v>32200</v>
      </c>
    </row>
    <row r="372" spans="2:3" x14ac:dyDescent="0.25">
      <c r="B372" s="588" t="s">
        <v>892</v>
      </c>
      <c r="C372" s="587">
        <v>32300</v>
      </c>
    </row>
    <row r="373" spans="2:3" x14ac:dyDescent="0.25">
      <c r="B373" s="588" t="s">
        <v>893</v>
      </c>
      <c r="C373" s="587">
        <v>32305</v>
      </c>
    </row>
    <row r="374" spans="2:3" x14ac:dyDescent="0.25">
      <c r="B374" s="588" t="s">
        <v>1039</v>
      </c>
      <c r="C374" s="587">
        <v>38210</v>
      </c>
    </row>
    <row r="375" spans="2:3" x14ac:dyDescent="0.25">
      <c r="B375" s="588" t="s">
        <v>848</v>
      </c>
      <c r="C375" s="587">
        <v>30102</v>
      </c>
    </row>
    <row r="376" spans="2:3" x14ac:dyDescent="0.25">
      <c r="B376" s="588" t="s">
        <v>1003</v>
      </c>
      <c r="C376" s="587">
        <v>36705</v>
      </c>
    </row>
    <row r="377" spans="2:3" x14ac:dyDescent="0.25">
      <c r="B377" s="588" t="s">
        <v>1012</v>
      </c>
      <c r="C377" s="587">
        <v>37005</v>
      </c>
    </row>
    <row r="378" spans="2:3" x14ac:dyDescent="0.25">
      <c r="B378" s="588" t="s">
        <v>894</v>
      </c>
      <c r="C378" s="587">
        <v>32400</v>
      </c>
    </row>
    <row r="379" spans="2:3" x14ac:dyDescent="0.25">
      <c r="B379" s="588" t="s">
        <v>975</v>
      </c>
      <c r="C379" s="587">
        <v>36001</v>
      </c>
    </row>
    <row r="380" spans="2:3" x14ac:dyDescent="0.25">
      <c r="B380" s="588" t="s">
        <v>824</v>
      </c>
      <c r="C380" s="587">
        <v>19005</v>
      </c>
    </row>
    <row r="381" spans="2:3" x14ac:dyDescent="0.25">
      <c r="B381" s="588" t="s">
        <v>977</v>
      </c>
      <c r="C381" s="587">
        <v>36003</v>
      </c>
    </row>
    <row r="382" spans="2:3" x14ac:dyDescent="0.25">
      <c r="B382" s="588" t="s">
        <v>911</v>
      </c>
      <c r="C382" s="587">
        <v>33027</v>
      </c>
    </row>
    <row r="383" spans="2:3" x14ac:dyDescent="0.25">
      <c r="B383" s="588" t="s">
        <v>978</v>
      </c>
      <c r="C383" s="587">
        <v>36004</v>
      </c>
    </row>
    <row r="384" spans="2:3" x14ac:dyDescent="0.25">
      <c r="B384" s="588" t="s">
        <v>899</v>
      </c>
      <c r="C384" s="587">
        <v>32505</v>
      </c>
    </row>
    <row r="385" spans="2:3" x14ac:dyDescent="0.25">
      <c r="B385" s="588" t="s">
        <v>900</v>
      </c>
      <c r="C385" s="587">
        <v>32600</v>
      </c>
    </row>
    <row r="386" spans="2:3" x14ac:dyDescent="0.25">
      <c r="B386" s="588" t="s">
        <v>902</v>
      </c>
      <c r="C386" s="587">
        <v>32700</v>
      </c>
    </row>
    <row r="387" spans="2:3" x14ac:dyDescent="0.25">
      <c r="B387" s="588" t="s">
        <v>903</v>
      </c>
      <c r="C387" s="587">
        <v>32800</v>
      </c>
    </row>
    <row r="388" spans="2:3" x14ac:dyDescent="0.25">
      <c r="B388" s="588" t="s">
        <v>906</v>
      </c>
      <c r="C388" s="587">
        <v>32905</v>
      </c>
    </row>
    <row r="389" spans="2:3" x14ac:dyDescent="0.25">
      <c r="B389" s="588" t="s">
        <v>904</v>
      </c>
      <c r="C389" s="587">
        <v>32900</v>
      </c>
    </row>
    <row r="390" spans="2:3" x14ac:dyDescent="0.25">
      <c r="B390" s="588" t="s">
        <v>909</v>
      </c>
      <c r="C390" s="587">
        <v>33000</v>
      </c>
    </row>
    <row r="391" spans="2:3" x14ac:dyDescent="0.25">
      <c r="B391" s="588" t="s">
        <v>797</v>
      </c>
      <c r="C391" s="587">
        <v>10900</v>
      </c>
    </row>
    <row r="392" spans="2:3" x14ac:dyDescent="0.25">
      <c r="B392" s="588" t="s">
        <v>817</v>
      </c>
      <c r="C392" s="587">
        <v>18400</v>
      </c>
    </row>
    <row r="393" spans="2:3" x14ac:dyDescent="0.25">
      <c r="B393" s="588" t="s">
        <v>810</v>
      </c>
      <c r="C393" s="587">
        <v>12510</v>
      </c>
    </row>
    <row r="394" spans="2:3" x14ac:dyDescent="0.25">
      <c r="B394" s="588" t="s">
        <v>794</v>
      </c>
      <c r="C394" s="587">
        <v>10700</v>
      </c>
    </row>
    <row r="395" spans="2:3" x14ac:dyDescent="0.25">
      <c r="B395" s="588" t="s">
        <v>792</v>
      </c>
      <c r="C395" s="587">
        <v>10400</v>
      </c>
    </row>
    <row r="396" spans="2:3" x14ac:dyDescent="0.25">
      <c r="B396" s="588" t="s">
        <v>842</v>
      </c>
      <c r="C396" s="587">
        <v>22000</v>
      </c>
    </row>
    <row r="397" spans="2:3" x14ac:dyDescent="0.25">
      <c r="B397" s="588" t="s">
        <v>825</v>
      </c>
      <c r="C397" s="587">
        <v>19100</v>
      </c>
    </row>
    <row r="398" spans="2:3" x14ac:dyDescent="0.25">
      <c r="B398" s="588" t="s">
        <v>924</v>
      </c>
      <c r="C398" s="593">
        <v>33403</v>
      </c>
    </row>
    <row r="399" spans="2:3" x14ac:dyDescent="0.25">
      <c r="B399" s="588" t="s">
        <v>912</v>
      </c>
      <c r="C399" s="587">
        <v>33100</v>
      </c>
    </row>
    <row r="400" spans="2:3" x14ac:dyDescent="0.25">
      <c r="B400" s="588" t="s">
        <v>914</v>
      </c>
      <c r="C400" s="587">
        <v>33200</v>
      </c>
    </row>
    <row r="401" spans="2:3" x14ac:dyDescent="0.25">
      <c r="B401" s="588" t="s">
        <v>918</v>
      </c>
      <c r="C401" s="587">
        <v>33205</v>
      </c>
    </row>
    <row r="402" spans="2:3" x14ac:dyDescent="0.25">
      <c r="B402" s="588" t="s">
        <v>828</v>
      </c>
      <c r="C402" s="587">
        <v>20300</v>
      </c>
    </row>
    <row r="403" spans="2:3" x14ac:dyDescent="0.25">
      <c r="B403" s="588" t="s">
        <v>1064</v>
      </c>
      <c r="C403" s="587">
        <v>39208</v>
      </c>
    </row>
    <row r="404" spans="2:3" x14ac:dyDescent="0.25">
      <c r="B404" s="588" t="s">
        <v>890</v>
      </c>
      <c r="C404" s="587">
        <v>32100</v>
      </c>
    </row>
    <row r="405" spans="2:3" x14ac:dyDescent="0.25">
      <c r="B405" s="588" t="s">
        <v>920</v>
      </c>
      <c r="C405" s="587">
        <v>33300</v>
      </c>
    </row>
    <row r="406" spans="2:3" x14ac:dyDescent="0.25">
      <c r="B406" s="588" t="s">
        <v>921</v>
      </c>
      <c r="C406" s="587">
        <v>33305</v>
      </c>
    </row>
    <row r="407" spans="2:3" x14ac:dyDescent="0.25">
      <c r="B407" s="588" t="s">
        <v>1011</v>
      </c>
      <c r="C407" s="587">
        <v>37000</v>
      </c>
    </row>
    <row r="408" spans="2:3" x14ac:dyDescent="0.25">
      <c r="B408" s="588" t="s">
        <v>829</v>
      </c>
      <c r="C408" s="587">
        <v>20400</v>
      </c>
    </row>
    <row r="409" spans="2:3" x14ac:dyDescent="0.25">
      <c r="B409" s="588" t="s">
        <v>1050</v>
      </c>
      <c r="C409" s="587">
        <v>38620</v>
      </c>
    </row>
    <row r="410" spans="2:3" x14ac:dyDescent="0.25">
      <c r="B410" s="588" t="s">
        <v>1061</v>
      </c>
      <c r="C410" s="587">
        <v>39201</v>
      </c>
    </row>
    <row r="411" spans="2:3" x14ac:dyDescent="0.25">
      <c r="B411" s="588" t="s">
        <v>802</v>
      </c>
      <c r="C411" s="587">
        <v>11300</v>
      </c>
    </row>
    <row r="412" spans="2:3" x14ac:dyDescent="0.25">
      <c r="B412" s="588" t="s">
        <v>868</v>
      </c>
      <c r="C412" s="587">
        <v>31102</v>
      </c>
    </row>
    <row r="413" spans="2:3" x14ac:dyDescent="0.25">
      <c r="B413" s="588" t="s">
        <v>867</v>
      </c>
      <c r="C413" s="587">
        <v>31101</v>
      </c>
    </row>
    <row r="414" spans="2:3" x14ac:dyDescent="0.25">
      <c r="B414" s="588" t="s">
        <v>830</v>
      </c>
      <c r="C414" s="587">
        <v>20600</v>
      </c>
    </row>
    <row r="415" spans="2:3" x14ac:dyDescent="0.25">
      <c r="B415" s="588" t="s">
        <v>901</v>
      </c>
      <c r="C415" s="587">
        <v>32605</v>
      </c>
    </row>
    <row r="416" spans="2:3" x14ac:dyDescent="0.25">
      <c r="B416" s="588" t="s">
        <v>925</v>
      </c>
      <c r="C416" s="593">
        <v>33405</v>
      </c>
    </row>
    <row r="417" spans="2:3" x14ac:dyDescent="0.25">
      <c r="B417" s="588" t="s">
        <v>926</v>
      </c>
      <c r="C417" s="593">
        <v>33500</v>
      </c>
    </row>
    <row r="418" spans="2:3" x14ac:dyDescent="0.25">
      <c r="B418" s="588" t="s">
        <v>929</v>
      </c>
      <c r="C418" s="587">
        <v>33605</v>
      </c>
    </row>
    <row r="419" spans="2:3" x14ac:dyDescent="0.25">
      <c r="B419" s="588" t="s">
        <v>1000</v>
      </c>
      <c r="C419" s="587">
        <v>36601</v>
      </c>
    </row>
    <row r="420" spans="2:3" x14ac:dyDescent="0.25">
      <c r="B420" s="588" t="s">
        <v>928</v>
      </c>
      <c r="C420" s="587">
        <v>33600</v>
      </c>
    </row>
    <row r="421" spans="2:3" x14ac:dyDescent="0.25">
      <c r="B421" s="588" t="s">
        <v>930</v>
      </c>
      <c r="C421" s="587">
        <v>33700</v>
      </c>
    </row>
    <row r="422" spans="2:3" x14ac:dyDescent="0.25">
      <c r="B422" s="588" t="s">
        <v>808</v>
      </c>
      <c r="C422" s="587">
        <v>12160</v>
      </c>
    </row>
    <row r="423" spans="2:3" x14ac:dyDescent="0.25">
      <c r="B423" s="588" t="s">
        <v>806</v>
      </c>
      <c r="C423" s="587">
        <v>12100</v>
      </c>
    </row>
    <row r="424" spans="2:3" x14ac:dyDescent="0.25">
      <c r="B424" s="588" t="s">
        <v>931</v>
      </c>
      <c r="C424" s="587">
        <v>33800</v>
      </c>
    </row>
    <row r="425" spans="2:3" x14ac:dyDescent="0.25">
      <c r="B425" s="588" t="s">
        <v>858</v>
      </c>
      <c r="C425" s="587">
        <v>30601</v>
      </c>
    </row>
    <row r="426" spans="2:3" x14ac:dyDescent="0.25">
      <c r="B426" s="588" t="s">
        <v>932</v>
      </c>
      <c r="C426" s="587">
        <v>33900</v>
      </c>
    </row>
    <row r="427" spans="2:3" x14ac:dyDescent="0.25">
      <c r="B427" s="588" t="s">
        <v>1042</v>
      </c>
      <c r="C427" s="587">
        <v>38402</v>
      </c>
    </row>
    <row r="428" spans="2:3" x14ac:dyDescent="0.25">
      <c r="B428" s="588" t="s">
        <v>933</v>
      </c>
      <c r="C428" s="587">
        <v>34000</v>
      </c>
    </row>
    <row r="429" spans="2:3" x14ac:dyDescent="0.25">
      <c r="B429" s="588" t="s">
        <v>934</v>
      </c>
      <c r="C429" s="587">
        <v>34100</v>
      </c>
    </row>
    <row r="430" spans="2:3" x14ac:dyDescent="0.25">
      <c r="B430" s="588" t="s">
        <v>935</v>
      </c>
      <c r="C430" s="587">
        <v>34105</v>
      </c>
    </row>
    <row r="431" spans="2:3" x14ac:dyDescent="0.25">
      <c r="B431" s="588" t="s">
        <v>937</v>
      </c>
      <c r="C431" s="587">
        <v>34205</v>
      </c>
    </row>
    <row r="432" spans="2:3" x14ac:dyDescent="0.25">
      <c r="B432" s="588" t="s">
        <v>936</v>
      </c>
      <c r="C432" s="587">
        <v>34200</v>
      </c>
    </row>
    <row r="433" spans="2:3" x14ac:dyDescent="0.25">
      <c r="B433" s="588" t="s">
        <v>1067</v>
      </c>
      <c r="C433" s="587">
        <v>39301</v>
      </c>
    </row>
    <row r="434" spans="2:3" x14ac:dyDescent="0.25">
      <c r="B434" s="588" t="s">
        <v>940</v>
      </c>
      <c r="C434" s="587">
        <v>34300</v>
      </c>
    </row>
    <row r="435" spans="2:3" x14ac:dyDescent="0.25">
      <c r="B435" s="588" t="s">
        <v>941</v>
      </c>
      <c r="C435" s="587">
        <v>34400</v>
      </c>
    </row>
    <row r="436" spans="2:3" x14ac:dyDescent="0.25">
      <c r="B436" s="588" t="s">
        <v>942</v>
      </c>
      <c r="C436" s="587">
        <v>34405</v>
      </c>
    </row>
    <row r="437" spans="2:3" x14ac:dyDescent="0.25">
      <c r="B437" s="588" t="s">
        <v>809</v>
      </c>
      <c r="C437" s="587">
        <v>12220</v>
      </c>
    </row>
    <row r="438" spans="2:3" x14ac:dyDescent="0.25">
      <c r="B438" s="588" t="s">
        <v>916</v>
      </c>
      <c r="C438" s="587">
        <v>33203</v>
      </c>
    </row>
    <row r="439" spans="2:3" x14ac:dyDescent="0.25">
      <c r="B439" s="588" t="s">
        <v>1069</v>
      </c>
      <c r="C439" s="587">
        <v>39401</v>
      </c>
    </row>
    <row r="440" spans="2:3" x14ac:dyDescent="0.25">
      <c r="B440" s="588" t="s">
        <v>943</v>
      </c>
      <c r="C440" s="587">
        <v>34500</v>
      </c>
    </row>
    <row r="441" spans="2:3" x14ac:dyDescent="0.25">
      <c r="B441" s="588" t="s">
        <v>946</v>
      </c>
      <c r="C441" s="587">
        <v>34600</v>
      </c>
    </row>
    <row r="442" spans="2:3" x14ac:dyDescent="0.25">
      <c r="B442" s="588" t="s">
        <v>885</v>
      </c>
      <c r="C442" s="587">
        <v>31810</v>
      </c>
    </row>
    <row r="443" spans="2:3" x14ac:dyDescent="0.25">
      <c r="B443" s="584" t="s">
        <v>1170</v>
      </c>
      <c r="C443" s="594">
        <v>51000.2</v>
      </c>
    </row>
    <row r="444" spans="2:3" x14ac:dyDescent="0.25">
      <c r="B444" s="584" t="s">
        <v>1171</v>
      </c>
      <c r="C444" s="594">
        <v>51000.3</v>
      </c>
    </row>
    <row r="445" spans="2:3" x14ac:dyDescent="0.25">
      <c r="B445" s="584" t="s">
        <v>1169</v>
      </c>
      <c r="C445" s="594">
        <v>51000</v>
      </c>
    </row>
    <row r="446" spans="2:3" x14ac:dyDescent="0.25">
      <c r="B446" s="588" t="s">
        <v>948</v>
      </c>
      <c r="C446" s="587">
        <v>34700</v>
      </c>
    </row>
    <row r="447" spans="2:3" x14ac:dyDescent="0.25">
      <c r="B447" s="588" t="s">
        <v>949</v>
      </c>
      <c r="C447" s="587">
        <v>34800</v>
      </c>
    </row>
    <row r="448" spans="2:3" x14ac:dyDescent="0.25">
      <c r="B448" s="588" t="s">
        <v>799</v>
      </c>
      <c r="C448" s="587">
        <v>10930</v>
      </c>
    </row>
    <row r="449" spans="2:3" x14ac:dyDescent="0.25">
      <c r="B449" s="588" t="s">
        <v>811</v>
      </c>
      <c r="C449" s="587">
        <v>12600</v>
      </c>
    </row>
    <row r="450" spans="2:3" x14ac:dyDescent="0.25">
      <c r="B450" s="588" t="s">
        <v>1134</v>
      </c>
      <c r="C450" s="587">
        <v>33207</v>
      </c>
    </row>
    <row r="451" spans="2:3" x14ac:dyDescent="0.25">
      <c r="B451" s="588" t="s">
        <v>905</v>
      </c>
      <c r="C451" s="587">
        <v>32901</v>
      </c>
    </row>
    <row r="452" spans="2:3" x14ac:dyDescent="0.25">
      <c r="B452" s="588" t="s">
        <v>950</v>
      </c>
      <c r="C452" s="587">
        <v>34900</v>
      </c>
    </row>
    <row r="453" spans="2:3" x14ac:dyDescent="0.25">
      <c r="B453" s="588" t="s">
        <v>1036</v>
      </c>
      <c r="C453" s="587">
        <v>38105</v>
      </c>
    </row>
    <row r="454" spans="2:3" x14ac:dyDescent="0.25">
      <c r="B454" s="588" t="s">
        <v>955</v>
      </c>
      <c r="C454" s="587">
        <v>35000</v>
      </c>
    </row>
    <row r="455" spans="2:3" x14ac:dyDescent="0.25">
      <c r="B455" s="588" t="s">
        <v>913</v>
      </c>
      <c r="C455" s="587">
        <v>33105</v>
      </c>
    </row>
    <row r="456" spans="2:3" x14ac:dyDescent="0.25">
      <c r="B456" s="588" t="s">
        <v>957</v>
      </c>
      <c r="C456" s="587">
        <v>35100</v>
      </c>
    </row>
    <row r="457" spans="2:3" x14ac:dyDescent="0.25">
      <c r="B457" s="588" t="s">
        <v>958</v>
      </c>
      <c r="C457" s="587">
        <v>35105</v>
      </c>
    </row>
    <row r="458" spans="2:3" x14ac:dyDescent="0.25">
      <c r="B458" s="588" t="s">
        <v>960</v>
      </c>
      <c r="C458" s="587">
        <v>35200</v>
      </c>
    </row>
    <row r="459" spans="2:3" x14ac:dyDescent="0.25">
      <c r="B459" s="588" t="s">
        <v>875</v>
      </c>
      <c r="C459" s="587">
        <v>31320</v>
      </c>
    </row>
    <row r="460" spans="2:3" x14ac:dyDescent="0.25">
      <c r="B460" s="588" t="s">
        <v>976</v>
      </c>
      <c r="C460" s="587">
        <v>36002</v>
      </c>
    </row>
    <row r="461" spans="2:3" x14ac:dyDescent="0.25">
      <c r="B461" s="588" t="s">
        <v>965</v>
      </c>
      <c r="C461" s="587">
        <v>35402</v>
      </c>
    </row>
    <row r="462" spans="2:3" x14ac:dyDescent="0.25">
      <c r="B462" s="588" t="s">
        <v>985</v>
      </c>
      <c r="C462" s="587">
        <v>36102</v>
      </c>
    </row>
    <row r="463" spans="2:3" x14ac:dyDescent="0.25">
      <c r="B463" s="588" t="s">
        <v>1135</v>
      </c>
      <c r="C463" s="587">
        <v>33208</v>
      </c>
    </row>
    <row r="464" spans="2:3" x14ac:dyDescent="0.25">
      <c r="B464" s="588" t="s">
        <v>812</v>
      </c>
      <c r="C464" s="587">
        <v>12700</v>
      </c>
    </row>
    <row r="465" spans="2:3" x14ac:dyDescent="0.25">
      <c r="B465" s="588" t="s">
        <v>980</v>
      </c>
      <c r="C465" s="587">
        <v>36006</v>
      </c>
    </row>
    <row r="466" spans="2:3" x14ac:dyDescent="0.25">
      <c r="B466" s="588" t="s">
        <v>966</v>
      </c>
      <c r="C466" s="587">
        <v>35405</v>
      </c>
    </row>
    <row r="467" spans="2:3" x14ac:dyDescent="0.25">
      <c r="B467" s="588" t="s">
        <v>963</v>
      </c>
      <c r="C467" s="587">
        <v>35400</v>
      </c>
    </row>
    <row r="468" spans="2:3" x14ac:dyDescent="0.25">
      <c r="B468" s="588" t="s">
        <v>907</v>
      </c>
      <c r="C468" s="587">
        <v>32910</v>
      </c>
    </row>
    <row r="469" spans="2:3" x14ac:dyDescent="0.25">
      <c r="B469" s="588" t="s">
        <v>967</v>
      </c>
      <c r="C469" s="587">
        <v>35500</v>
      </c>
    </row>
    <row r="470" spans="2:3" x14ac:dyDescent="0.25">
      <c r="B470" s="588" t="s">
        <v>807</v>
      </c>
      <c r="C470" s="587">
        <v>12150</v>
      </c>
    </row>
    <row r="471" spans="2:3" x14ac:dyDescent="0.25">
      <c r="B471" s="588" t="s">
        <v>968</v>
      </c>
      <c r="C471" s="587">
        <v>35600</v>
      </c>
    </row>
    <row r="472" spans="2:3" x14ac:dyDescent="0.25">
      <c r="B472" s="588" t="s">
        <v>969</v>
      </c>
      <c r="C472" s="587">
        <v>35700</v>
      </c>
    </row>
    <row r="473" spans="2:3" x14ac:dyDescent="0.25">
      <c r="B473" s="588" t="s">
        <v>971</v>
      </c>
      <c r="C473" s="587">
        <v>35805</v>
      </c>
    </row>
    <row r="474" spans="2:3" x14ac:dyDescent="0.25">
      <c r="B474" s="588" t="s">
        <v>970</v>
      </c>
      <c r="C474" s="587">
        <v>35800</v>
      </c>
    </row>
    <row r="475" spans="2:3" x14ac:dyDescent="0.25">
      <c r="B475" s="588" t="s">
        <v>986</v>
      </c>
      <c r="C475" s="587">
        <v>36105</v>
      </c>
    </row>
    <row r="476" spans="2:3" x14ac:dyDescent="0.25">
      <c r="B476" s="588" t="s">
        <v>972</v>
      </c>
      <c r="C476" s="587">
        <v>35900</v>
      </c>
    </row>
    <row r="477" spans="2:3" x14ac:dyDescent="0.25">
      <c r="B477" s="588" t="s">
        <v>973</v>
      </c>
      <c r="C477" s="587">
        <v>35905</v>
      </c>
    </row>
    <row r="478" spans="2:3" x14ac:dyDescent="0.25">
      <c r="B478" s="588" t="s">
        <v>1047</v>
      </c>
      <c r="C478" s="587">
        <v>38602</v>
      </c>
    </row>
    <row r="479" spans="2:3" x14ac:dyDescent="0.25">
      <c r="B479" s="588" t="s">
        <v>953</v>
      </c>
      <c r="C479" s="587">
        <v>34905</v>
      </c>
    </row>
    <row r="480" spans="2:3" x14ac:dyDescent="0.25">
      <c r="B480" s="588" t="s">
        <v>984</v>
      </c>
      <c r="C480" s="587">
        <v>36100</v>
      </c>
    </row>
    <row r="481" spans="2:3" x14ac:dyDescent="0.25">
      <c r="B481" s="588" t="s">
        <v>988</v>
      </c>
      <c r="C481" s="587">
        <v>36205</v>
      </c>
    </row>
    <row r="482" spans="2:3" x14ac:dyDescent="0.25">
      <c r="B482" s="588" t="s">
        <v>987</v>
      </c>
      <c r="C482" s="587">
        <v>36200</v>
      </c>
    </row>
    <row r="483" spans="2:3" x14ac:dyDescent="0.25">
      <c r="B483" s="588" t="s">
        <v>989</v>
      </c>
      <c r="C483" s="587">
        <v>36300</v>
      </c>
    </row>
    <row r="484" spans="2:3" x14ac:dyDescent="0.25">
      <c r="B484" s="588" t="s">
        <v>954</v>
      </c>
      <c r="C484" s="587">
        <v>34910</v>
      </c>
    </row>
    <row r="485" spans="2:3" x14ac:dyDescent="0.25">
      <c r="B485" s="588" t="s">
        <v>1049</v>
      </c>
      <c r="C485" s="587">
        <v>38610</v>
      </c>
    </row>
    <row r="486" spans="2:3" x14ac:dyDescent="0.25">
      <c r="B486" s="588" t="s">
        <v>944</v>
      </c>
      <c r="C486" s="587">
        <v>34501</v>
      </c>
    </row>
    <row r="487" spans="2:3" x14ac:dyDescent="0.25">
      <c r="B487" s="588" t="s">
        <v>1052</v>
      </c>
      <c r="C487" s="587">
        <v>38701</v>
      </c>
    </row>
    <row r="488" spans="2:3" x14ac:dyDescent="0.25">
      <c r="B488" s="588" t="s">
        <v>822</v>
      </c>
      <c r="C488" s="587">
        <v>18740</v>
      </c>
    </row>
    <row r="489" spans="2:3" x14ac:dyDescent="0.25">
      <c r="B489" s="588" t="s">
        <v>832</v>
      </c>
      <c r="C489" s="587">
        <v>20800</v>
      </c>
    </row>
    <row r="490" spans="2:3" x14ac:dyDescent="0.25">
      <c r="B490" s="588" t="s">
        <v>821</v>
      </c>
      <c r="C490" s="587">
        <v>18690</v>
      </c>
    </row>
    <row r="491" spans="2:3" x14ac:dyDescent="0.25">
      <c r="B491" s="588" t="s">
        <v>801</v>
      </c>
      <c r="C491" s="587">
        <v>10950</v>
      </c>
    </row>
    <row r="492" spans="2:3" x14ac:dyDescent="0.25">
      <c r="B492" s="588" t="s">
        <v>827</v>
      </c>
      <c r="C492" s="587">
        <v>20200</v>
      </c>
    </row>
    <row r="493" spans="2:3" x14ac:dyDescent="0.25">
      <c r="B493" s="588" t="s">
        <v>823</v>
      </c>
      <c r="C493" s="587">
        <v>18780</v>
      </c>
    </row>
    <row r="494" spans="2:3" x14ac:dyDescent="0.25">
      <c r="B494" s="588" t="s">
        <v>835</v>
      </c>
      <c r="C494" s="587">
        <v>21300</v>
      </c>
    </row>
    <row r="495" spans="2:3" x14ac:dyDescent="0.25">
      <c r="B495" s="588" t="s">
        <v>1168</v>
      </c>
      <c r="C495" s="587">
        <v>37001</v>
      </c>
    </row>
    <row r="496" spans="2:3" x14ac:dyDescent="0.25">
      <c r="B496" s="588" t="s">
        <v>910</v>
      </c>
      <c r="C496" s="587">
        <v>33001</v>
      </c>
    </row>
    <row r="497" spans="2:3" x14ac:dyDescent="0.25">
      <c r="B497" s="588" t="s">
        <v>994</v>
      </c>
      <c r="C497" s="587">
        <v>36405</v>
      </c>
    </row>
    <row r="498" spans="2:3" x14ac:dyDescent="0.25">
      <c r="B498" s="588" t="s">
        <v>993</v>
      </c>
      <c r="C498" s="587">
        <v>36400</v>
      </c>
    </row>
    <row r="499" spans="2:3" x14ac:dyDescent="0.25">
      <c r="B499" s="588" t="s">
        <v>831</v>
      </c>
      <c r="C499" s="587">
        <v>20700</v>
      </c>
    </row>
    <row r="500" spans="2:3" x14ac:dyDescent="0.25">
      <c r="B500" s="588" t="s">
        <v>815</v>
      </c>
      <c r="C500" s="587">
        <v>14200</v>
      </c>
    </row>
    <row r="501" spans="2:3" x14ac:dyDescent="0.25">
      <c r="B501" s="588" t="s">
        <v>803</v>
      </c>
      <c r="C501" s="587">
        <v>11310</v>
      </c>
    </row>
    <row r="502" spans="2:3" x14ac:dyDescent="0.25">
      <c r="B502" s="588" t="s">
        <v>959</v>
      </c>
      <c r="C502" s="587">
        <v>35106</v>
      </c>
    </row>
    <row r="503" spans="2:3" x14ac:dyDescent="0.25">
      <c r="B503" s="588" t="s">
        <v>898</v>
      </c>
      <c r="C503" s="587">
        <v>32500</v>
      </c>
    </row>
    <row r="504" spans="2:3" x14ac:dyDescent="0.25">
      <c r="B504" s="588" t="s">
        <v>995</v>
      </c>
      <c r="C504" s="587">
        <v>36500</v>
      </c>
    </row>
    <row r="505" spans="2:3" x14ac:dyDescent="0.25">
      <c r="B505" s="588" t="s">
        <v>886</v>
      </c>
      <c r="C505" s="587">
        <v>31820</v>
      </c>
    </row>
    <row r="506" spans="2:3" x14ac:dyDescent="0.25">
      <c r="B506" s="588" t="s">
        <v>819</v>
      </c>
      <c r="C506" s="587">
        <v>18640</v>
      </c>
    </row>
    <row r="507" spans="2:3" x14ac:dyDescent="0.25">
      <c r="B507" s="588" t="s">
        <v>791</v>
      </c>
      <c r="C507" s="587">
        <v>10200</v>
      </c>
    </row>
    <row r="508" spans="2:3" x14ac:dyDescent="0.25">
      <c r="B508" s="588" t="s">
        <v>999</v>
      </c>
      <c r="C508" s="587">
        <v>36600</v>
      </c>
    </row>
    <row r="509" spans="2:3" x14ac:dyDescent="0.25">
      <c r="B509" s="588" t="s">
        <v>796</v>
      </c>
      <c r="C509" s="587">
        <v>10850</v>
      </c>
    </row>
    <row r="510" spans="2:3" x14ac:dyDescent="0.25">
      <c r="B510" s="588" t="s">
        <v>798</v>
      </c>
      <c r="C510" s="587">
        <v>10910</v>
      </c>
    </row>
    <row r="511" spans="2:3" x14ac:dyDescent="0.25">
      <c r="B511" s="588" t="s">
        <v>800</v>
      </c>
      <c r="C511" s="587">
        <v>10940</v>
      </c>
    </row>
    <row r="512" spans="2:3" x14ac:dyDescent="0.25">
      <c r="B512" s="588" t="s">
        <v>1001</v>
      </c>
      <c r="C512" s="587">
        <v>36700</v>
      </c>
    </row>
    <row r="513" spans="2:3" x14ac:dyDescent="0.25">
      <c r="B513" s="588" t="s">
        <v>1006</v>
      </c>
      <c r="C513" s="587">
        <v>36802</v>
      </c>
    </row>
    <row r="514" spans="2:3" x14ac:dyDescent="0.25">
      <c r="B514" s="588" t="s">
        <v>1004</v>
      </c>
      <c r="C514" s="587">
        <v>36800</v>
      </c>
    </row>
    <row r="515" spans="2:3" x14ac:dyDescent="0.25">
      <c r="B515" s="588" t="s">
        <v>1005</v>
      </c>
      <c r="C515" s="587">
        <v>36801</v>
      </c>
    </row>
    <row r="516" spans="2:3" x14ac:dyDescent="0.25">
      <c r="B516" s="588" t="s">
        <v>1010</v>
      </c>
      <c r="C516" s="587">
        <v>36905</v>
      </c>
    </row>
    <row r="517" spans="2:3" x14ac:dyDescent="0.25">
      <c r="B517" s="588" t="s">
        <v>1008</v>
      </c>
      <c r="C517" s="587">
        <v>36900</v>
      </c>
    </row>
    <row r="518" spans="2:3" x14ac:dyDescent="0.25">
      <c r="B518" s="588" t="s">
        <v>1013</v>
      </c>
      <c r="C518" s="587">
        <v>37100</v>
      </c>
    </row>
    <row r="519" spans="2:3" x14ac:dyDescent="0.25">
      <c r="B519" s="588" t="s">
        <v>1014</v>
      </c>
      <c r="C519" s="587">
        <v>37200</v>
      </c>
    </row>
    <row r="520" spans="2:3" x14ac:dyDescent="0.25">
      <c r="B520" s="588" t="s">
        <v>1015</v>
      </c>
      <c r="C520" s="587">
        <v>37300</v>
      </c>
    </row>
    <row r="521" spans="2:3" x14ac:dyDescent="0.25">
      <c r="B521" s="588" t="s">
        <v>1017</v>
      </c>
      <c r="C521" s="587">
        <v>37305</v>
      </c>
    </row>
    <row r="522" spans="2:3" x14ac:dyDescent="0.25">
      <c r="B522" s="588" t="s">
        <v>982</v>
      </c>
      <c r="C522" s="587">
        <v>36008</v>
      </c>
    </row>
    <row r="523" spans="2:3" x14ac:dyDescent="0.25">
      <c r="B523" s="588" t="s">
        <v>1075</v>
      </c>
      <c r="C523" s="587">
        <v>39703</v>
      </c>
    </row>
    <row r="524" spans="2:3" x14ac:dyDescent="0.25">
      <c r="B524" s="588" t="s">
        <v>1136</v>
      </c>
      <c r="C524" s="587">
        <v>33209</v>
      </c>
    </row>
    <row r="525" spans="2:3" x14ac:dyDescent="0.25">
      <c r="B525" s="588" t="s">
        <v>1019</v>
      </c>
      <c r="C525" s="587">
        <v>37405</v>
      </c>
    </row>
    <row r="526" spans="2:3" x14ac:dyDescent="0.25">
      <c r="B526" s="588" t="s">
        <v>1018</v>
      </c>
      <c r="C526" s="587">
        <v>37400</v>
      </c>
    </row>
    <row r="527" spans="2:3" x14ac:dyDescent="0.25">
      <c r="B527" s="588" t="s">
        <v>1020</v>
      </c>
      <c r="C527" s="587">
        <v>37500</v>
      </c>
    </row>
    <row r="528" spans="2:3" x14ac:dyDescent="0.25">
      <c r="B528" s="588" t="s">
        <v>1023</v>
      </c>
      <c r="C528" s="587">
        <v>37605</v>
      </c>
    </row>
    <row r="529" spans="2:3" x14ac:dyDescent="0.25">
      <c r="B529" s="588" t="s">
        <v>1021</v>
      </c>
      <c r="C529" s="587">
        <v>37600</v>
      </c>
    </row>
    <row r="530" spans="2:3" x14ac:dyDescent="0.25">
      <c r="B530" s="588" t="s">
        <v>813</v>
      </c>
      <c r="C530" s="587">
        <v>13500</v>
      </c>
    </row>
    <row r="531" spans="2:3" x14ac:dyDescent="0.25">
      <c r="B531" s="588" t="s">
        <v>1025</v>
      </c>
      <c r="C531" s="587">
        <v>37700</v>
      </c>
    </row>
    <row r="532" spans="2:3" x14ac:dyDescent="0.25">
      <c r="B532" s="588" t="s">
        <v>1026</v>
      </c>
      <c r="C532" s="587">
        <v>37705</v>
      </c>
    </row>
    <row r="533" spans="2:3" x14ac:dyDescent="0.25">
      <c r="B533" s="588" t="s">
        <v>849</v>
      </c>
      <c r="C533" s="587">
        <v>30103</v>
      </c>
    </row>
    <row r="534" spans="2:3" x14ac:dyDescent="0.25">
      <c r="B534" s="588" t="s">
        <v>938</v>
      </c>
      <c r="C534" s="587">
        <v>34220</v>
      </c>
    </row>
    <row r="535" spans="2:3" x14ac:dyDescent="0.25">
      <c r="B535" s="588" t="s">
        <v>947</v>
      </c>
      <c r="C535" s="587">
        <v>34605</v>
      </c>
    </row>
    <row r="536" spans="2:3" x14ac:dyDescent="0.25">
      <c r="B536" s="588" t="s">
        <v>1029</v>
      </c>
      <c r="C536" s="587">
        <v>37805</v>
      </c>
    </row>
    <row r="537" spans="2:3" x14ac:dyDescent="0.25">
      <c r="B537" s="588" t="s">
        <v>1027</v>
      </c>
      <c r="C537" s="587">
        <v>37800</v>
      </c>
    </row>
    <row r="538" spans="2:3" x14ac:dyDescent="0.25">
      <c r="B538" s="588" t="s">
        <v>1032</v>
      </c>
      <c r="C538" s="587">
        <v>37905</v>
      </c>
    </row>
    <row r="539" spans="2:3" x14ac:dyDescent="0.25">
      <c r="B539" s="588" t="s">
        <v>1030</v>
      </c>
      <c r="C539" s="587">
        <v>37900</v>
      </c>
    </row>
    <row r="540" spans="2:3" x14ac:dyDescent="0.25">
      <c r="B540" s="588" t="s">
        <v>1034</v>
      </c>
      <c r="C540" s="587">
        <v>38005</v>
      </c>
    </row>
    <row r="541" spans="2:3" x14ac:dyDescent="0.25">
      <c r="B541" s="588" t="s">
        <v>1033</v>
      </c>
      <c r="C541" s="587">
        <v>38000</v>
      </c>
    </row>
    <row r="542" spans="2:3" x14ac:dyDescent="0.25">
      <c r="B542" s="588" t="s">
        <v>1016</v>
      </c>
      <c r="C542" s="587">
        <v>37301</v>
      </c>
    </row>
    <row r="543" spans="2:3" x14ac:dyDescent="0.25">
      <c r="B543" s="588" t="s">
        <v>1035</v>
      </c>
      <c r="C543" s="587">
        <v>38100</v>
      </c>
    </row>
    <row r="544" spans="2:3" x14ac:dyDescent="0.25">
      <c r="B544" s="588" t="s">
        <v>1038</v>
      </c>
      <c r="C544" s="587">
        <v>38205</v>
      </c>
    </row>
    <row r="545" spans="2:3" x14ac:dyDescent="0.25">
      <c r="B545" s="588" t="s">
        <v>1037</v>
      </c>
      <c r="C545" s="587">
        <v>38200</v>
      </c>
    </row>
    <row r="546" spans="2:3" x14ac:dyDescent="0.25">
      <c r="B546" s="588" t="s">
        <v>992</v>
      </c>
      <c r="C546" s="587">
        <v>36305</v>
      </c>
    </row>
    <row r="547" spans="2:3" x14ac:dyDescent="0.25">
      <c r="B547" s="588" t="s">
        <v>961</v>
      </c>
      <c r="C547" s="587">
        <v>35300</v>
      </c>
    </row>
    <row r="548" spans="2:3" x14ac:dyDescent="0.25">
      <c r="B548" s="588" t="s">
        <v>1040</v>
      </c>
      <c r="C548" s="587">
        <v>38300</v>
      </c>
    </row>
    <row r="549" spans="2:3" x14ac:dyDescent="0.25">
      <c r="B549" s="588" t="s">
        <v>814</v>
      </c>
      <c r="C549" s="587">
        <v>13700</v>
      </c>
    </row>
    <row r="550" spans="2:3" x14ac:dyDescent="0.25">
      <c r="B550" s="588" t="s">
        <v>897</v>
      </c>
      <c r="C550" s="587">
        <v>32420</v>
      </c>
    </row>
    <row r="551" spans="2:3" x14ac:dyDescent="0.25">
      <c r="B551" s="588" t="s">
        <v>981</v>
      </c>
      <c r="C551" s="587">
        <v>36007</v>
      </c>
    </row>
    <row r="552" spans="2:3" x14ac:dyDescent="0.25">
      <c r="B552" s="588" t="s">
        <v>855</v>
      </c>
      <c r="C552" s="587">
        <v>30405</v>
      </c>
    </row>
    <row r="553" spans="2:3" x14ac:dyDescent="0.25">
      <c r="B553" s="588" t="s">
        <v>1028</v>
      </c>
      <c r="C553" s="587">
        <v>37801</v>
      </c>
    </row>
    <row r="554" spans="2:3" x14ac:dyDescent="0.25">
      <c r="B554" s="588" t="s">
        <v>895</v>
      </c>
      <c r="C554" s="587">
        <v>32405</v>
      </c>
    </row>
    <row r="555" spans="2:3" x14ac:dyDescent="0.25">
      <c r="B555" s="588" t="s">
        <v>1062</v>
      </c>
      <c r="C555" s="587">
        <v>39204</v>
      </c>
    </row>
    <row r="556" spans="2:3" x14ac:dyDescent="0.25">
      <c r="B556" s="588" t="s">
        <v>956</v>
      </c>
      <c r="C556" s="587">
        <v>35005</v>
      </c>
    </row>
    <row r="557" spans="2:3" x14ac:dyDescent="0.25">
      <c r="B557" s="588" t="s">
        <v>1043</v>
      </c>
      <c r="C557" s="587">
        <v>38405</v>
      </c>
    </row>
    <row r="558" spans="2:3" x14ac:dyDescent="0.25">
      <c r="B558" s="588" t="s">
        <v>1041</v>
      </c>
      <c r="C558" s="587">
        <v>38400</v>
      </c>
    </row>
    <row r="559" spans="2:3" x14ac:dyDescent="0.25">
      <c r="B559" s="588" t="s">
        <v>991</v>
      </c>
      <c r="C559" s="587">
        <v>36302</v>
      </c>
    </row>
    <row r="560" spans="2:3" x14ac:dyDescent="0.25">
      <c r="B560" s="588" t="s">
        <v>793</v>
      </c>
      <c r="C560" s="587">
        <v>10500</v>
      </c>
    </row>
    <row r="561" spans="2:3" x14ac:dyDescent="0.25">
      <c r="B561" s="588" t="s">
        <v>805</v>
      </c>
      <c r="C561" s="587">
        <v>11900</v>
      </c>
    </row>
    <row r="562" spans="2:3" x14ac:dyDescent="0.25">
      <c r="B562" s="588" t="s">
        <v>820</v>
      </c>
      <c r="C562" s="587">
        <v>18670</v>
      </c>
    </row>
    <row r="563" spans="2:3" x14ac:dyDescent="0.25">
      <c r="B563" s="588" t="s">
        <v>1165</v>
      </c>
      <c r="C563" s="587">
        <v>14300.2</v>
      </c>
    </row>
    <row r="564" spans="2:3" x14ac:dyDescent="0.25">
      <c r="B564" s="588" t="s">
        <v>1164</v>
      </c>
      <c r="C564" s="587">
        <v>14300</v>
      </c>
    </row>
    <row r="565" spans="2:3" x14ac:dyDescent="0.25">
      <c r="B565" s="588" t="s">
        <v>1044</v>
      </c>
      <c r="C565" s="587">
        <v>38500</v>
      </c>
    </row>
    <row r="566" spans="2:3" x14ac:dyDescent="0.25">
      <c r="B566" s="588" t="s">
        <v>952</v>
      </c>
      <c r="C566" s="587">
        <v>34903</v>
      </c>
    </row>
    <row r="567" spans="2:3" x14ac:dyDescent="0.25">
      <c r="B567" s="588" t="s">
        <v>1048</v>
      </c>
      <c r="C567" s="587">
        <v>38605</v>
      </c>
    </row>
    <row r="568" spans="2:3" x14ac:dyDescent="0.25">
      <c r="B568" s="588" t="s">
        <v>1045</v>
      </c>
      <c r="C568" s="587">
        <v>38600</v>
      </c>
    </row>
    <row r="569" spans="2:3" x14ac:dyDescent="0.25">
      <c r="B569" s="588" t="s">
        <v>1051</v>
      </c>
      <c r="C569" s="587">
        <v>38700</v>
      </c>
    </row>
    <row r="570" spans="2:3" x14ac:dyDescent="0.25">
      <c r="B570" s="588" t="s">
        <v>850</v>
      </c>
      <c r="C570" s="587">
        <v>30104</v>
      </c>
    </row>
    <row r="571" spans="2:3" x14ac:dyDescent="0.25">
      <c r="B571" s="588" t="s">
        <v>908</v>
      </c>
      <c r="C571" s="587">
        <v>32920</v>
      </c>
    </row>
    <row r="572" spans="2:3" x14ac:dyDescent="0.25">
      <c r="B572" s="588" t="s">
        <v>1053</v>
      </c>
      <c r="C572" s="587">
        <v>38800</v>
      </c>
    </row>
    <row r="573" spans="2:3" x14ac:dyDescent="0.25">
      <c r="B573" s="588" t="s">
        <v>889</v>
      </c>
      <c r="C573" s="587">
        <v>32005</v>
      </c>
    </row>
    <row r="574" spans="2:3" x14ac:dyDescent="0.25">
      <c r="B574" s="588" t="s">
        <v>1071</v>
      </c>
      <c r="C574" s="587">
        <v>39501</v>
      </c>
    </row>
    <row r="575" spans="2:3" x14ac:dyDescent="0.25">
      <c r="B575" s="588" t="s">
        <v>1055</v>
      </c>
      <c r="C575" s="587">
        <v>38900</v>
      </c>
    </row>
    <row r="576" spans="2:3" x14ac:dyDescent="0.25">
      <c r="B576" s="588" t="s">
        <v>834</v>
      </c>
      <c r="C576" s="587">
        <v>21200</v>
      </c>
    </row>
    <row r="577" spans="2:3" x14ac:dyDescent="0.25">
      <c r="B577" s="588" t="s">
        <v>838</v>
      </c>
      <c r="C577" s="587">
        <v>21550</v>
      </c>
    </row>
    <row r="578" spans="2:3" x14ac:dyDescent="0.25">
      <c r="B578" s="588" t="s">
        <v>836</v>
      </c>
      <c r="C578" s="587">
        <v>21520</v>
      </c>
    </row>
    <row r="579" spans="2:3" x14ac:dyDescent="0.25">
      <c r="B579" s="588" t="s">
        <v>1167</v>
      </c>
      <c r="C579" s="587">
        <v>21525.200000000001</v>
      </c>
    </row>
    <row r="580" spans="2:3" x14ac:dyDescent="0.25">
      <c r="B580" s="588" t="s">
        <v>1166</v>
      </c>
      <c r="C580" s="587">
        <v>21525</v>
      </c>
    </row>
    <row r="581" spans="2:3" x14ac:dyDescent="0.25">
      <c r="B581" s="588" t="s">
        <v>1056</v>
      </c>
      <c r="C581" s="587">
        <v>39000</v>
      </c>
    </row>
    <row r="582" spans="2:3" x14ac:dyDescent="0.25">
      <c r="B582" s="588" t="s">
        <v>843</v>
      </c>
      <c r="C582" s="587">
        <v>23000</v>
      </c>
    </row>
    <row r="583" spans="2:3" x14ac:dyDescent="0.25">
      <c r="B583" s="588" t="s">
        <v>844</v>
      </c>
      <c r="C583" s="587">
        <v>23100</v>
      </c>
    </row>
    <row r="584" spans="2:3" x14ac:dyDescent="0.25">
      <c r="B584" s="588" t="s">
        <v>833</v>
      </c>
      <c r="C584" s="587">
        <v>20900</v>
      </c>
    </row>
    <row r="585" spans="2:3" x14ac:dyDescent="0.25">
      <c r="B585" s="588" t="s">
        <v>845</v>
      </c>
      <c r="C585" s="587">
        <v>23200</v>
      </c>
    </row>
    <row r="586" spans="2:3" x14ac:dyDescent="0.25">
      <c r="B586" s="588" t="s">
        <v>839</v>
      </c>
      <c r="C586" s="587">
        <v>21570</v>
      </c>
    </row>
    <row r="587" spans="2:3" x14ac:dyDescent="0.25">
      <c r="B587" s="588" t="s">
        <v>1022</v>
      </c>
      <c r="C587" s="587">
        <v>37601</v>
      </c>
    </row>
    <row r="588" spans="2:3" x14ac:dyDescent="0.25">
      <c r="B588" s="588" t="s">
        <v>1058</v>
      </c>
      <c r="C588" s="587">
        <v>39101</v>
      </c>
    </row>
    <row r="589" spans="2:3" x14ac:dyDescent="0.25">
      <c r="B589" s="588" t="s">
        <v>1057</v>
      </c>
      <c r="C589" s="587">
        <v>39100</v>
      </c>
    </row>
    <row r="590" spans="2:3" x14ac:dyDescent="0.25">
      <c r="B590" s="588" t="s">
        <v>1059</v>
      </c>
      <c r="C590" s="587">
        <v>39105</v>
      </c>
    </row>
    <row r="591" spans="2:3" x14ac:dyDescent="0.25">
      <c r="B591" s="588" t="s">
        <v>917</v>
      </c>
      <c r="C591" s="587">
        <v>33204</v>
      </c>
    </row>
    <row r="592" spans="2:3" x14ac:dyDescent="0.25">
      <c r="B592" s="588" t="s">
        <v>1060</v>
      </c>
      <c r="C592" s="587">
        <v>39200</v>
      </c>
    </row>
    <row r="593" spans="2:3" x14ac:dyDescent="0.25">
      <c r="B593" s="588" t="s">
        <v>1063</v>
      </c>
      <c r="C593" s="587">
        <v>39205</v>
      </c>
    </row>
    <row r="594" spans="2:3" x14ac:dyDescent="0.25">
      <c r="B594" s="588" t="s">
        <v>1066</v>
      </c>
      <c r="C594" s="587">
        <v>39300</v>
      </c>
    </row>
    <row r="595" spans="2:3" x14ac:dyDescent="0.25">
      <c r="B595" s="588" t="s">
        <v>1068</v>
      </c>
      <c r="C595" s="587">
        <v>39400</v>
      </c>
    </row>
    <row r="596" spans="2:3" x14ac:dyDescent="0.25">
      <c r="B596" s="588" t="s">
        <v>1070</v>
      </c>
      <c r="C596" s="587">
        <v>39500</v>
      </c>
    </row>
    <row r="597" spans="2:3" x14ac:dyDescent="0.25">
      <c r="B597" s="588" t="s">
        <v>1073</v>
      </c>
      <c r="C597" s="587">
        <v>39605</v>
      </c>
    </row>
    <row r="598" spans="2:3" x14ac:dyDescent="0.25">
      <c r="B598" s="588" t="s">
        <v>1072</v>
      </c>
      <c r="C598" s="587">
        <v>39600</v>
      </c>
    </row>
    <row r="599" spans="2:3" x14ac:dyDescent="0.25">
      <c r="B599" s="588" t="s">
        <v>939</v>
      </c>
      <c r="C599" s="587">
        <v>34230</v>
      </c>
    </row>
    <row r="600" spans="2:3" x14ac:dyDescent="0.25">
      <c r="B600" s="588" t="s">
        <v>840</v>
      </c>
      <c r="C600" s="587">
        <v>21800</v>
      </c>
    </row>
    <row r="601" spans="2:3" x14ac:dyDescent="0.25">
      <c r="B601" s="588" t="s">
        <v>872</v>
      </c>
      <c r="C601" s="587">
        <v>31205</v>
      </c>
    </row>
    <row r="602" spans="2:3" x14ac:dyDescent="0.25">
      <c r="B602" s="588" t="s">
        <v>896</v>
      </c>
      <c r="C602" s="587">
        <v>32410</v>
      </c>
    </row>
    <row r="603" spans="2:3" x14ac:dyDescent="0.25">
      <c r="B603" s="588" t="s">
        <v>804</v>
      </c>
      <c r="C603" s="587">
        <v>11600</v>
      </c>
    </row>
    <row r="604" spans="2:3" x14ac:dyDescent="0.25">
      <c r="B604" s="588" t="s">
        <v>1076</v>
      </c>
      <c r="C604" s="587">
        <v>39705</v>
      </c>
    </row>
    <row r="605" spans="2:3" x14ac:dyDescent="0.25">
      <c r="B605" s="588" t="s">
        <v>1074</v>
      </c>
      <c r="C605" s="587">
        <v>39700</v>
      </c>
    </row>
    <row r="606" spans="2:3" x14ac:dyDescent="0.25">
      <c r="B606" s="588" t="s">
        <v>997</v>
      </c>
      <c r="C606" s="587">
        <v>36502</v>
      </c>
    </row>
    <row r="607" spans="2:3" x14ac:dyDescent="0.25">
      <c r="B607" s="584" t="s">
        <v>1078</v>
      </c>
      <c r="C607" s="594">
        <v>39805</v>
      </c>
    </row>
    <row r="608" spans="2:3" x14ac:dyDescent="0.25">
      <c r="B608" s="588" t="s">
        <v>1077</v>
      </c>
      <c r="C608" s="587">
        <v>39800</v>
      </c>
    </row>
    <row r="609" spans="2:3" x14ac:dyDescent="0.25">
      <c r="B609" s="588" t="s">
        <v>841</v>
      </c>
      <c r="C609" s="587">
        <v>21900</v>
      </c>
    </row>
    <row r="610" spans="2:3" x14ac:dyDescent="0.25">
      <c r="B610" s="588" t="s">
        <v>922</v>
      </c>
      <c r="C610" s="587">
        <v>33400</v>
      </c>
    </row>
    <row r="611" spans="2:3" x14ac:dyDescent="0.25">
      <c r="B611" s="598" t="s">
        <v>1079</v>
      </c>
      <c r="C611" s="594">
        <v>39900</v>
      </c>
    </row>
    <row r="612" spans="2:3" x14ac:dyDescent="0.25">
      <c r="B612" s="588" t="s">
        <v>846</v>
      </c>
      <c r="C612" s="587">
        <v>30000</v>
      </c>
    </row>
    <row r="613" spans="2:3" x14ac:dyDescent="0.25">
      <c r="B613" s="588" t="s">
        <v>1002</v>
      </c>
      <c r="C613" s="587">
        <v>36701</v>
      </c>
    </row>
    <row r="614" spans="2:3" x14ac:dyDescent="0.25">
      <c r="B614" s="553" t="s">
        <v>1163</v>
      </c>
      <c r="C614" s="584" t="s">
        <v>1157</v>
      </c>
    </row>
  </sheetData>
  <pageMargins left="0.25" right="0.25" top="0.75" bottom="0.75" header="0.3" footer="0.3"/>
  <pageSetup paperSize="5" scale="63" fitToHeight="0" orientation="landscape"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2:X189"/>
  <sheetViews>
    <sheetView topLeftCell="A17" workbookViewId="0">
      <selection activeCell="A11" sqref="A11"/>
    </sheetView>
  </sheetViews>
  <sheetFormatPr defaultRowHeight="12.75" x14ac:dyDescent="0.2"/>
  <cols>
    <col min="1" max="1" width="15.28515625" style="626" customWidth="1"/>
    <col min="2" max="2" width="63" style="626" customWidth="1"/>
    <col min="3" max="3" width="29.28515625" style="626" customWidth="1"/>
    <col min="4" max="4" width="21.42578125" style="626" customWidth="1"/>
    <col min="5" max="5" width="18.28515625" style="626" customWidth="1"/>
    <col min="6" max="6" width="22.7109375" style="626" customWidth="1"/>
    <col min="7" max="7" width="18.28515625" style="626" customWidth="1"/>
    <col min="8" max="8" width="20" style="626" customWidth="1"/>
    <col min="9" max="9" width="19.7109375" style="626" customWidth="1"/>
    <col min="10" max="10" width="19.42578125" style="626" customWidth="1"/>
    <col min="11" max="11" width="19" style="626" customWidth="1"/>
    <col min="12" max="12" width="18.28515625" style="626" customWidth="1"/>
    <col min="13" max="13" width="20" style="626" customWidth="1"/>
    <col min="14" max="14" width="16.7109375" style="626" customWidth="1"/>
    <col min="15" max="15" width="19.42578125" style="626" customWidth="1"/>
    <col min="16" max="16" width="18.5703125" style="626" customWidth="1"/>
    <col min="17" max="17" width="17.42578125" style="626" customWidth="1"/>
    <col min="18" max="18" width="27.42578125" style="626" customWidth="1"/>
    <col min="19" max="19" width="12.42578125" style="626" customWidth="1"/>
    <col min="20" max="20" width="18.7109375" style="626" customWidth="1"/>
    <col min="21" max="21" width="21.42578125" style="626" customWidth="1"/>
    <col min="22" max="22" width="15" style="626" bestFit="1" customWidth="1"/>
    <col min="23" max="16384" width="9.140625" style="626"/>
  </cols>
  <sheetData>
    <row r="2" spans="1:24" ht="15.75" x14ac:dyDescent="0.25">
      <c r="A2" s="1243" t="s">
        <v>1656</v>
      </c>
      <c r="B2" s="1244"/>
      <c r="C2" s="1245"/>
    </row>
    <row r="5" spans="1:24" ht="98.25" customHeight="1" x14ac:dyDescent="0.2">
      <c r="A5" s="1246" t="s">
        <v>1582</v>
      </c>
      <c r="B5" s="1246"/>
      <c r="C5" s="1246"/>
    </row>
    <row r="11" spans="1:24" x14ac:dyDescent="0.2">
      <c r="A11" s="479" t="s">
        <v>341</v>
      </c>
      <c r="B11" s="480" t="s">
        <v>1125</v>
      </c>
      <c r="C11" s="480"/>
    </row>
    <row r="14" spans="1:24" x14ac:dyDescent="0.2">
      <c r="B14" s="23" t="s">
        <v>1083</v>
      </c>
      <c r="C14" s="623" t="s">
        <v>1220</v>
      </c>
    </row>
    <row r="15" spans="1:24" x14ac:dyDescent="0.2">
      <c r="A15" s="628"/>
      <c r="B15" s="569" t="s">
        <v>781</v>
      </c>
      <c r="C15" s="628" t="str">
        <f>VLOOKUP(C14,'Ka. 2018 RHBF Summary'!B315:C620,2,FALSE)</f>
        <v>N/A</v>
      </c>
      <c r="D15" s="628"/>
      <c r="E15" s="628"/>
      <c r="F15" s="628"/>
      <c r="G15" s="628"/>
      <c r="H15" s="628"/>
      <c r="I15" s="628"/>
      <c r="J15" s="628"/>
      <c r="K15" s="628"/>
      <c r="L15" s="628"/>
      <c r="M15" s="628"/>
      <c r="N15" s="8">
        <f>(O29+P29+H29-M29-39000)*0.8</f>
        <v>-31200</v>
      </c>
      <c r="O15" s="628"/>
      <c r="P15" s="628"/>
      <c r="Q15" s="628"/>
      <c r="R15" s="628"/>
      <c r="S15" s="628"/>
      <c r="T15" s="628"/>
      <c r="U15" s="628"/>
      <c r="V15" s="628"/>
      <c r="W15" s="628"/>
      <c r="X15" s="628"/>
    </row>
    <row r="16" spans="1:24" x14ac:dyDescent="0.2">
      <c r="A16" s="628"/>
      <c r="B16" s="628"/>
      <c r="C16" s="628"/>
      <c r="D16" s="628"/>
      <c r="E16" s="628"/>
      <c r="F16" s="628"/>
      <c r="G16" s="628"/>
      <c r="H16" s="8"/>
      <c r="I16" s="628"/>
      <c r="J16" s="628"/>
      <c r="K16" s="628"/>
      <c r="L16" s="628"/>
      <c r="M16" s="628"/>
      <c r="N16" s="628"/>
      <c r="O16" s="628"/>
      <c r="P16" s="628"/>
      <c r="Q16" s="628"/>
      <c r="R16" s="628"/>
      <c r="S16" s="628"/>
      <c r="T16" s="628"/>
      <c r="U16" s="628"/>
      <c r="V16" s="628"/>
      <c r="W16" s="628"/>
      <c r="X16" s="628"/>
    </row>
    <row r="17" spans="1:24" ht="43.5" customHeight="1" x14ac:dyDescent="0.2">
      <c r="A17" s="628"/>
      <c r="B17" s="735" t="s">
        <v>1669</v>
      </c>
      <c r="C17" s="624">
        <v>0</v>
      </c>
      <c r="D17" s="628"/>
      <c r="E17" s="628"/>
      <c r="F17" s="628"/>
      <c r="G17" s="628"/>
      <c r="H17" s="628"/>
      <c r="I17" s="628"/>
      <c r="J17" s="1253" t="s">
        <v>1089</v>
      </c>
      <c r="K17" s="1253"/>
      <c r="L17" s="1253"/>
      <c r="M17" s="1253"/>
      <c r="N17" s="628"/>
      <c r="O17" s="1253" t="s">
        <v>745</v>
      </c>
      <c r="P17" s="1253"/>
      <c r="Q17" s="1253"/>
      <c r="R17" s="1253"/>
      <c r="S17" s="628"/>
      <c r="T17" s="1253" t="s">
        <v>1206</v>
      </c>
      <c r="U17" s="1253"/>
      <c r="V17" s="1253"/>
      <c r="W17" s="628"/>
      <c r="X17" s="628"/>
    </row>
    <row r="18" spans="1:24" hidden="1" x14ac:dyDescent="0.2">
      <c r="W18" s="628"/>
      <c r="X18" s="628"/>
    </row>
    <row r="19" spans="1:24" hidden="1" x14ac:dyDescent="0.2">
      <c r="B19" s="626">
        <v>2</v>
      </c>
      <c r="C19" s="626">
        <v>3</v>
      </c>
      <c r="D19" s="626">
        <v>4</v>
      </c>
      <c r="F19" s="626">
        <v>5</v>
      </c>
      <c r="G19" s="626">
        <v>6</v>
      </c>
      <c r="H19" s="626">
        <v>7</v>
      </c>
      <c r="I19" s="626">
        <v>8</v>
      </c>
      <c r="J19" s="626">
        <v>9</v>
      </c>
      <c r="K19" s="626">
        <v>10</v>
      </c>
      <c r="L19" s="626">
        <v>11</v>
      </c>
      <c r="M19" s="626">
        <v>12</v>
      </c>
      <c r="N19" s="626">
        <v>13</v>
      </c>
      <c r="O19" s="626">
        <v>14</v>
      </c>
      <c r="P19" s="626">
        <v>15</v>
      </c>
      <c r="Q19" s="626">
        <v>16</v>
      </c>
      <c r="R19" s="626">
        <v>17</v>
      </c>
      <c r="S19" s="626">
        <v>18</v>
      </c>
      <c r="T19" s="626">
        <v>19</v>
      </c>
      <c r="U19" s="626">
        <v>20</v>
      </c>
      <c r="V19" s="626">
        <v>21</v>
      </c>
      <c r="W19" s="628"/>
      <c r="X19" s="628"/>
    </row>
    <row r="20" spans="1:24" ht="15" hidden="1" x14ac:dyDescent="0.25">
      <c r="F20" s="52"/>
      <c r="G20" s="52"/>
      <c r="J20" s="476" t="s">
        <v>778</v>
      </c>
      <c r="K20" s="476"/>
      <c r="L20" s="476"/>
      <c r="M20" s="476"/>
      <c r="O20" s="476" t="s">
        <v>779</v>
      </c>
      <c r="P20" s="476"/>
      <c r="Q20" s="476"/>
      <c r="R20" s="476"/>
      <c r="T20" s="476" t="s">
        <v>1206</v>
      </c>
      <c r="U20" s="476"/>
      <c r="V20" s="476"/>
      <c r="W20" s="628"/>
      <c r="X20" s="628"/>
    </row>
    <row r="21" spans="1:24" ht="72" customHeight="1" x14ac:dyDescent="0.25">
      <c r="A21" s="477" t="s">
        <v>781</v>
      </c>
      <c r="B21" s="477" t="s">
        <v>782</v>
      </c>
      <c r="C21" s="477" t="s">
        <v>1129</v>
      </c>
      <c r="D21" s="477" t="s">
        <v>1130</v>
      </c>
      <c r="E21" s="477" t="s">
        <v>1151</v>
      </c>
      <c r="F21" s="477" t="s">
        <v>1152</v>
      </c>
      <c r="G21" s="477" t="s">
        <v>1529</v>
      </c>
      <c r="H21" s="477" t="s">
        <v>1530</v>
      </c>
      <c r="I21" s="477"/>
      <c r="J21" s="477" t="s">
        <v>784</v>
      </c>
      <c r="K21" s="477" t="s">
        <v>785</v>
      </c>
      <c r="L21" s="477" t="s">
        <v>786</v>
      </c>
      <c r="M21" s="477" t="s">
        <v>787</v>
      </c>
      <c r="N21" s="477"/>
      <c r="O21" s="477" t="s">
        <v>784</v>
      </c>
      <c r="P21" s="477" t="s">
        <v>785</v>
      </c>
      <c r="Q21" s="477" t="s">
        <v>786</v>
      </c>
      <c r="R21" s="477" t="s">
        <v>787</v>
      </c>
      <c r="S21" s="477"/>
      <c r="T21" s="477" t="s">
        <v>1542</v>
      </c>
      <c r="U21" s="477" t="s">
        <v>789</v>
      </c>
      <c r="V21" s="477" t="s">
        <v>1583</v>
      </c>
      <c r="W21" s="628"/>
      <c r="X21" s="628"/>
    </row>
    <row r="22" spans="1:24" ht="15" x14ac:dyDescent="0.25">
      <c r="A22" s="477"/>
      <c r="B22" s="477"/>
      <c r="C22" s="477"/>
      <c r="D22" s="477"/>
      <c r="E22" s="477"/>
      <c r="F22" s="477"/>
      <c r="G22" s="477"/>
      <c r="H22" s="477"/>
      <c r="I22" s="477"/>
      <c r="J22" s="477"/>
      <c r="K22" s="477"/>
      <c r="L22" s="477"/>
      <c r="M22" s="477"/>
      <c r="N22" s="477"/>
      <c r="O22" s="477"/>
      <c r="P22" s="477"/>
      <c r="Q22" s="477"/>
      <c r="R22" s="477"/>
      <c r="S22" s="477"/>
      <c r="T22" s="477"/>
      <c r="U22" s="477"/>
      <c r="V22" s="477"/>
      <c r="W22" s="628"/>
      <c r="X22" s="628"/>
    </row>
    <row r="23" spans="1:24" ht="15" x14ac:dyDescent="0.25">
      <c r="A23" s="477" t="s">
        <v>1154</v>
      </c>
      <c r="B23" s="477"/>
      <c r="C23" s="477"/>
      <c r="D23" s="477"/>
      <c r="E23" s="477"/>
      <c r="F23" s="477"/>
      <c r="G23" s="477"/>
      <c r="H23" s="477"/>
      <c r="I23" s="477"/>
      <c r="J23" s="477"/>
      <c r="K23" s="477"/>
      <c r="L23" s="477"/>
      <c r="M23" s="477"/>
      <c r="N23" s="477"/>
      <c r="O23" s="477"/>
      <c r="P23" s="477"/>
      <c r="Q23" s="477"/>
      <c r="R23" s="477"/>
      <c r="S23" s="477"/>
      <c r="T23" s="477"/>
      <c r="U23" s="477"/>
      <c r="V23" s="477"/>
      <c r="W23" s="628"/>
      <c r="X23" s="628"/>
    </row>
    <row r="24" spans="1:24" x14ac:dyDescent="0.2">
      <c r="A24" s="23" t="str">
        <f>C15</f>
        <v>N/A</v>
      </c>
      <c r="B24" s="626" t="str">
        <f>C14</f>
        <v>No Agency Chosen</v>
      </c>
      <c r="C24" s="574">
        <f>VLOOKUP($A$24,'2018 Allocation %'!$A:$D,4,FALSE)</f>
        <v>0</v>
      </c>
      <c r="D24" s="574">
        <f>VLOOKUP($A$24,'2017 Allocation %'!$A:$D,4,FALSE)</f>
        <v>0</v>
      </c>
      <c r="E24" s="574">
        <f>C24-D24</f>
        <v>0</v>
      </c>
      <c r="F24" s="681">
        <f>VLOOKUP($A$24,'Contributions FY 2018'!$A:$C,3,FALSE)</f>
        <v>0</v>
      </c>
      <c r="G24" s="681">
        <f>VLOOKUP($A$24,'Kb. 2019 RHBF Summary'!$A:$S,3,FALSE)</f>
        <v>0</v>
      </c>
      <c r="H24" s="681">
        <f>VLOOKUP($A$24,'Kb. 2019 RHBF Summary'!$A:$S,4,FALSE)</f>
        <v>0</v>
      </c>
      <c r="I24" s="681"/>
      <c r="J24" s="681">
        <f>VLOOKUP($A$24,'Kb. 2019 RHBF Summary'!$A:$S,5,FALSE)</f>
        <v>0</v>
      </c>
      <c r="K24" s="681">
        <f>VLOOKUP($A$24,'Kb. 2019 RHBF Summary'!$A:$S,6,FALSE)</f>
        <v>0</v>
      </c>
      <c r="L24" s="681">
        <f>VLOOKUP($A$24,'Kb. 2019 RHBF Summary'!$A:$S,7,FALSE)</f>
        <v>0</v>
      </c>
      <c r="M24" s="681">
        <f>VLOOKUP($A$24,'Kb. 2019 RHBF Summary'!$A:$S,8,FALSE)</f>
        <v>0</v>
      </c>
      <c r="N24" s="681"/>
      <c r="O24" s="681">
        <f>VLOOKUP($A$24,'Kb. 2019 RHBF Summary'!$A:$S,11,FALSE)</f>
        <v>0</v>
      </c>
      <c r="P24" s="681">
        <f>VLOOKUP($A$24,'Kb. 2019 RHBF Summary'!$A:$S,12,FALSE)</f>
        <v>0</v>
      </c>
      <c r="Q24" s="681">
        <f>VLOOKUP($A$24,'Kb. 2019 RHBF Summary'!$A:$S,13,FALSE)</f>
        <v>0</v>
      </c>
      <c r="R24" s="681">
        <f>VLOOKUP($A$24,'Kb. 2019 RHBF Summary'!$A:$S,14,FALSE)</f>
        <v>0</v>
      </c>
      <c r="S24" s="681"/>
      <c r="T24" s="681">
        <f>VLOOKUP($A$24,'Kb. 2019 RHBF Summary'!$A:$S,17,FALSE)</f>
        <v>0</v>
      </c>
      <c r="U24" s="681">
        <f>VLOOKUP($A$24,'Kb. 2019 RHBF Summary'!$A:$S,18,FALSE)</f>
        <v>0</v>
      </c>
      <c r="V24" s="681">
        <f>VLOOKUP($A$24,'Kb. 2019 RHBF Summary'!$A:$S,19,FALSE)</f>
        <v>0</v>
      </c>
      <c r="W24" s="628"/>
      <c r="X24" s="628"/>
    </row>
    <row r="25" spans="1:24" x14ac:dyDescent="0.2">
      <c r="W25" s="628"/>
      <c r="X25" s="628"/>
    </row>
    <row r="26" spans="1:24" s="699" customFormat="1" x14ac:dyDescent="0.2">
      <c r="A26" s="736"/>
      <c r="B26" s="737" t="s">
        <v>1668</v>
      </c>
      <c r="F26" s="558">
        <f>'Contributions FY 2018'!C312</f>
        <v>1018581304</v>
      </c>
      <c r="G26" s="558">
        <f>'Kb. 2019 RHBF Summary'!C314</f>
        <v>32786624459</v>
      </c>
      <c r="H26" s="558">
        <f>'Kb. 2019 RHBF Summary'!D314</f>
        <v>28488185469</v>
      </c>
      <c r="I26" s="558"/>
      <c r="J26" s="558">
        <f>'Kb. 2019 RHBF Summary'!E314</f>
        <v>0</v>
      </c>
      <c r="K26" s="558">
        <f>'Kb. 2019 RHBF Summary'!F314</f>
        <v>3063753</v>
      </c>
      <c r="L26" s="558">
        <f>'Kb. 2019 RHBF Summary'!G314</f>
        <v>0</v>
      </c>
      <c r="M26" s="558">
        <f>'Kb. 2019 RHBF Summary'!H314</f>
        <v>1472337820</v>
      </c>
      <c r="N26" s="558"/>
      <c r="O26" s="558">
        <f>'Kb. 2019 RHBF Summary'!K314</f>
        <v>1948147744</v>
      </c>
      <c r="P26" s="558">
        <f>'Kb. 2019 RHBF Summary'!L314</f>
        <v>0</v>
      </c>
      <c r="Q26" s="558">
        <f>'Kb. 2019 RHBF Summary'!M314</f>
        <v>12341739637</v>
      </c>
      <c r="R26" s="558">
        <f>'Kb. 2019 RHBF Summary'!N314</f>
        <v>1472337826</v>
      </c>
      <c r="S26" s="558"/>
      <c r="T26" s="558">
        <f>'Kb. 2019 RHBF Summary'!Q314</f>
        <v>-385366964</v>
      </c>
      <c r="U26" s="558">
        <f>'Kb. 2019 RHBF Summary'!R314</f>
        <v>51</v>
      </c>
      <c r="V26" s="558">
        <f>'Kb. 2019 RHBF Summary'!S314</f>
        <v>-385366913</v>
      </c>
      <c r="W26" s="698"/>
      <c r="X26" s="698"/>
    </row>
    <row r="27" spans="1:24" x14ac:dyDescent="0.2">
      <c r="A27" s="23"/>
      <c r="F27" s="568"/>
      <c r="G27" s="568"/>
      <c r="H27" s="568"/>
      <c r="J27" s="568"/>
      <c r="K27" s="568"/>
      <c r="L27" s="568"/>
      <c r="M27" s="568"/>
      <c r="O27" s="568"/>
      <c r="P27" s="568"/>
      <c r="Q27" s="568"/>
      <c r="R27" s="568"/>
      <c r="T27" s="568"/>
      <c r="U27" s="568"/>
      <c r="V27" s="568"/>
      <c r="W27" s="628"/>
      <c r="X27" s="628"/>
    </row>
    <row r="28" spans="1:24" ht="15" x14ac:dyDescent="0.25">
      <c r="A28" s="571" t="s">
        <v>1155</v>
      </c>
      <c r="F28" s="568"/>
      <c r="G28" s="568"/>
      <c r="H28" s="568"/>
      <c r="J28" s="568"/>
      <c r="K28" s="568"/>
      <c r="L28" s="568"/>
      <c r="M28" s="568"/>
      <c r="O28" s="568"/>
      <c r="P28" s="568"/>
      <c r="Q28" s="568"/>
      <c r="R28" s="568"/>
      <c r="T28" s="568"/>
      <c r="U28" s="568"/>
      <c r="V28" s="568"/>
      <c r="W28" s="628"/>
      <c r="X28" s="628"/>
    </row>
    <row r="29" spans="1:24" x14ac:dyDescent="0.2">
      <c r="A29" s="23" t="str">
        <f>C15</f>
        <v>N/A</v>
      </c>
      <c r="B29" s="626" t="str">
        <f>C14</f>
        <v>No Agency Chosen</v>
      </c>
      <c r="C29" s="574">
        <f>VLOOKUP($A$29,'2017 Allocation %'!$A:$D,4,FALSE)</f>
        <v>0</v>
      </c>
      <c r="D29" s="574">
        <v>0</v>
      </c>
      <c r="E29" s="570">
        <f>C29-D29</f>
        <v>0</v>
      </c>
      <c r="F29" s="36">
        <f>VLOOKUP($A29,'Contributions FY 2017'!$A:$C,3,FALSE)</f>
        <v>0</v>
      </c>
      <c r="G29" s="36">
        <f>VLOOKUP($A29,'Ka. 2018 RHBF Summary'!$A:$V,6,FALSE)</f>
        <v>0</v>
      </c>
      <c r="H29" s="36">
        <f>VLOOKUP($A29,'Ka. 2018 RHBF Summary'!$A:$V,7,FALSE)</f>
        <v>0</v>
      </c>
      <c r="I29" s="36"/>
      <c r="J29" s="36">
        <f>VLOOKUP($A29,'Ka. 2018 RHBF Summary'!$A:$V,8,FALSE)</f>
        <v>0</v>
      </c>
      <c r="K29" s="36">
        <f>VLOOKUP($A29,'Ka. 2018 RHBF Summary'!$A:$V,9,FALSE)</f>
        <v>0</v>
      </c>
      <c r="L29" s="36">
        <f>VLOOKUP($A29,'Ka. 2018 RHBF Summary'!$A:$V,10,FALSE)</f>
        <v>0</v>
      </c>
      <c r="M29" s="36">
        <f>VLOOKUP($A29,'Ka. 2018 RHBF Summary'!$A:$V,11,FALSE)</f>
        <v>0</v>
      </c>
      <c r="N29" s="36"/>
      <c r="O29" s="36">
        <f>VLOOKUP($A29,'Ka. 2018 RHBF Summary'!$A:$V,14,FALSE)</f>
        <v>0</v>
      </c>
      <c r="P29" s="36">
        <f>VLOOKUP($A29,'Ka. 2018 RHBF Summary'!$A:$V,15,FALSE)</f>
        <v>0</v>
      </c>
      <c r="Q29" s="36">
        <f>VLOOKUP($A29,'Ka. 2018 RHBF Summary'!$A:$V,16,FALSE)</f>
        <v>0</v>
      </c>
      <c r="R29" s="36">
        <f>VLOOKUP($A29,'Ka. 2018 RHBF Summary'!$A:$V,17,FALSE)</f>
        <v>0</v>
      </c>
      <c r="S29" s="36"/>
      <c r="T29" s="36">
        <f>VLOOKUP($A29,'Ka. 2018 RHBF Summary'!$A:$V,20,FALSE)</f>
        <v>0</v>
      </c>
      <c r="U29" s="36">
        <f>VLOOKUP($A29,'Ka. 2018 RHBF Summary'!$A:$V,21,FALSE)</f>
        <v>0</v>
      </c>
      <c r="V29" s="36">
        <f>VLOOKUP($A29,'Ka. 2018 RHBF Summary'!$A:$V,22,FALSE)</f>
        <v>0</v>
      </c>
      <c r="W29" s="628"/>
      <c r="X29" s="628"/>
    </row>
    <row r="30" spans="1:24" x14ac:dyDescent="0.2">
      <c r="A30" s="23"/>
      <c r="F30" s="568"/>
      <c r="G30" s="568"/>
      <c r="H30" s="568"/>
      <c r="J30" s="568"/>
      <c r="K30" s="568"/>
      <c r="L30" s="568"/>
      <c r="M30" s="568"/>
      <c r="O30" s="568"/>
      <c r="P30" s="568"/>
      <c r="Q30" s="568"/>
      <c r="R30" s="568"/>
      <c r="T30" s="568"/>
      <c r="U30" s="568"/>
      <c r="V30" s="568"/>
      <c r="W30" s="628"/>
      <c r="X30" s="628"/>
    </row>
    <row r="31" spans="1:24" x14ac:dyDescent="0.2">
      <c r="A31" s="23"/>
      <c r="B31" s="626" t="s">
        <v>1527</v>
      </c>
      <c r="F31" s="558">
        <f>'Contributions FY 2017'!C305</f>
        <v>949988633</v>
      </c>
      <c r="G31" s="558">
        <f>'Ka. 2018 RHBF Summary'!F312</f>
        <v>43503399006</v>
      </c>
      <c r="H31" s="558">
        <f>'Ka. 2018 RHBF Summary'!G312</f>
        <v>32786624459</v>
      </c>
      <c r="I31" s="568"/>
      <c r="J31" s="558">
        <f>'Ka. 2018 RHBF Summary'!H312</f>
        <v>0</v>
      </c>
      <c r="K31" s="558">
        <f>'Ka. 2018 RHBF Summary'!I312</f>
        <v>0</v>
      </c>
      <c r="L31" s="558">
        <f>'Ka. 2018 RHBF Summary'!J312</f>
        <v>0</v>
      </c>
      <c r="M31" s="558">
        <f>'Ka. 2018 RHBF Summary'!K312</f>
        <v>1069202810</v>
      </c>
      <c r="N31" s="568"/>
      <c r="O31" s="558">
        <f>'Ka. 2018 RHBF Summary'!N312</f>
        <v>2350861287</v>
      </c>
      <c r="P31" s="558">
        <f>'Ka. 2018 RHBF Summary'!O312</f>
        <v>12184938</v>
      </c>
      <c r="Q31" s="558">
        <f>'Ka. 2018 RHBF Summary'!P312</f>
        <v>9029286691</v>
      </c>
      <c r="R31" s="558">
        <f>'Ka. 2018 RHBF Summary'!Q312</f>
        <v>1069202771</v>
      </c>
      <c r="S31" s="568"/>
      <c r="T31" s="558">
        <f>'Ka. 2018 RHBF Summary'!T312</f>
        <v>1625508214</v>
      </c>
      <c r="U31" s="558">
        <f>'Ka. 2018 RHBF Summary'!U312</f>
        <v>-50</v>
      </c>
      <c r="V31" s="558">
        <f>'Ka. 2018 RHBF Summary'!V312</f>
        <v>1625508164</v>
      </c>
      <c r="W31" s="628"/>
      <c r="X31" s="628"/>
    </row>
    <row r="32" spans="1:24" x14ac:dyDescent="0.2">
      <c r="A32" s="23"/>
      <c r="F32" s="568"/>
      <c r="G32" s="568"/>
      <c r="H32" s="568"/>
      <c r="J32" s="568"/>
      <c r="K32" s="568"/>
      <c r="L32" s="568"/>
      <c r="M32" s="568"/>
      <c r="O32" s="568"/>
      <c r="P32" s="568"/>
      <c r="Q32" s="568"/>
      <c r="R32" s="568"/>
      <c r="T32" s="568"/>
      <c r="U32" s="568"/>
      <c r="V32" s="568"/>
      <c r="W32" s="628"/>
      <c r="X32" s="628"/>
    </row>
    <row r="33" spans="1:24" ht="25.5" x14ac:dyDescent="0.2">
      <c r="A33" s="23"/>
      <c r="F33" s="568"/>
      <c r="G33" s="568"/>
      <c r="H33" s="568"/>
      <c r="J33" s="82" t="s">
        <v>1172</v>
      </c>
      <c r="K33" s="8">
        <f>K29-P29</f>
        <v>0</v>
      </c>
      <c r="L33" s="568"/>
      <c r="M33" s="568"/>
      <c r="O33" s="568"/>
      <c r="P33" s="568"/>
      <c r="Q33" s="568"/>
      <c r="R33" s="568"/>
      <c r="T33" s="568"/>
      <c r="U33" s="568"/>
      <c r="V33" s="568"/>
      <c r="W33" s="628"/>
      <c r="X33" s="628"/>
    </row>
    <row r="34" spans="1:24" ht="15" x14ac:dyDescent="0.25">
      <c r="A34" s="569"/>
      <c r="B34" s="616"/>
      <c r="C34" s="628"/>
      <c r="D34" s="628"/>
      <c r="E34" s="628"/>
      <c r="F34" s="612"/>
      <c r="G34" s="612"/>
      <c r="H34" s="612"/>
      <c r="I34" s="628"/>
      <c r="J34" s="612"/>
      <c r="K34" s="612"/>
      <c r="L34" s="612"/>
      <c r="M34" s="612"/>
      <c r="N34" s="628"/>
      <c r="O34" s="612"/>
      <c r="P34" s="568"/>
      <c r="Q34" s="568"/>
      <c r="R34" s="568"/>
      <c r="T34" s="568"/>
      <c r="U34" s="568"/>
      <c r="V34" s="568"/>
      <c r="W34" s="628"/>
      <c r="X34" s="628"/>
    </row>
    <row r="35" spans="1:24" hidden="1" x14ac:dyDescent="0.2">
      <c r="A35" s="569"/>
      <c r="B35" s="628" t="s">
        <v>1209</v>
      </c>
      <c r="C35" s="628"/>
      <c r="D35" s="8">
        <f>G24</f>
        <v>0</v>
      </c>
      <c r="E35" s="617">
        <f>IF(G24-F24&lt;0,-(G24-F24),0)</f>
        <v>0</v>
      </c>
      <c r="F35" s="612"/>
      <c r="G35" s="612"/>
      <c r="H35" s="612"/>
      <c r="I35" s="628"/>
      <c r="J35" s="612"/>
      <c r="K35" s="612"/>
      <c r="L35" s="612"/>
      <c r="M35" s="612"/>
      <c r="N35" s="628"/>
      <c r="O35" s="612"/>
      <c r="P35" s="568"/>
      <c r="Q35" s="568"/>
      <c r="R35" s="568"/>
      <c r="T35" s="568"/>
      <c r="U35" s="568"/>
      <c r="V35" s="568"/>
      <c r="W35" s="628"/>
      <c r="X35" s="628"/>
    </row>
    <row r="36" spans="1:24" ht="15" hidden="1" x14ac:dyDescent="0.25">
      <c r="A36" s="569"/>
      <c r="B36" s="628" t="s">
        <v>1210</v>
      </c>
      <c r="C36" s="628"/>
      <c r="D36" s="8"/>
      <c r="E36" s="617">
        <f>H24</f>
        <v>0</v>
      </c>
      <c r="F36" s="990"/>
      <c r="G36" s="612"/>
      <c r="H36" s="628"/>
      <c r="I36" s="612"/>
      <c r="J36" s="612"/>
      <c r="K36" s="612"/>
      <c r="L36" s="612"/>
      <c r="M36" s="628"/>
      <c r="N36" s="612"/>
      <c r="O36" s="628"/>
      <c r="P36" s="568"/>
      <c r="Q36" s="568"/>
      <c r="R36" s="568"/>
      <c r="T36" s="568"/>
      <c r="U36" s="568"/>
      <c r="V36" s="568"/>
      <c r="W36" s="628"/>
      <c r="X36" s="628"/>
    </row>
    <row r="37" spans="1:24" hidden="1" x14ac:dyDescent="0.2">
      <c r="A37" s="569"/>
      <c r="B37" s="628" t="s">
        <v>1584</v>
      </c>
      <c r="C37" s="628"/>
      <c r="D37" s="8"/>
      <c r="E37" s="617">
        <f>-V24+(F24-E54)</f>
        <v>0</v>
      </c>
      <c r="F37" s="612"/>
      <c r="G37" s="612"/>
      <c r="H37" s="628"/>
      <c r="I37" s="612"/>
      <c r="J37" s="612"/>
      <c r="K37" s="612"/>
      <c r="L37" s="612"/>
      <c r="M37" s="628"/>
      <c r="N37" s="612"/>
      <c r="O37" s="628"/>
      <c r="P37" s="568"/>
      <c r="Q37" s="568"/>
      <c r="R37" s="568"/>
      <c r="T37" s="568"/>
      <c r="U37" s="568"/>
      <c r="V37" s="568"/>
      <c r="W37" s="628"/>
      <c r="X37" s="628"/>
    </row>
    <row r="38" spans="1:24" hidden="1" x14ac:dyDescent="0.2">
      <c r="A38" s="569"/>
      <c r="B38" s="628" t="s">
        <v>1174</v>
      </c>
      <c r="C38" s="628"/>
      <c r="D38" s="8"/>
      <c r="E38" s="617">
        <f>J29</f>
        <v>0</v>
      </c>
      <c r="F38" s="612"/>
      <c r="G38" s="612"/>
      <c r="H38" s="628"/>
      <c r="I38" s="612"/>
      <c r="J38" s="612"/>
      <c r="K38" s="612"/>
      <c r="L38" s="612"/>
      <c r="M38" s="628"/>
      <c r="N38" s="612"/>
      <c r="O38" s="628"/>
      <c r="P38" s="568"/>
      <c r="Q38" s="568"/>
      <c r="R38" s="568"/>
      <c r="T38" s="568"/>
      <c r="U38" s="568"/>
      <c r="V38" s="568"/>
      <c r="W38" s="628"/>
      <c r="X38" s="628"/>
    </row>
    <row r="39" spans="1:24" hidden="1" x14ac:dyDescent="0.2">
      <c r="A39" s="569"/>
      <c r="B39" s="628" t="s">
        <v>1175</v>
      </c>
      <c r="C39" s="628"/>
      <c r="D39" s="8"/>
      <c r="E39" s="617">
        <f>IF(K29-P29&gt;0, K29-P29, 0)</f>
        <v>0</v>
      </c>
      <c r="F39" s="612"/>
      <c r="G39" s="612"/>
      <c r="H39" s="628"/>
      <c r="I39" s="612"/>
      <c r="J39" s="612"/>
      <c r="K39" s="612"/>
      <c r="L39" s="612"/>
      <c r="M39" s="628"/>
      <c r="N39" s="612"/>
      <c r="O39" s="628"/>
      <c r="P39" s="568"/>
      <c r="Q39" s="568"/>
      <c r="R39" s="568"/>
      <c r="T39" s="568"/>
      <c r="U39" s="568"/>
      <c r="V39" s="568"/>
      <c r="W39" s="628"/>
      <c r="X39" s="628"/>
    </row>
    <row r="40" spans="1:24" hidden="1" x14ac:dyDescent="0.2">
      <c r="A40" s="569"/>
      <c r="B40" s="628" t="s">
        <v>1176</v>
      </c>
      <c r="C40" s="628"/>
      <c r="D40" s="8"/>
      <c r="E40" s="617">
        <f>L29</f>
        <v>0</v>
      </c>
      <c r="F40" s="104"/>
      <c r="G40" s="104"/>
      <c r="H40" s="104"/>
      <c r="I40" s="104"/>
      <c r="J40" s="104"/>
      <c r="K40" s="104"/>
      <c r="L40" s="104"/>
      <c r="M40" s="104"/>
      <c r="N40" s="104"/>
      <c r="O40" s="628"/>
      <c r="P40" s="568"/>
      <c r="Q40" s="568"/>
      <c r="R40" s="568"/>
      <c r="T40" s="568"/>
      <c r="U40" s="568"/>
      <c r="V40" s="568"/>
      <c r="W40" s="628"/>
      <c r="X40" s="628"/>
    </row>
    <row r="41" spans="1:24" hidden="1" x14ac:dyDescent="0.2">
      <c r="A41" s="569"/>
      <c r="B41" s="82" t="s">
        <v>1177</v>
      </c>
      <c r="C41" s="628"/>
      <c r="D41" s="8"/>
      <c r="E41" s="617">
        <f>M29</f>
        <v>0</v>
      </c>
      <c r="F41" s="104"/>
      <c r="G41" s="104"/>
      <c r="H41" s="104"/>
      <c r="I41" s="104"/>
      <c r="J41" s="104"/>
      <c r="K41" s="104"/>
      <c r="L41" s="104"/>
      <c r="M41" s="104"/>
      <c r="N41" s="104"/>
      <c r="O41" s="628"/>
      <c r="P41" s="568"/>
      <c r="Q41" s="568"/>
      <c r="R41" s="568"/>
      <c r="T41" s="568"/>
      <c r="U41" s="568"/>
      <c r="V41" s="568"/>
      <c r="W41" s="628"/>
      <c r="X41" s="628"/>
    </row>
    <row r="42" spans="1:24" hidden="1" x14ac:dyDescent="0.2">
      <c r="A42" s="569"/>
      <c r="B42" s="82" t="s">
        <v>1178</v>
      </c>
      <c r="C42" s="628"/>
      <c r="D42" s="8">
        <f>O29</f>
        <v>0</v>
      </c>
      <c r="E42" s="375"/>
      <c r="F42" s="629"/>
      <c r="G42" s="629"/>
      <c r="H42" s="629"/>
      <c r="I42" s="628"/>
      <c r="J42" s="572"/>
      <c r="K42" s="628"/>
      <c r="L42" s="628"/>
      <c r="M42" s="628"/>
      <c r="N42" s="628"/>
      <c r="O42" s="628"/>
      <c r="P42" s="568"/>
      <c r="Q42" s="568"/>
      <c r="R42" s="568"/>
      <c r="T42" s="568"/>
      <c r="U42" s="568"/>
      <c r="V42" s="568"/>
      <c r="W42" s="628"/>
      <c r="X42" s="628"/>
    </row>
    <row r="43" spans="1:24" hidden="1" x14ac:dyDescent="0.2">
      <c r="A43" s="569"/>
      <c r="B43" s="628" t="s">
        <v>1179</v>
      </c>
      <c r="C43" s="628"/>
      <c r="D43" s="8">
        <f>IF(P29-K29&gt;0, P29-K29, 0)</f>
        <v>0</v>
      </c>
      <c r="E43" s="617"/>
      <c r="F43" s="629"/>
      <c r="G43" s="629"/>
      <c r="H43" s="629"/>
      <c r="I43" s="628"/>
      <c r="J43" s="572"/>
      <c r="K43" s="628"/>
      <c r="L43" s="628"/>
      <c r="M43" s="628"/>
      <c r="N43" s="628"/>
      <c r="O43" s="628"/>
      <c r="P43" s="568"/>
      <c r="Q43" s="568"/>
      <c r="R43" s="568"/>
      <c r="T43" s="568"/>
      <c r="U43" s="568"/>
      <c r="V43" s="568"/>
      <c r="W43" s="628"/>
      <c r="X43" s="628"/>
    </row>
    <row r="44" spans="1:24" ht="15" hidden="1" x14ac:dyDescent="0.25">
      <c r="A44" s="569"/>
      <c r="B44" s="620" t="s">
        <v>1180</v>
      </c>
      <c r="C44" s="618"/>
      <c r="D44" s="621">
        <f>Q29</f>
        <v>0</v>
      </c>
      <c r="E44" s="621"/>
      <c r="F44" s="619"/>
      <c r="G44" s="619"/>
      <c r="H44" s="619"/>
      <c r="I44" s="619"/>
      <c r="J44" s="619"/>
      <c r="K44" s="619"/>
      <c r="L44" s="619"/>
      <c r="M44" s="619"/>
      <c r="N44" s="619"/>
      <c r="O44" s="628"/>
      <c r="P44" s="568"/>
      <c r="Q44" s="568"/>
      <c r="R44" s="568"/>
      <c r="T44" s="568"/>
      <c r="U44" s="568"/>
      <c r="V44" s="568"/>
      <c r="W44" s="628"/>
      <c r="X44" s="628"/>
    </row>
    <row r="45" spans="1:24" hidden="1" x14ac:dyDescent="0.2">
      <c r="A45" s="569"/>
      <c r="B45" s="620" t="s">
        <v>1181</v>
      </c>
      <c r="C45" s="618"/>
      <c r="D45" s="621">
        <f>R29</f>
        <v>0</v>
      </c>
      <c r="E45" s="621"/>
      <c r="F45" s="613"/>
      <c r="G45" s="613"/>
      <c r="H45" s="613"/>
      <c r="I45" s="628"/>
      <c r="J45" s="628"/>
      <c r="K45" s="628"/>
      <c r="L45" s="628"/>
      <c r="M45" s="628"/>
      <c r="N45" s="628"/>
      <c r="O45" s="628"/>
      <c r="P45" s="568"/>
      <c r="Q45" s="568"/>
      <c r="R45" s="568"/>
      <c r="T45" s="568"/>
      <c r="U45" s="568"/>
      <c r="V45" s="568"/>
      <c r="W45" s="628"/>
      <c r="X45" s="628"/>
    </row>
    <row r="46" spans="1:24" hidden="1" x14ac:dyDescent="0.2">
      <c r="A46" s="569"/>
      <c r="B46" s="628" t="s">
        <v>1182</v>
      </c>
      <c r="C46" s="618"/>
      <c r="D46" s="621">
        <f>J24</f>
        <v>0</v>
      </c>
      <c r="E46" s="621"/>
      <c r="F46" s="989"/>
      <c r="G46" s="628"/>
      <c r="H46" s="628"/>
      <c r="I46" s="628"/>
      <c r="J46" s="628"/>
      <c r="K46" s="628"/>
      <c r="L46" s="628"/>
      <c r="M46" s="628"/>
      <c r="N46" s="628"/>
      <c r="O46" s="628"/>
      <c r="P46" s="568"/>
      <c r="Q46" s="568"/>
      <c r="R46" s="568"/>
      <c r="T46" s="568"/>
      <c r="U46" s="568"/>
      <c r="V46" s="568"/>
      <c r="W46" s="628"/>
      <c r="X46" s="628"/>
    </row>
    <row r="47" spans="1:24" hidden="1" x14ac:dyDescent="0.2">
      <c r="A47" s="569"/>
      <c r="B47" s="628" t="s">
        <v>1183</v>
      </c>
      <c r="C47" s="618"/>
      <c r="D47" s="621">
        <f>IF(K24-P24&gt;0, K24-P24, 0)</f>
        <v>0</v>
      </c>
      <c r="E47" s="621"/>
      <c r="F47" s="8"/>
      <c r="G47" s="614"/>
      <c r="H47" s="614"/>
      <c r="I47" s="628"/>
      <c r="J47" s="628"/>
      <c r="K47" s="628"/>
      <c r="L47" s="628"/>
      <c r="M47" s="628"/>
      <c r="N47" s="628"/>
      <c r="O47" s="628"/>
      <c r="P47" s="568"/>
      <c r="Q47" s="568"/>
      <c r="R47" s="568"/>
      <c r="T47" s="568"/>
      <c r="U47" s="568"/>
      <c r="V47" s="568"/>
      <c r="W47" s="628"/>
      <c r="X47" s="628"/>
    </row>
    <row r="48" spans="1:24" hidden="1" x14ac:dyDescent="0.2">
      <c r="A48" s="569"/>
      <c r="B48" s="628" t="s">
        <v>1184</v>
      </c>
      <c r="C48" s="618"/>
      <c r="D48" s="621">
        <f>L24</f>
        <v>0</v>
      </c>
      <c r="E48" s="375"/>
      <c r="F48" s="989"/>
      <c r="G48" s="628"/>
      <c r="H48" s="628"/>
      <c r="I48" s="628"/>
      <c r="J48" s="628"/>
      <c r="K48" s="628"/>
      <c r="L48" s="628"/>
      <c r="M48" s="628"/>
      <c r="N48" s="628"/>
      <c r="O48" s="628"/>
      <c r="P48" s="568"/>
      <c r="Q48" s="568"/>
      <c r="R48" s="568"/>
      <c r="T48" s="568"/>
      <c r="U48" s="568"/>
      <c r="V48" s="568"/>
      <c r="W48" s="628"/>
      <c r="X48" s="628"/>
    </row>
    <row r="49" spans="1:24" ht="15" hidden="1" x14ac:dyDescent="0.25">
      <c r="A49" s="569"/>
      <c r="B49" s="82" t="s">
        <v>1185</v>
      </c>
      <c r="C49" s="618"/>
      <c r="D49" s="621">
        <f>M24</f>
        <v>0</v>
      </c>
      <c r="E49" s="375"/>
      <c r="F49" s="8"/>
      <c r="G49" s="615"/>
      <c r="H49" s="615"/>
      <c r="I49" s="616"/>
      <c r="J49" s="616"/>
      <c r="K49" s="616"/>
      <c r="L49" s="616"/>
      <c r="M49" s="616"/>
      <c r="N49" s="616"/>
      <c r="O49" s="628"/>
      <c r="P49" s="568"/>
      <c r="Q49" s="568"/>
      <c r="R49" s="568"/>
      <c r="T49" s="568"/>
      <c r="U49" s="568"/>
      <c r="V49" s="568"/>
      <c r="W49" s="628"/>
      <c r="X49" s="628"/>
    </row>
    <row r="50" spans="1:24" hidden="1" x14ac:dyDescent="0.2">
      <c r="A50" s="569"/>
      <c r="B50" s="82" t="s">
        <v>1186</v>
      </c>
      <c r="C50" s="618"/>
      <c r="D50" s="621"/>
      <c r="E50" s="375">
        <f>O24</f>
        <v>0</v>
      </c>
      <c r="F50" s="8"/>
      <c r="G50" s="628"/>
      <c r="H50" s="628"/>
      <c r="I50" s="628"/>
      <c r="J50" s="628"/>
      <c r="K50" s="628"/>
      <c r="L50" s="628"/>
      <c r="M50" s="628"/>
      <c r="N50" s="628"/>
      <c r="O50" s="628"/>
      <c r="P50" s="568"/>
      <c r="Q50" s="568"/>
      <c r="R50" s="568"/>
      <c r="T50" s="568"/>
      <c r="U50" s="568"/>
      <c r="V50" s="568"/>
      <c r="W50" s="628"/>
      <c r="X50" s="628"/>
    </row>
    <row r="51" spans="1:24" hidden="1" x14ac:dyDescent="0.2">
      <c r="A51" s="569"/>
      <c r="B51" s="628" t="s">
        <v>1187</v>
      </c>
      <c r="C51" s="628"/>
      <c r="D51" s="8"/>
      <c r="E51" s="617">
        <f>IF(P24-K24&gt;0, P24-K24, 0)</f>
        <v>0</v>
      </c>
      <c r="F51" s="8"/>
      <c r="G51" s="628"/>
      <c r="H51" s="628"/>
      <c r="I51" s="628"/>
      <c r="J51" s="628"/>
      <c r="K51" s="628"/>
      <c r="L51" s="614"/>
      <c r="M51" s="628"/>
      <c r="N51" s="628"/>
      <c r="O51" s="628"/>
      <c r="P51" s="568"/>
      <c r="Q51" s="568"/>
      <c r="R51" s="568"/>
      <c r="T51" s="568"/>
      <c r="U51" s="568"/>
      <c r="V51" s="568"/>
      <c r="W51" s="628"/>
      <c r="X51" s="628"/>
    </row>
    <row r="52" spans="1:24" hidden="1" x14ac:dyDescent="0.2">
      <c r="A52" s="569"/>
      <c r="B52" s="620" t="s">
        <v>1188</v>
      </c>
      <c r="C52" s="628"/>
      <c r="D52" s="8"/>
      <c r="E52" s="617">
        <f>Q24</f>
        <v>0</v>
      </c>
      <c r="F52" s="8"/>
      <c r="G52" s="628"/>
      <c r="H52" s="628"/>
      <c r="I52" s="628"/>
      <c r="J52" s="628"/>
      <c r="K52" s="628"/>
      <c r="L52" s="614"/>
      <c r="M52" s="628"/>
      <c r="N52" s="628"/>
      <c r="O52" s="628"/>
      <c r="P52" s="568"/>
      <c r="Q52" s="568"/>
      <c r="R52" s="568"/>
      <c r="T52" s="568"/>
      <c r="U52" s="568"/>
      <c r="V52" s="568"/>
      <c r="W52" s="628"/>
      <c r="X52" s="628"/>
    </row>
    <row r="53" spans="1:24" hidden="1" x14ac:dyDescent="0.2">
      <c r="A53" s="569"/>
      <c r="B53" s="620" t="s">
        <v>1189</v>
      </c>
      <c r="C53" s="628"/>
      <c r="D53" s="8"/>
      <c r="E53" s="617">
        <f>R24</f>
        <v>0</v>
      </c>
      <c r="F53" s="8"/>
      <c r="G53" s="628"/>
      <c r="H53" s="628"/>
      <c r="I53" s="628"/>
      <c r="J53" s="628"/>
      <c r="K53" s="628"/>
      <c r="L53" s="613"/>
      <c r="M53" s="628"/>
      <c r="N53" s="628"/>
      <c r="O53" s="628"/>
      <c r="P53" s="568"/>
      <c r="Q53" s="568"/>
      <c r="R53" s="568"/>
      <c r="T53" s="568"/>
      <c r="U53" s="568"/>
      <c r="V53" s="568"/>
      <c r="W53" s="628"/>
      <c r="X53" s="628"/>
    </row>
    <row r="54" spans="1:24" hidden="1" x14ac:dyDescent="0.2">
      <c r="A54" s="569"/>
      <c r="B54" s="628" t="s">
        <v>1577</v>
      </c>
      <c r="C54" s="628"/>
      <c r="D54" s="8">
        <f>C17</f>
        <v>0</v>
      </c>
      <c r="E54" s="617">
        <v>0</v>
      </c>
      <c r="F54" s="8"/>
      <c r="G54" s="628"/>
      <c r="H54" s="628"/>
      <c r="I54" s="628"/>
      <c r="J54" s="628"/>
      <c r="K54" s="628"/>
      <c r="L54" s="614"/>
      <c r="M54" s="628"/>
      <c r="N54" s="628"/>
      <c r="O54" s="628"/>
      <c r="P54" s="568"/>
      <c r="Q54" s="568"/>
      <c r="R54" s="568"/>
      <c r="T54" s="568"/>
      <c r="U54" s="568"/>
      <c r="V54" s="568"/>
      <c r="W54" s="628"/>
      <c r="X54" s="628"/>
    </row>
    <row r="55" spans="1:24" hidden="1" x14ac:dyDescent="0.2">
      <c r="A55" s="569"/>
      <c r="B55" s="628" t="s">
        <v>1531</v>
      </c>
      <c r="C55" s="628"/>
      <c r="D55" s="8"/>
      <c r="E55" s="617">
        <f>C17</f>
        <v>0</v>
      </c>
      <c r="F55" s="8"/>
      <c r="G55" s="628"/>
      <c r="H55" s="628"/>
      <c r="I55" s="628"/>
      <c r="J55" s="628"/>
      <c r="K55" s="628"/>
      <c r="L55" s="614"/>
      <c r="M55" s="628"/>
      <c r="N55" s="628"/>
      <c r="O55" s="628"/>
      <c r="P55" s="568"/>
      <c r="Q55" s="568"/>
      <c r="R55" s="568"/>
      <c r="T55" s="568"/>
      <c r="U55" s="568"/>
      <c r="V55" s="568"/>
      <c r="W55" s="628"/>
      <c r="X55" s="628"/>
    </row>
    <row r="56" spans="1:24" hidden="1" x14ac:dyDescent="0.2">
      <c r="A56" s="569"/>
      <c r="B56" s="628"/>
      <c r="C56" s="628"/>
      <c r="D56" s="8"/>
      <c r="E56" s="617"/>
      <c r="F56" s="614"/>
      <c r="G56" s="614"/>
      <c r="H56" s="614"/>
      <c r="I56" s="614"/>
      <c r="J56" s="614"/>
      <c r="K56" s="614"/>
      <c r="L56" s="614"/>
      <c r="M56" s="613"/>
      <c r="N56" s="614"/>
      <c r="O56" s="628"/>
      <c r="P56" s="568"/>
      <c r="Q56" s="568"/>
      <c r="R56" s="568"/>
      <c r="T56" s="568"/>
      <c r="U56" s="568"/>
      <c r="V56" s="568"/>
      <c r="W56" s="628"/>
      <c r="X56" s="628"/>
    </row>
    <row r="57" spans="1:24" hidden="1" x14ac:dyDescent="0.2">
      <c r="A57" s="569"/>
      <c r="B57" s="628"/>
      <c r="C57" s="628"/>
      <c r="D57" s="8">
        <v>0</v>
      </c>
      <c r="E57" s="617"/>
      <c r="F57" s="628"/>
      <c r="G57" s="628"/>
      <c r="H57" s="628"/>
      <c r="I57" s="628"/>
      <c r="J57" s="628"/>
      <c r="K57" s="628"/>
      <c r="L57" s="628"/>
      <c r="M57" s="628"/>
      <c r="N57" s="628"/>
      <c r="O57" s="628"/>
      <c r="P57" s="568"/>
      <c r="Q57" s="568"/>
      <c r="R57" s="568"/>
      <c r="T57" s="568"/>
      <c r="U57" s="568"/>
      <c r="V57" s="568"/>
      <c r="W57" s="628"/>
      <c r="X57" s="628"/>
    </row>
    <row r="58" spans="1:24" hidden="1" x14ac:dyDescent="0.2">
      <c r="A58" s="569"/>
      <c r="B58" s="628"/>
      <c r="C58" s="628"/>
      <c r="D58" s="8">
        <f>SUM(D35:D57)</f>
        <v>0</v>
      </c>
      <c r="E58" s="8">
        <f>SUM(E35:E57)</f>
        <v>0</v>
      </c>
      <c r="F58" s="8"/>
      <c r="G58" s="613"/>
      <c r="H58" s="613"/>
      <c r="I58" s="613"/>
      <c r="J58" s="613"/>
      <c r="K58" s="613"/>
      <c r="L58" s="613"/>
      <c r="M58" s="613"/>
      <c r="N58" s="613"/>
      <c r="O58" s="628"/>
      <c r="P58" s="568"/>
      <c r="Q58" s="568"/>
      <c r="R58" s="568"/>
      <c r="T58" s="568"/>
      <c r="U58" s="568"/>
      <c r="V58" s="568"/>
      <c r="W58" s="628"/>
      <c r="X58" s="628"/>
    </row>
    <row r="59" spans="1:24" x14ac:dyDescent="0.2">
      <c r="A59" s="569"/>
      <c r="B59" s="628"/>
      <c r="C59" s="628"/>
      <c r="D59" s="628"/>
      <c r="E59" s="628"/>
      <c r="F59" s="628"/>
      <c r="G59" s="628"/>
      <c r="H59" s="628"/>
      <c r="I59" s="628"/>
      <c r="J59" s="628"/>
      <c r="K59" s="628"/>
      <c r="L59" s="628"/>
      <c r="M59" s="628"/>
      <c r="N59" s="628"/>
      <c r="O59" s="628"/>
      <c r="P59" s="568"/>
      <c r="Q59" s="568"/>
      <c r="R59" s="568"/>
      <c r="T59" s="568"/>
      <c r="U59" s="568"/>
      <c r="V59" s="568"/>
      <c r="W59" s="628"/>
      <c r="X59" s="628"/>
    </row>
    <row r="60" spans="1:24" ht="15" x14ac:dyDescent="0.25">
      <c r="A60" s="569"/>
      <c r="B60" s="616"/>
      <c r="C60" s="615"/>
      <c r="D60" s="615"/>
      <c r="E60" s="615"/>
      <c r="F60" s="615"/>
      <c r="G60" s="615"/>
      <c r="H60" s="615"/>
      <c r="I60" s="615"/>
      <c r="J60" s="615"/>
      <c r="K60" s="615"/>
      <c r="L60" s="615"/>
      <c r="M60" s="615"/>
      <c r="N60" s="615"/>
      <c r="O60" s="628"/>
      <c r="P60" s="568"/>
      <c r="Q60" s="568"/>
      <c r="R60" s="568"/>
      <c r="T60" s="568"/>
      <c r="U60" s="568"/>
      <c r="V60" s="568"/>
      <c r="W60" s="628"/>
      <c r="X60" s="628"/>
    </row>
    <row r="61" spans="1:24" x14ac:dyDescent="0.2">
      <c r="A61" s="569"/>
      <c r="B61" s="628"/>
      <c r="C61" s="628"/>
      <c r="D61" s="628"/>
      <c r="E61" s="612"/>
      <c r="F61" s="612"/>
      <c r="G61" s="612"/>
      <c r="H61" s="628"/>
      <c r="I61" s="612"/>
      <c r="J61" s="612"/>
      <c r="K61" s="612"/>
      <c r="L61" s="612"/>
      <c r="M61" s="628"/>
      <c r="N61" s="612"/>
      <c r="O61" s="628"/>
      <c r="P61" s="568"/>
      <c r="Q61" s="568"/>
      <c r="R61" s="568"/>
      <c r="T61" s="568"/>
      <c r="U61" s="568"/>
      <c r="V61" s="568"/>
      <c r="W61" s="628"/>
      <c r="X61" s="628"/>
    </row>
    <row r="62" spans="1:24" ht="15" x14ac:dyDescent="0.25">
      <c r="A62" s="569"/>
      <c r="B62" s="616"/>
      <c r="C62" s="628"/>
      <c r="D62" s="628"/>
      <c r="E62" s="612"/>
      <c r="F62" s="612"/>
      <c r="G62" s="612"/>
      <c r="H62" s="628"/>
      <c r="I62" s="612"/>
      <c r="J62" s="612"/>
      <c r="K62" s="612"/>
      <c r="L62" s="612"/>
      <c r="M62" s="628"/>
      <c r="N62" s="612"/>
      <c r="O62" s="628"/>
      <c r="P62" s="568"/>
      <c r="Q62" s="568"/>
      <c r="R62" s="568"/>
      <c r="T62" s="568"/>
      <c r="U62" s="568"/>
      <c r="V62" s="568"/>
      <c r="W62" s="628"/>
      <c r="X62" s="628"/>
    </row>
    <row r="63" spans="1:24" x14ac:dyDescent="0.2">
      <c r="A63" s="483" t="s">
        <v>342</v>
      </c>
      <c r="B63" s="1247" t="s">
        <v>1652</v>
      </c>
      <c r="C63" s="1248"/>
      <c r="D63" s="1248"/>
      <c r="E63" s="1248"/>
      <c r="F63" s="1248"/>
      <c r="G63" s="1248"/>
      <c r="H63" s="1248"/>
      <c r="I63" s="1249"/>
    </row>
    <row r="64" spans="1:24" x14ac:dyDescent="0.2">
      <c r="A64" s="483"/>
      <c r="B64" s="484"/>
      <c r="C64" s="484"/>
      <c r="D64" s="484"/>
      <c r="E64" s="484"/>
      <c r="F64" s="484"/>
      <c r="G64" s="484"/>
      <c r="H64" s="484"/>
      <c r="I64" s="484"/>
    </row>
    <row r="65" spans="1:9" x14ac:dyDescent="0.2">
      <c r="A65" s="483"/>
      <c r="B65" s="1250" t="s">
        <v>1128</v>
      </c>
      <c r="C65" s="1251"/>
      <c r="D65" s="1251"/>
      <c r="E65" s="1252"/>
      <c r="F65" s="484"/>
      <c r="G65" s="484"/>
      <c r="H65" s="484"/>
      <c r="I65" s="484"/>
    </row>
    <row r="66" spans="1:9" x14ac:dyDescent="0.2">
      <c r="A66" s="483"/>
      <c r="B66" s="504" t="s">
        <v>1585</v>
      </c>
      <c r="C66" s="501">
        <v>0</v>
      </c>
      <c r="D66" s="484"/>
      <c r="E66" s="505"/>
      <c r="F66" s="484"/>
      <c r="G66" s="484"/>
      <c r="H66" s="484"/>
      <c r="I66" s="484"/>
    </row>
    <row r="67" spans="1:9" x14ac:dyDescent="0.2">
      <c r="A67" s="483"/>
      <c r="B67" s="504" t="s">
        <v>1586</v>
      </c>
      <c r="C67" s="501">
        <v>0</v>
      </c>
      <c r="D67" s="484"/>
      <c r="E67" s="505"/>
      <c r="F67" s="484"/>
      <c r="G67" s="484"/>
      <c r="H67" s="484"/>
      <c r="I67" s="484"/>
    </row>
    <row r="68" spans="1:9" x14ac:dyDescent="0.2">
      <c r="A68" s="483"/>
      <c r="B68" s="506" t="s">
        <v>1100</v>
      </c>
      <c r="C68" s="501">
        <f>SUM(C66:C67)</f>
        <v>0</v>
      </c>
      <c r="D68" s="484" t="str">
        <f>IF(C68=1,"=100%","DOES NOT EQUAL 100%!!!")</f>
        <v>DOES NOT EQUAL 100%!!!</v>
      </c>
      <c r="E68" s="505"/>
      <c r="F68" s="484"/>
      <c r="G68" s="484"/>
      <c r="H68" s="484"/>
      <c r="I68" s="484"/>
    </row>
    <row r="69" spans="1:9" x14ac:dyDescent="0.2">
      <c r="A69" s="483"/>
      <c r="B69" s="507"/>
      <c r="C69" s="501"/>
      <c r="D69" s="484"/>
      <c r="E69" s="505"/>
      <c r="F69" s="484"/>
      <c r="G69" s="484"/>
      <c r="H69" s="484"/>
      <c r="I69" s="484"/>
    </row>
    <row r="70" spans="1:9" x14ac:dyDescent="0.2">
      <c r="A70" s="483"/>
      <c r="B70" s="507" t="s">
        <v>1101</v>
      </c>
      <c r="C70" s="501"/>
      <c r="D70" s="484"/>
      <c r="E70" s="505"/>
      <c r="F70" s="484"/>
      <c r="G70" s="484"/>
      <c r="H70" s="484"/>
      <c r="I70" s="484"/>
    </row>
    <row r="71" spans="1:9" x14ac:dyDescent="0.2">
      <c r="A71" s="483"/>
      <c r="B71" s="508" t="s">
        <v>269</v>
      </c>
      <c r="C71" s="501">
        <v>0</v>
      </c>
      <c r="D71" s="484"/>
      <c r="E71" s="505"/>
      <c r="F71" s="484"/>
      <c r="G71" s="484"/>
      <c r="H71" s="484"/>
      <c r="I71" s="484"/>
    </row>
    <row r="72" spans="1:9" x14ac:dyDescent="0.2">
      <c r="A72" s="483"/>
      <c r="B72" s="508" t="s">
        <v>270</v>
      </c>
      <c r="C72" s="501">
        <f>'H. Other Liabilities &amp; Expenses'!L192</f>
        <v>0</v>
      </c>
      <c r="D72" s="484"/>
      <c r="E72" s="505"/>
      <c r="F72" s="484"/>
      <c r="G72" s="484"/>
      <c r="H72" s="484"/>
      <c r="I72" s="484"/>
    </row>
    <row r="73" spans="1:9" x14ac:dyDescent="0.2">
      <c r="A73" s="483"/>
      <c r="B73" s="508" t="s">
        <v>271</v>
      </c>
      <c r="C73" s="501">
        <f>'H. Other Liabilities &amp; Expenses'!L193</f>
        <v>0</v>
      </c>
      <c r="D73" s="484"/>
      <c r="E73" s="505"/>
      <c r="F73" s="484"/>
      <c r="G73" s="484"/>
      <c r="H73" s="484"/>
      <c r="I73" s="484"/>
    </row>
    <row r="74" spans="1:9" x14ac:dyDescent="0.2">
      <c r="A74" s="483"/>
      <c r="B74" s="508" t="s">
        <v>272</v>
      </c>
      <c r="C74" s="501">
        <f>'H. Other Liabilities &amp; Expenses'!L194</f>
        <v>0</v>
      </c>
      <c r="D74" s="484"/>
      <c r="E74" s="505"/>
      <c r="F74" s="484"/>
      <c r="G74" s="484"/>
      <c r="H74" s="484"/>
      <c r="I74" s="484"/>
    </row>
    <row r="75" spans="1:9" x14ac:dyDescent="0.2">
      <c r="A75" s="483"/>
      <c r="B75" s="508" t="s">
        <v>273</v>
      </c>
      <c r="C75" s="501">
        <f>'H. Other Liabilities &amp; Expenses'!L195</f>
        <v>0</v>
      </c>
      <c r="D75" s="484"/>
      <c r="E75" s="505"/>
      <c r="F75" s="484"/>
      <c r="G75" s="484"/>
      <c r="H75" s="484"/>
      <c r="I75" s="484"/>
    </row>
    <row r="76" spans="1:9" x14ac:dyDescent="0.2">
      <c r="A76" s="483"/>
      <c r="B76" s="508" t="s">
        <v>274</v>
      </c>
      <c r="C76" s="501">
        <f>'H. Other Liabilities &amp; Expenses'!L196</f>
        <v>0</v>
      </c>
      <c r="D76" s="484"/>
      <c r="E76" s="505"/>
      <c r="F76" s="484"/>
      <c r="G76" s="484"/>
      <c r="H76" s="484"/>
      <c r="I76" s="484"/>
    </row>
    <row r="77" spans="1:9" x14ac:dyDescent="0.2">
      <c r="A77" s="483"/>
      <c r="B77" s="508" t="s">
        <v>275</v>
      </c>
      <c r="C77" s="501">
        <f>'H. Other Liabilities &amp; Expenses'!L197</f>
        <v>0</v>
      </c>
      <c r="D77" s="484"/>
      <c r="E77" s="505"/>
      <c r="F77" s="484"/>
      <c r="G77" s="484"/>
      <c r="H77" s="484"/>
      <c r="I77" s="484"/>
    </row>
    <row r="78" spans="1:9" x14ac:dyDescent="0.2">
      <c r="A78" s="483"/>
      <c r="B78" s="508" t="s">
        <v>388</v>
      </c>
      <c r="C78" s="501">
        <f>'H. Other Liabilities &amp; Expenses'!L198</f>
        <v>0</v>
      </c>
      <c r="D78" s="484"/>
      <c r="E78" s="505"/>
      <c r="F78" s="484"/>
      <c r="G78" s="484"/>
      <c r="H78" s="484"/>
      <c r="I78" s="484"/>
    </row>
    <row r="79" spans="1:9" x14ac:dyDescent="0.2">
      <c r="A79" s="483"/>
      <c r="B79" s="508" t="s">
        <v>389</v>
      </c>
      <c r="C79" s="501">
        <f>'H. Other Liabilities &amp; Expenses'!L199</f>
        <v>0</v>
      </c>
      <c r="D79" s="484"/>
      <c r="E79" s="505"/>
      <c r="F79" s="484"/>
      <c r="G79" s="484"/>
      <c r="H79" s="484"/>
      <c r="I79" s="484"/>
    </row>
    <row r="80" spans="1:9" x14ac:dyDescent="0.2">
      <c r="A80" s="483"/>
      <c r="B80" s="508" t="s">
        <v>243</v>
      </c>
      <c r="C80" s="501">
        <f>'H. Other Liabilities &amp; Expenses'!L200</f>
        <v>0</v>
      </c>
      <c r="D80" s="484"/>
      <c r="E80" s="505"/>
      <c r="F80" s="484"/>
      <c r="G80" s="484"/>
      <c r="H80" s="484"/>
      <c r="I80" s="484"/>
    </row>
    <row r="81" spans="1:9" x14ac:dyDescent="0.2">
      <c r="A81" s="483"/>
      <c r="B81" s="508" t="s">
        <v>244</v>
      </c>
      <c r="C81" s="501">
        <f>'H. Other Liabilities &amp; Expenses'!L201</f>
        <v>0</v>
      </c>
      <c r="D81" s="484"/>
      <c r="E81" s="505"/>
      <c r="F81" s="484"/>
      <c r="G81" s="484"/>
      <c r="H81" s="484"/>
      <c r="I81" s="484"/>
    </row>
    <row r="82" spans="1:9" x14ac:dyDescent="0.2">
      <c r="A82" s="483"/>
      <c r="B82" s="508" t="s">
        <v>277</v>
      </c>
      <c r="C82" s="501">
        <f>'H. Other Liabilities &amp; Expenses'!L202</f>
        <v>0</v>
      </c>
      <c r="D82" s="484"/>
      <c r="E82" s="505"/>
      <c r="F82" s="484"/>
      <c r="G82" s="484"/>
      <c r="H82" s="484"/>
      <c r="I82" s="484"/>
    </row>
    <row r="83" spans="1:9" x14ac:dyDescent="0.2">
      <c r="A83" s="483"/>
      <c r="B83" s="508" t="s">
        <v>1735</v>
      </c>
      <c r="C83" s="501">
        <f>'H. Other Liabilities &amp; Expenses'!L203</f>
        <v>0</v>
      </c>
      <c r="D83" s="484"/>
      <c r="E83" s="505"/>
      <c r="F83" s="484"/>
      <c r="G83" s="484"/>
      <c r="H83" s="484"/>
      <c r="I83" s="484"/>
    </row>
    <row r="84" spans="1:9" x14ac:dyDescent="0.2">
      <c r="A84" s="483"/>
      <c r="B84" s="508" t="s">
        <v>280</v>
      </c>
      <c r="C84" s="501">
        <f>'H. Other Liabilities &amp; Expenses'!L204</f>
        <v>0</v>
      </c>
      <c r="D84" s="484"/>
      <c r="E84" s="505"/>
      <c r="F84" s="484"/>
      <c r="G84" s="484"/>
      <c r="H84" s="484"/>
      <c r="I84" s="484"/>
    </row>
    <row r="85" spans="1:9" x14ac:dyDescent="0.2">
      <c r="A85" s="483"/>
      <c r="B85" s="508" t="s">
        <v>390</v>
      </c>
      <c r="C85" s="501">
        <f>'H. Other Liabilities &amp; Expenses'!L205</f>
        <v>0</v>
      </c>
      <c r="D85" s="484"/>
      <c r="E85" s="505"/>
      <c r="F85" s="484"/>
      <c r="G85" s="484"/>
      <c r="H85" s="484"/>
      <c r="I85" s="484"/>
    </row>
    <row r="86" spans="1:9" x14ac:dyDescent="0.2">
      <c r="A86" s="483"/>
      <c r="B86" s="508" t="s">
        <v>263</v>
      </c>
      <c r="C86" s="501">
        <f>'H. Other Liabilities &amp; Expenses'!L206</f>
        <v>0</v>
      </c>
      <c r="D86" s="484"/>
      <c r="E86" s="505"/>
      <c r="F86" s="484"/>
      <c r="G86" s="484"/>
      <c r="H86" s="484"/>
      <c r="I86" s="484"/>
    </row>
    <row r="87" spans="1:9" x14ac:dyDescent="0.2">
      <c r="A87" s="483"/>
      <c r="B87" s="508" t="s">
        <v>55</v>
      </c>
      <c r="C87" s="501">
        <f>'H. Other Liabilities &amp; Expenses'!L207</f>
        <v>0</v>
      </c>
      <c r="D87" s="484"/>
      <c r="E87" s="505"/>
      <c r="F87" s="484"/>
      <c r="G87" s="484"/>
      <c r="H87" s="484"/>
      <c r="I87" s="484"/>
    </row>
    <row r="88" spans="1:9" x14ac:dyDescent="0.2">
      <c r="A88" s="483"/>
      <c r="B88" s="509" t="s">
        <v>1102</v>
      </c>
      <c r="C88" s="510">
        <f>SUM(C71:C87)</f>
        <v>0</v>
      </c>
      <c r="D88" s="539" t="str">
        <f>IF(C88=C66,"Equals Governmental Fund","DOES NOT EQUAL Governmental Fund!!!")</f>
        <v>Equals Governmental Fund</v>
      </c>
      <c r="E88" s="511"/>
      <c r="F88" s="484"/>
      <c r="G88" s="484"/>
      <c r="H88" s="484"/>
      <c r="I88" s="484"/>
    </row>
    <row r="89" spans="1:9" x14ac:dyDescent="0.2">
      <c r="A89" s="483"/>
      <c r="B89" s="484"/>
      <c r="C89" s="501"/>
      <c r="D89" s="484"/>
      <c r="E89" s="484"/>
      <c r="F89" s="484"/>
      <c r="G89" s="484"/>
      <c r="H89" s="484"/>
      <c r="I89" s="484"/>
    </row>
    <row r="90" spans="1:9" x14ac:dyDescent="0.2">
      <c r="A90" s="165"/>
      <c r="B90" s="630"/>
      <c r="C90" s="628"/>
      <c r="D90" s="628"/>
      <c r="E90" s="628"/>
      <c r="F90" s="628"/>
      <c r="G90" s="628"/>
      <c r="H90" s="628"/>
      <c r="I90" s="628"/>
    </row>
    <row r="91" spans="1:9" x14ac:dyDescent="0.2">
      <c r="A91" s="165"/>
      <c r="B91" s="625"/>
      <c r="C91" s="485" t="s">
        <v>1085</v>
      </c>
      <c r="D91" s="485" t="s">
        <v>1086</v>
      </c>
    </row>
    <row r="92" spans="1:9" x14ac:dyDescent="0.2">
      <c r="A92" s="165"/>
      <c r="B92" s="627" t="s">
        <v>1587</v>
      </c>
      <c r="C92" s="486">
        <f t="shared" ref="C92:C107" si="0">G145</f>
        <v>0</v>
      </c>
      <c r="D92" s="486">
        <f t="shared" ref="D92:D107" si="1">H145</f>
        <v>0</v>
      </c>
      <c r="E92" s="478"/>
    </row>
    <row r="93" spans="1:9" x14ac:dyDescent="0.2">
      <c r="A93" s="165"/>
      <c r="B93" s="512" t="s">
        <v>1588</v>
      </c>
      <c r="C93" s="486">
        <f t="shared" si="0"/>
        <v>0</v>
      </c>
      <c r="D93" s="486">
        <f t="shared" si="1"/>
        <v>0</v>
      </c>
      <c r="E93" s="988"/>
    </row>
    <row r="94" spans="1:9" x14ac:dyDescent="0.2">
      <c r="A94" s="165"/>
      <c r="B94" s="512" t="s">
        <v>1589</v>
      </c>
      <c r="C94" s="486">
        <f t="shared" si="0"/>
        <v>0</v>
      </c>
      <c r="D94" s="486">
        <f t="shared" si="1"/>
        <v>0</v>
      </c>
      <c r="E94" s="478"/>
    </row>
    <row r="95" spans="1:9" x14ac:dyDescent="0.2">
      <c r="A95" s="165"/>
      <c r="B95" s="512" t="s">
        <v>1590</v>
      </c>
      <c r="C95" s="486">
        <f t="shared" si="0"/>
        <v>0</v>
      </c>
      <c r="D95" s="486">
        <f t="shared" si="1"/>
        <v>0</v>
      </c>
      <c r="E95" s="478"/>
    </row>
    <row r="96" spans="1:9" x14ac:dyDescent="0.2">
      <c r="A96" s="165"/>
      <c r="B96" s="512" t="s">
        <v>1591</v>
      </c>
      <c r="C96" s="486">
        <f t="shared" si="0"/>
        <v>0</v>
      </c>
      <c r="D96" s="486">
        <f t="shared" si="1"/>
        <v>0</v>
      </c>
      <c r="E96" s="478"/>
    </row>
    <row r="97" spans="1:5" x14ac:dyDescent="0.2">
      <c r="A97" s="165"/>
      <c r="B97" s="512" t="s">
        <v>1592</v>
      </c>
      <c r="C97" s="486">
        <f t="shared" si="0"/>
        <v>0</v>
      </c>
      <c r="D97" s="486">
        <f t="shared" si="1"/>
        <v>0</v>
      </c>
      <c r="E97" s="478"/>
    </row>
    <row r="98" spans="1:5" x14ac:dyDescent="0.2">
      <c r="A98" s="165"/>
      <c r="B98" s="512" t="s">
        <v>1593</v>
      </c>
      <c r="C98" s="486">
        <f t="shared" si="0"/>
        <v>0</v>
      </c>
      <c r="D98" s="486">
        <f t="shared" si="1"/>
        <v>0</v>
      </c>
      <c r="E98" s="478"/>
    </row>
    <row r="99" spans="1:5" x14ac:dyDescent="0.2">
      <c r="A99" s="165"/>
      <c r="B99" s="512" t="s">
        <v>1594</v>
      </c>
      <c r="C99" s="486">
        <f t="shared" si="0"/>
        <v>0</v>
      </c>
      <c r="D99" s="486">
        <f t="shared" si="1"/>
        <v>0</v>
      </c>
      <c r="E99" s="478"/>
    </row>
    <row r="100" spans="1:5" x14ac:dyDescent="0.2">
      <c r="A100" s="165"/>
      <c r="B100" s="512" t="s">
        <v>1595</v>
      </c>
      <c r="C100" s="486">
        <f t="shared" si="0"/>
        <v>0</v>
      </c>
      <c r="D100" s="486">
        <f t="shared" si="1"/>
        <v>0</v>
      </c>
      <c r="E100" s="478"/>
    </row>
    <row r="101" spans="1:5" x14ac:dyDescent="0.2">
      <c r="A101" s="165"/>
      <c r="B101" s="512" t="s">
        <v>1596</v>
      </c>
      <c r="C101" s="486">
        <f t="shared" si="0"/>
        <v>0</v>
      </c>
      <c r="D101" s="486">
        <f t="shared" si="1"/>
        <v>0</v>
      </c>
      <c r="E101" s="478"/>
    </row>
    <row r="102" spans="1:5" x14ac:dyDescent="0.2">
      <c r="A102" s="165"/>
      <c r="B102" s="512" t="s">
        <v>1597</v>
      </c>
      <c r="C102" s="486">
        <f t="shared" si="0"/>
        <v>0</v>
      </c>
      <c r="D102" s="486">
        <f t="shared" si="1"/>
        <v>0</v>
      </c>
      <c r="E102" s="478"/>
    </row>
    <row r="103" spans="1:5" x14ac:dyDescent="0.2">
      <c r="A103" s="165"/>
      <c r="B103" s="512" t="s">
        <v>1598</v>
      </c>
      <c r="C103" s="486">
        <f t="shared" si="0"/>
        <v>0</v>
      </c>
      <c r="D103" s="486">
        <f t="shared" si="1"/>
        <v>0</v>
      </c>
      <c r="E103" s="478"/>
    </row>
    <row r="104" spans="1:5" x14ac:dyDescent="0.2">
      <c r="A104" s="165"/>
      <c r="B104" s="512" t="s">
        <v>1599</v>
      </c>
      <c r="C104" s="486">
        <f t="shared" si="0"/>
        <v>0</v>
      </c>
      <c r="D104" s="486">
        <f t="shared" si="1"/>
        <v>0</v>
      </c>
      <c r="E104" s="478"/>
    </row>
    <row r="105" spans="1:5" x14ac:dyDescent="0.2">
      <c r="A105" s="165"/>
      <c r="B105" s="512" t="s">
        <v>1600</v>
      </c>
      <c r="C105" s="486">
        <f t="shared" si="0"/>
        <v>0</v>
      </c>
      <c r="D105" s="486">
        <f t="shared" si="1"/>
        <v>0</v>
      </c>
      <c r="E105" s="478"/>
    </row>
    <row r="106" spans="1:5" x14ac:dyDescent="0.2">
      <c r="A106" s="165"/>
      <c r="B106" s="512" t="s">
        <v>1601</v>
      </c>
      <c r="C106" s="486">
        <f t="shared" si="0"/>
        <v>0</v>
      </c>
      <c r="D106" s="486">
        <f t="shared" si="1"/>
        <v>0</v>
      </c>
      <c r="E106" s="478"/>
    </row>
    <row r="107" spans="1:5" x14ac:dyDescent="0.2">
      <c r="A107" s="165"/>
      <c r="B107" s="512" t="s">
        <v>1602</v>
      </c>
      <c r="C107" s="486">
        <f t="shared" si="0"/>
        <v>0</v>
      </c>
      <c r="D107" s="486">
        <f t="shared" si="1"/>
        <v>0</v>
      </c>
      <c r="E107" s="478"/>
    </row>
    <row r="108" spans="1:5" x14ac:dyDescent="0.2">
      <c r="A108" s="165"/>
      <c r="B108" s="512" t="s">
        <v>1603</v>
      </c>
      <c r="C108" s="486">
        <f t="shared" ref="C108:D117" si="2">G161</f>
        <v>0</v>
      </c>
      <c r="D108" s="486">
        <f t="shared" si="2"/>
        <v>0</v>
      </c>
      <c r="E108" s="478"/>
    </row>
    <row r="109" spans="1:5" x14ac:dyDescent="0.2">
      <c r="A109" s="165"/>
      <c r="B109" s="512" t="s">
        <v>1604</v>
      </c>
      <c r="C109" s="486">
        <f t="shared" si="2"/>
        <v>0</v>
      </c>
      <c r="D109" s="486">
        <f t="shared" si="2"/>
        <v>0</v>
      </c>
      <c r="E109" s="478"/>
    </row>
    <row r="110" spans="1:5" x14ac:dyDescent="0.2">
      <c r="A110" s="165"/>
      <c r="B110" s="627" t="s">
        <v>1195</v>
      </c>
      <c r="C110" s="486">
        <f t="shared" si="2"/>
        <v>0</v>
      </c>
      <c r="D110" s="486">
        <f t="shared" si="2"/>
        <v>0</v>
      </c>
    </row>
    <row r="111" spans="1:5" ht="25.5" x14ac:dyDescent="0.2">
      <c r="A111" s="165"/>
      <c r="B111" s="627" t="s">
        <v>1158</v>
      </c>
      <c r="C111" s="486">
        <f t="shared" si="2"/>
        <v>0</v>
      </c>
      <c r="D111" s="486">
        <f t="shared" si="2"/>
        <v>0</v>
      </c>
    </row>
    <row r="112" spans="1:5" x14ac:dyDescent="0.2">
      <c r="A112" s="165"/>
      <c r="B112" s="627" t="s">
        <v>1196</v>
      </c>
      <c r="C112" s="486">
        <f t="shared" si="2"/>
        <v>0</v>
      </c>
      <c r="D112" s="486">
        <f t="shared" si="2"/>
        <v>0</v>
      </c>
    </row>
    <row r="113" spans="1:5" ht="25.5" x14ac:dyDescent="0.2">
      <c r="A113" s="165"/>
      <c r="B113" s="627" t="s">
        <v>1197</v>
      </c>
      <c r="C113" s="486">
        <f t="shared" si="2"/>
        <v>0</v>
      </c>
      <c r="D113" s="486">
        <f t="shared" si="2"/>
        <v>0</v>
      </c>
    </row>
    <row r="114" spans="1:5" x14ac:dyDescent="0.2">
      <c r="A114" s="165"/>
      <c r="B114" s="627" t="s">
        <v>1198</v>
      </c>
      <c r="C114" s="486">
        <f t="shared" si="2"/>
        <v>0</v>
      </c>
      <c r="D114" s="486">
        <f t="shared" si="2"/>
        <v>0</v>
      </c>
    </row>
    <row r="115" spans="1:5" ht="25.5" x14ac:dyDescent="0.2">
      <c r="A115" s="165"/>
      <c r="B115" s="627" t="s">
        <v>1199</v>
      </c>
      <c r="C115" s="486">
        <f t="shared" si="2"/>
        <v>0</v>
      </c>
      <c r="D115" s="486">
        <f t="shared" si="2"/>
        <v>0</v>
      </c>
    </row>
    <row r="116" spans="1:5" x14ac:dyDescent="0.2">
      <c r="A116" s="165"/>
      <c r="B116" s="627" t="s">
        <v>1200</v>
      </c>
      <c r="C116" s="486">
        <f t="shared" si="2"/>
        <v>0</v>
      </c>
      <c r="D116" s="486">
        <f t="shared" si="2"/>
        <v>0</v>
      </c>
    </row>
    <row r="117" spans="1:5" ht="25.5" x14ac:dyDescent="0.2">
      <c r="A117" s="165"/>
      <c r="B117" s="627" t="s">
        <v>1201</v>
      </c>
      <c r="C117" s="486">
        <f t="shared" si="2"/>
        <v>0</v>
      </c>
      <c r="D117" s="486">
        <f t="shared" si="2"/>
        <v>0</v>
      </c>
    </row>
    <row r="118" spans="1:5" x14ac:dyDescent="0.2">
      <c r="A118" s="165"/>
      <c r="B118" s="627" t="s">
        <v>1578</v>
      </c>
      <c r="C118" s="486">
        <f t="shared" ref="C118:C135" si="3">G171</f>
        <v>0</v>
      </c>
      <c r="D118" s="486">
        <f t="shared" ref="D118:D135" si="4">H171</f>
        <v>0</v>
      </c>
    </row>
    <row r="119" spans="1:5" s="684" customFormat="1" x14ac:dyDescent="0.2">
      <c r="A119" s="165"/>
      <c r="B119" s="512" t="s">
        <v>1562</v>
      </c>
      <c r="C119" s="486">
        <f t="shared" si="3"/>
        <v>0</v>
      </c>
      <c r="D119" s="486">
        <f t="shared" si="4"/>
        <v>0</v>
      </c>
    </row>
    <row r="120" spans="1:5" s="684" customFormat="1" x14ac:dyDescent="0.2">
      <c r="A120" s="165"/>
      <c r="B120" s="512" t="s">
        <v>1579</v>
      </c>
      <c r="C120" s="486">
        <f t="shared" si="3"/>
        <v>0</v>
      </c>
      <c r="D120" s="486">
        <f t="shared" si="4"/>
        <v>0</v>
      </c>
    </row>
    <row r="121" spans="1:5" s="684" customFormat="1" x14ac:dyDescent="0.2">
      <c r="A121" s="165"/>
      <c r="B121" s="512" t="s">
        <v>1580</v>
      </c>
      <c r="C121" s="486">
        <f t="shared" si="3"/>
        <v>0</v>
      </c>
      <c r="D121" s="486">
        <f t="shared" si="4"/>
        <v>0</v>
      </c>
    </row>
    <row r="122" spans="1:5" s="684" customFormat="1" x14ac:dyDescent="0.2">
      <c r="A122" s="165"/>
      <c r="B122" s="512" t="s">
        <v>1563</v>
      </c>
      <c r="C122" s="486">
        <f t="shared" si="3"/>
        <v>0</v>
      </c>
      <c r="D122" s="486">
        <f t="shared" si="4"/>
        <v>0</v>
      </c>
    </row>
    <row r="123" spans="1:5" s="684" customFormat="1" x14ac:dyDescent="0.2">
      <c r="A123" s="165"/>
      <c r="B123" s="512" t="s">
        <v>1564</v>
      </c>
      <c r="C123" s="486">
        <f t="shared" si="3"/>
        <v>0</v>
      </c>
      <c r="D123" s="486">
        <f t="shared" si="4"/>
        <v>0</v>
      </c>
    </row>
    <row r="124" spans="1:5" s="684" customFormat="1" x14ac:dyDescent="0.2">
      <c r="A124" s="165"/>
      <c r="B124" s="512" t="s">
        <v>1565</v>
      </c>
      <c r="C124" s="486">
        <f t="shared" si="3"/>
        <v>0</v>
      </c>
      <c r="D124" s="486">
        <f t="shared" si="4"/>
        <v>0</v>
      </c>
    </row>
    <row r="125" spans="1:5" s="684" customFormat="1" x14ac:dyDescent="0.2">
      <c r="A125" s="165"/>
      <c r="B125" s="512" t="s">
        <v>1566</v>
      </c>
      <c r="C125" s="486">
        <f t="shared" si="3"/>
        <v>0</v>
      </c>
      <c r="D125" s="486">
        <f t="shared" si="4"/>
        <v>0</v>
      </c>
    </row>
    <row r="126" spans="1:5" s="684" customFormat="1" x14ac:dyDescent="0.2">
      <c r="A126" s="165"/>
      <c r="B126" s="512" t="s">
        <v>1567</v>
      </c>
      <c r="C126" s="486">
        <f t="shared" si="3"/>
        <v>0</v>
      </c>
      <c r="D126" s="486">
        <f t="shared" si="4"/>
        <v>0</v>
      </c>
      <c r="E126" s="699"/>
    </row>
    <row r="127" spans="1:5" s="684" customFormat="1" x14ac:dyDescent="0.2">
      <c r="A127" s="165"/>
      <c r="B127" s="512" t="s">
        <v>1568</v>
      </c>
      <c r="C127" s="486">
        <f t="shared" si="3"/>
        <v>0</v>
      </c>
      <c r="D127" s="486">
        <f t="shared" si="4"/>
        <v>0</v>
      </c>
    </row>
    <row r="128" spans="1:5" s="684" customFormat="1" x14ac:dyDescent="0.2">
      <c r="A128" s="165"/>
      <c r="B128" s="512" t="s">
        <v>1569</v>
      </c>
      <c r="C128" s="486">
        <f t="shared" si="3"/>
        <v>0</v>
      </c>
      <c r="D128" s="486">
        <f t="shared" si="4"/>
        <v>0</v>
      </c>
    </row>
    <row r="129" spans="1:9" s="684" customFormat="1" x14ac:dyDescent="0.2">
      <c r="A129" s="165"/>
      <c r="B129" s="512" t="s">
        <v>1570</v>
      </c>
      <c r="C129" s="486">
        <f t="shared" si="3"/>
        <v>0</v>
      </c>
      <c r="D129" s="486">
        <f t="shared" si="4"/>
        <v>0</v>
      </c>
    </row>
    <row r="130" spans="1:9" s="684" customFormat="1" x14ac:dyDescent="0.2">
      <c r="A130" s="165"/>
      <c r="B130" s="512" t="s">
        <v>1571</v>
      </c>
      <c r="C130" s="486">
        <f t="shared" si="3"/>
        <v>0</v>
      </c>
      <c r="D130" s="486">
        <f t="shared" si="4"/>
        <v>0</v>
      </c>
    </row>
    <row r="131" spans="1:9" s="684" customFormat="1" x14ac:dyDescent="0.2">
      <c r="A131" s="165"/>
      <c r="B131" s="512" t="s">
        <v>1572</v>
      </c>
      <c r="C131" s="486">
        <f t="shared" si="3"/>
        <v>0</v>
      </c>
      <c r="D131" s="486">
        <f t="shared" si="4"/>
        <v>0</v>
      </c>
    </row>
    <row r="132" spans="1:9" s="684" customFormat="1" x14ac:dyDescent="0.2">
      <c r="A132" s="165"/>
      <c r="B132" s="512" t="s">
        <v>1573</v>
      </c>
      <c r="C132" s="486">
        <f t="shared" si="3"/>
        <v>0</v>
      </c>
      <c r="D132" s="486">
        <f t="shared" si="4"/>
        <v>0</v>
      </c>
    </row>
    <row r="133" spans="1:9" s="684" customFormat="1" x14ac:dyDescent="0.2">
      <c r="A133" s="165"/>
      <c r="B133" s="512" t="s">
        <v>1574</v>
      </c>
      <c r="C133" s="486">
        <f t="shared" si="3"/>
        <v>0</v>
      </c>
      <c r="D133" s="486">
        <f t="shared" si="4"/>
        <v>0</v>
      </c>
    </row>
    <row r="134" spans="1:9" s="684" customFormat="1" x14ac:dyDescent="0.2">
      <c r="A134" s="165"/>
      <c r="B134" s="512" t="s">
        <v>1575</v>
      </c>
      <c r="C134" s="486">
        <f t="shared" si="3"/>
        <v>0</v>
      </c>
      <c r="D134" s="486">
        <f t="shared" si="4"/>
        <v>0</v>
      </c>
    </row>
    <row r="135" spans="1:9" s="684" customFormat="1" x14ac:dyDescent="0.2">
      <c r="A135" s="165"/>
      <c r="B135" s="512" t="s">
        <v>1576</v>
      </c>
      <c r="C135" s="486">
        <f t="shared" si="3"/>
        <v>0</v>
      </c>
      <c r="D135" s="486">
        <f t="shared" si="4"/>
        <v>0</v>
      </c>
    </row>
    <row r="136" spans="1:9" x14ac:dyDescent="0.2">
      <c r="A136" s="165"/>
      <c r="B136" s="625"/>
      <c r="C136" s="481"/>
      <c r="D136" s="481"/>
      <c r="G136" s="461"/>
      <c r="H136" s="461"/>
      <c r="I136" s="461"/>
    </row>
    <row r="137" spans="1:9" ht="13.5" thickBot="1" x14ac:dyDescent="0.25">
      <c r="A137" s="165"/>
      <c r="B137" s="625"/>
      <c r="C137" s="487">
        <f>SUM(C92:C136)</f>
        <v>0</v>
      </c>
      <c r="D137" s="487">
        <f>SUM(D92:D136)</f>
        <v>0</v>
      </c>
      <c r="G137" s="461"/>
      <c r="H137" s="461"/>
      <c r="I137" s="682"/>
    </row>
    <row r="138" spans="1:9" ht="13.5" thickTop="1" x14ac:dyDescent="0.2">
      <c r="A138" s="165"/>
      <c r="B138" s="625"/>
      <c r="C138" s="481"/>
      <c r="D138" s="481"/>
    </row>
    <row r="139" spans="1:9" x14ac:dyDescent="0.2">
      <c r="A139" s="165"/>
      <c r="B139" s="625"/>
      <c r="C139" s="481"/>
      <c r="D139" s="481"/>
    </row>
    <row r="140" spans="1:9" ht="12.75" customHeight="1" x14ac:dyDescent="0.2">
      <c r="A140" s="165"/>
      <c r="B140" s="1242" t="s">
        <v>1655</v>
      </c>
      <c r="C140" s="1242"/>
      <c r="D140" s="1242"/>
      <c r="E140" s="1242"/>
      <c r="F140" s="1242"/>
      <c r="G140" s="1242"/>
      <c r="H140" s="1242"/>
    </row>
    <row r="141" spans="1:9" ht="12.75" customHeight="1" x14ac:dyDescent="0.2">
      <c r="A141" s="165"/>
      <c r="B141" s="1242"/>
      <c r="C141" s="1242"/>
      <c r="D141" s="1242"/>
      <c r="E141" s="1242"/>
      <c r="F141" s="1242"/>
      <c r="G141" s="1242"/>
      <c r="H141" s="1242"/>
    </row>
    <row r="142" spans="1:9" ht="18" x14ac:dyDescent="0.2">
      <c r="C142" s="513"/>
      <c r="D142" s="514"/>
      <c r="E142" s="515"/>
      <c r="F142" s="516"/>
      <c r="G142" s="1211" t="s">
        <v>466</v>
      </c>
      <c r="H142" s="1212"/>
    </row>
    <row r="143" spans="1:9" x14ac:dyDescent="0.2">
      <c r="C143" s="517"/>
      <c r="D143" s="518"/>
      <c r="E143" s="519"/>
      <c r="F143" s="628"/>
      <c r="G143" s="631"/>
      <c r="H143" s="130"/>
    </row>
    <row r="144" spans="1:9" x14ac:dyDescent="0.2">
      <c r="B144" s="82"/>
      <c r="C144" s="520" t="s">
        <v>658</v>
      </c>
      <c r="D144" s="113" t="s">
        <v>659</v>
      </c>
      <c r="E144" s="521" t="s">
        <v>1122</v>
      </c>
      <c r="F144" s="628"/>
      <c r="G144" s="59" t="s">
        <v>658</v>
      </c>
      <c r="H144" s="60" t="s">
        <v>659</v>
      </c>
    </row>
    <row r="145" spans="1:11" x14ac:dyDescent="0.2">
      <c r="A145" s="986"/>
      <c r="B145" s="627" t="s">
        <v>1587</v>
      </c>
      <c r="C145" s="526">
        <f>C66*D35</f>
        <v>0</v>
      </c>
      <c r="D145" s="527">
        <f>C66*(E36)</f>
        <v>0</v>
      </c>
      <c r="E145" s="522">
        <f>C145-D145</f>
        <v>0</v>
      </c>
      <c r="F145" s="33"/>
      <c r="G145" s="255">
        <f>IF(E145&lt;0,0,E145)</f>
        <v>0</v>
      </c>
      <c r="H145" s="531">
        <f>IF(E145&gt;0,0,E145*-1)</f>
        <v>0</v>
      </c>
      <c r="I145" s="478"/>
      <c r="K145" s="478"/>
    </row>
    <row r="146" spans="1:11" x14ac:dyDescent="0.2">
      <c r="A146" s="986"/>
      <c r="B146" s="512" t="s">
        <v>1588</v>
      </c>
      <c r="C146" s="526">
        <f t="shared" ref="C146:C162" si="5">C71*($D$37+$D$56+$D$57)</f>
        <v>0</v>
      </c>
      <c r="D146" s="527">
        <f>C71*($E$37+$E$56+$E$57)</f>
        <v>0</v>
      </c>
      <c r="E146" s="522">
        <f t="shared" ref="E146:E188" si="6">C146-D146</f>
        <v>0</v>
      </c>
      <c r="F146" s="33"/>
      <c r="G146" s="255">
        <f>IF(E146&lt;0,0,E146-E189)</f>
        <v>0</v>
      </c>
      <c r="H146" s="531">
        <f>IF(E146&gt;0,0,-E146+E189)</f>
        <v>0</v>
      </c>
      <c r="I146" s="478"/>
    </row>
    <row r="147" spans="1:11" x14ac:dyDescent="0.2">
      <c r="B147" s="512" t="s">
        <v>1589</v>
      </c>
      <c r="C147" s="526">
        <f t="shared" si="5"/>
        <v>0</v>
      </c>
      <c r="D147" s="527">
        <f t="shared" ref="D147:D162" si="7">C72*($E$37+$E$56+$E$57)</f>
        <v>0</v>
      </c>
      <c r="E147" s="522">
        <f t="shared" si="6"/>
        <v>0</v>
      </c>
      <c r="F147" s="33"/>
      <c r="G147" s="255">
        <f t="shared" ref="G147:G170" si="8">IF(E147&lt;0,0,E147)</f>
        <v>0</v>
      </c>
      <c r="H147" s="531">
        <f t="shared" ref="H147:H170" si="9">IF(E147&gt;0,0,E147*-1)</f>
        <v>0</v>
      </c>
    </row>
    <row r="148" spans="1:11" x14ac:dyDescent="0.2">
      <c r="B148" s="512" t="s">
        <v>1590</v>
      </c>
      <c r="C148" s="526">
        <f t="shared" si="5"/>
        <v>0</v>
      </c>
      <c r="D148" s="527">
        <f t="shared" si="7"/>
        <v>0</v>
      </c>
      <c r="E148" s="522">
        <f t="shared" si="6"/>
        <v>0</v>
      </c>
      <c r="F148" s="33"/>
      <c r="G148" s="255">
        <f t="shared" si="8"/>
        <v>0</v>
      </c>
      <c r="H148" s="531">
        <f t="shared" si="9"/>
        <v>0</v>
      </c>
    </row>
    <row r="149" spans="1:11" x14ac:dyDescent="0.2">
      <c r="B149" s="512" t="s">
        <v>1591</v>
      </c>
      <c r="C149" s="526">
        <f t="shared" si="5"/>
        <v>0</v>
      </c>
      <c r="D149" s="527">
        <f t="shared" si="7"/>
        <v>0</v>
      </c>
      <c r="E149" s="522">
        <f t="shared" si="6"/>
        <v>0</v>
      </c>
      <c r="F149" s="33"/>
      <c r="G149" s="255">
        <f t="shared" si="8"/>
        <v>0</v>
      </c>
      <c r="H149" s="531">
        <f t="shared" si="9"/>
        <v>0</v>
      </c>
    </row>
    <row r="150" spans="1:11" x14ac:dyDescent="0.2">
      <c r="B150" s="512" t="s">
        <v>1592</v>
      </c>
      <c r="C150" s="526">
        <f t="shared" si="5"/>
        <v>0</v>
      </c>
      <c r="D150" s="527">
        <f t="shared" si="7"/>
        <v>0</v>
      </c>
      <c r="E150" s="522">
        <f t="shared" si="6"/>
        <v>0</v>
      </c>
      <c r="F150" s="33"/>
      <c r="G150" s="255">
        <f t="shared" si="8"/>
        <v>0</v>
      </c>
      <c r="H150" s="531">
        <f t="shared" si="9"/>
        <v>0</v>
      </c>
    </row>
    <row r="151" spans="1:11" x14ac:dyDescent="0.2">
      <c r="B151" s="512" t="s">
        <v>1593</v>
      </c>
      <c r="C151" s="526">
        <f t="shared" si="5"/>
        <v>0</v>
      </c>
      <c r="D151" s="527">
        <f t="shared" si="7"/>
        <v>0</v>
      </c>
      <c r="E151" s="522">
        <f t="shared" si="6"/>
        <v>0</v>
      </c>
      <c r="F151" s="33"/>
      <c r="G151" s="255">
        <f t="shared" si="8"/>
        <v>0</v>
      </c>
      <c r="H151" s="531">
        <f t="shared" si="9"/>
        <v>0</v>
      </c>
    </row>
    <row r="152" spans="1:11" x14ac:dyDescent="0.2">
      <c r="B152" s="512" t="s">
        <v>1594</v>
      </c>
      <c r="C152" s="526">
        <f t="shared" si="5"/>
        <v>0</v>
      </c>
      <c r="D152" s="527">
        <f t="shared" si="7"/>
        <v>0</v>
      </c>
      <c r="E152" s="522">
        <f t="shared" si="6"/>
        <v>0</v>
      </c>
      <c r="F152" s="33"/>
      <c r="G152" s="255">
        <f t="shared" si="8"/>
        <v>0</v>
      </c>
      <c r="H152" s="531">
        <f t="shared" si="9"/>
        <v>0</v>
      </c>
    </row>
    <row r="153" spans="1:11" x14ac:dyDescent="0.2">
      <c r="B153" s="512" t="s">
        <v>1595</v>
      </c>
      <c r="C153" s="526">
        <f t="shared" si="5"/>
        <v>0</v>
      </c>
      <c r="D153" s="527">
        <f t="shared" si="7"/>
        <v>0</v>
      </c>
      <c r="E153" s="522">
        <f t="shared" si="6"/>
        <v>0</v>
      </c>
      <c r="F153" s="33"/>
      <c r="G153" s="255">
        <f t="shared" si="8"/>
        <v>0</v>
      </c>
      <c r="H153" s="531">
        <f t="shared" si="9"/>
        <v>0</v>
      </c>
    </row>
    <row r="154" spans="1:11" x14ac:dyDescent="0.2">
      <c r="B154" s="512" t="s">
        <v>1596</v>
      </c>
      <c r="C154" s="526">
        <f t="shared" si="5"/>
        <v>0</v>
      </c>
      <c r="D154" s="527">
        <f t="shared" si="7"/>
        <v>0</v>
      </c>
      <c r="E154" s="522">
        <f t="shared" si="6"/>
        <v>0</v>
      </c>
      <c r="F154" s="33"/>
      <c r="G154" s="255">
        <f t="shared" si="8"/>
        <v>0</v>
      </c>
      <c r="H154" s="531">
        <f t="shared" si="9"/>
        <v>0</v>
      </c>
    </row>
    <row r="155" spans="1:11" x14ac:dyDescent="0.2">
      <c r="B155" s="512" t="s">
        <v>1597</v>
      </c>
      <c r="C155" s="526">
        <f t="shared" si="5"/>
        <v>0</v>
      </c>
      <c r="D155" s="527">
        <f t="shared" si="7"/>
        <v>0</v>
      </c>
      <c r="E155" s="522">
        <f t="shared" si="6"/>
        <v>0</v>
      </c>
      <c r="F155" s="33"/>
      <c r="G155" s="255">
        <f t="shared" si="8"/>
        <v>0</v>
      </c>
      <c r="H155" s="531">
        <f t="shared" si="9"/>
        <v>0</v>
      </c>
    </row>
    <row r="156" spans="1:11" x14ac:dyDescent="0.2">
      <c r="B156" s="512" t="s">
        <v>1598</v>
      </c>
      <c r="C156" s="526">
        <f t="shared" si="5"/>
        <v>0</v>
      </c>
      <c r="D156" s="527">
        <f t="shared" si="7"/>
        <v>0</v>
      </c>
      <c r="E156" s="522">
        <f t="shared" si="6"/>
        <v>0</v>
      </c>
      <c r="F156" s="33"/>
      <c r="G156" s="255">
        <f t="shared" si="8"/>
        <v>0</v>
      </c>
      <c r="H156" s="531">
        <f t="shared" si="9"/>
        <v>0</v>
      </c>
    </row>
    <row r="157" spans="1:11" x14ac:dyDescent="0.2">
      <c r="B157" s="512" t="s">
        <v>1599</v>
      </c>
      <c r="C157" s="526">
        <f t="shared" si="5"/>
        <v>0</v>
      </c>
      <c r="D157" s="527">
        <f t="shared" si="7"/>
        <v>0</v>
      </c>
      <c r="E157" s="522">
        <f t="shared" si="6"/>
        <v>0</v>
      </c>
      <c r="F157" s="33"/>
      <c r="G157" s="255">
        <f t="shared" si="8"/>
        <v>0</v>
      </c>
      <c r="H157" s="531">
        <f t="shared" si="9"/>
        <v>0</v>
      </c>
    </row>
    <row r="158" spans="1:11" x14ac:dyDescent="0.2">
      <c r="B158" s="512" t="s">
        <v>1600</v>
      </c>
      <c r="C158" s="526">
        <f t="shared" si="5"/>
        <v>0</v>
      </c>
      <c r="D158" s="527">
        <f t="shared" si="7"/>
        <v>0</v>
      </c>
      <c r="E158" s="522">
        <f t="shared" si="6"/>
        <v>0</v>
      </c>
      <c r="F158" s="33"/>
      <c r="G158" s="255">
        <f t="shared" si="8"/>
        <v>0</v>
      </c>
      <c r="H158" s="531">
        <f t="shared" si="9"/>
        <v>0</v>
      </c>
    </row>
    <row r="159" spans="1:11" x14ac:dyDescent="0.2">
      <c r="B159" s="512" t="s">
        <v>1601</v>
      </c>
      <c r="C159" s="526">
        <f t="shared" si="5"/>
        <v>0</v>
      </c>
      <c r="D159" s="527">
        <f t="shared" si="7"/>
        <v>0</v>
      </c>
      <c r="E159" s="522">
        <f t="shared" si="6"/>
        <v>0</v>
      </c>
      <c r="F159" s="33"/>
      <c r="G159" s="255">
        <f t="shared" si="8"/>
        <v>0</v>
      </c>
      <c r="H159" s="531">
        <f t="shared" si="9"/>
        <v>0</v>
      </c>
    </row>
    <row r="160" spans="1:11" x14ac:dyDescent="0.2">
      <c r="B160" s="512" t="s">
        <v>1602</v>
      </c>
      <c r="C160" s="526">
        <f t="shared" si="5"/>
        <v>0</v>
      </c>
      <c r="D160" s="527">
        <f t="shared" si="7"/>
        <v>0</v>
      </c>
      <c r="E160" s="522">
        <f t="shared" si="6"/>
        <v>0</v>
      </c>
      <c r="F160" s="33"/>
      <c r="G160" s="255">
        <f t="shared" si="8"/>
        <v>0</v>
      </c>
      <c r="H160" s="531">
        <f t="shared" si="9"/>
        <v>0</v>
      </c>
    </row>
    <row r="161" spans="2:9" x14ac:dyDescent="0.2">
      <c r="B161" s="512" t="s">
        <v>1603</v>
      </c>
      <c r="C161" s="526">
        <f t="shared" si="5"/>
        <v>0</v>
      </c>
      <c r="D161" s="527">
        <f t="shared" si="7"/>
        <v>0</v>
      </c>
      <c r="E161" s="522">
        <f t="shared" si="6"/>
        <v>0</v>
      </c>
      <c r="F161" s="33"/>
      <c r="G161" s="255">
        <f t="shared" si="8"/>
        <v>0</v>
      </c>
      <c r="H161" s="531">
        <f t="shared" si="9"/>
        <v>0</v>
      </c>
    </row>
    <row r="162" spans="2:9" x14ac:dyDescent="0.2">
      <c r="B162" s="512" t="s">
        <v>1604</v>
      </c>
      <c r="C162" s="526">
        <f t="shared" si="5"/>
        <v>0</v>
      </c>
      <c r="D162" s="527">
        <f t="shared" si="7"/>
        <v>0</v>
      </c>
      <c r="E162" s="522">
        <f t="shared" si="6"/>
        <v>0</v>
      </c>
      <c r="F162" s="33"/>
      <c r="G162" s="255">
        <f t="shared" si="8"/>
        <v>0</v>
      </c>
      <c r="H162" s="531">
        <f t="shared" si="9"/>
        <v>0</v>
      </c>
    </row>
    <row r="163" spans="2:9" x14ac:dyDescent="0.2">
      <c r="B163" s="627" t="s">
        <v>1195</v>
      </c>
      <c r="C163" s="526">
        <f>$C$66*(D46)</f>
        <v>0</v>
      </c>
      <c r="D163" s="527">
        <f>$C$71*(E38+E46)</f>
        <v>0</v>
      </c>
      <c r="E163" s="622">
        <f t="shared" si="6"/>
        <v>0</v>
      </c>
      <c r="F163" s="33"/>
      <c r="G163" s="255">
        <f t="shared" si="8"/>
        <v>0</v>
      </c>
      <c r="H163" s="531">
        <f t="shared" si="9"/>
        <v>0</v>
      </c>
    </row>
    <row r="164" spans="2:9" ht="25.5" x14ac:dyDescent="0.2">
      <c r="B164" s="627" t="s">
        <v>1158</v>
      </c>
      <c r="C164" s="526">
        <f>$C$66*(D47)</f>
        <v>0</v>
      </c>
      <c r="D164" s="527">
        <f>$C$71*(E39+E47)</f>
        <v>0</v>
      </c>
      <c r="E164" s="622">
        <f t="shared" si="6"/>
        <v>0</v>
      </c>
      <c r="F164" s="994"/>
      <c r="G164" s="255">
        <f t="shared" si="8"/>
        <v>0</v>
      </c>
      <c r="H164" s="531">
        <f t="shared" si="9"/>
        <v>0</v>
      </c>
      <c r="I164" s="478"/>
    </row>
    <row r="165" spans="2:9" x14ac:dyDescent="0.2">
      <c r="B165" s="627" t="s">
        <v>1196</v>
      </c>
      <c r="C165" s="526">
        <f>$C$66*(D48)</f>
        <v>0</v>
      </c>
      <c r="D165" s="527">
        <f>$C$71*(E40+E48)</f>
        <v>0</v>
      </c>
      <c r="E165" s="622">
        <f t="shared" si="6"/>
        <v>0</v>
      </c>
      <c r="F165" s="33"/>
      <c r="G165" s="255">
        <f t="shared" si="8"/>
        <v>0</v>
      </c>
      <c r="H165" s="531">
        <f t="shared" si="9"/>
        <v>0</v>
      </c>
    </row>
    <row r="166" spans="2:9" ht="25.5" x14ac:dyDescent="0.2">
      <c r="B166" s="627" t="s">
        <v>1197</v>
      </c>
      <c r="C166" s="526">
        <f>$C$88*(D49)</f>
        <v>0</v>
      </c>
      <c r="D166" s="527">
        <f>$C$88*(E49)</f>
        <v>0</v>
      </c>
      <c r="E166" s="622">
        <f t="shared" si="6"/>
        <v>0</v>
      </c>
      <c r="F166" s="994"/>
      <c r="G166" s="255">
        <f t="shared" si="8"/>
        <v>0</v>
      </c>
      <c r="H166" s="531">
        <f t="shared" si="9"/>
        <v>0</v>
      </c>
      <c r="I166" s="987"/>
    </row>
    <row r="167" spans="2:9" x14ac:dyDescent="0.2">
      <c r="B167" s="627" t="s">
        <v>1198</v>
      </c>
      <c r="C167" s="526">
        <f>IF($C$88*(E50-D42)&lt;0,(C88*-(E50-D42)),0)</f>
        <v>0</v>
      </c>
      <c r="D167" s="527">
        <f>IF($C$88*(E50-D42)&gt;0,($C$88*(E50-D42)),0)</f>
        <v>0</v>
      </c>
      <c r="E167" s="622">
        <f t="shared" si="6"/>
        <v>0</v>
      </c>
      <c r="F167" s="994"/>
      <c r="G167" s="255">
        <f t="shared" si="8"/>
        <v>0</v>
      </c>
      <c r="H167" s="531">
        <f t="shared" si="9"/>
        <v>0</v>
      </c>
      <c r="I167" s="988">
        <f>H167/0.8</f>
        <v>0</v>
      </c>
    </row>
    <row r="168" spans="2:9" ht="25.5" x14ac:dyDescent="0.2">
      <c r="B168" s="627" t="s">
        <v>1199</v>
      </c>
      <c r="C168" s="526">
        <f>IF($C$88*(E51-D43)&lt;0,C88*-(E51-D43),0)</f>
        <v>0</v>
      </c>
      <c r="D168" s="527">
        <f>IF($C$88*(E51-D43)&gt;0,($C$88*(E51-D43)),0)</f>
        <v>0</v>
      </c>
      <c r="E168" s="622">
        <f t="shared" si="6"/>
        <v>0</v>
      </c>
      <c r="F168" s="994"/>
      <c r="G168" s="255">
        <f t="shared" si="8"/>
        <v>0</v>
      </c>
      <c r="H168" s="531">
        <f t="shared" si="9"/>
        <v>0</v>
      </c>
    </row>
    <row r="169" spans="2:9" x14ac:dyDescent="0.2">
      <c r="B169" s="627" t="s">
        <v>1200</v>
      </c>
      <c r="C169" s="526"/>
      <c r="D169" s="527">
        <f>C66*(E52-D44)</f>
        <v>0</v>
      </c>
      <c r="E169" s="622">
        <f t="shared" si="6"/>
        <v>0</v>
      </c>
      <c r="F169" s="994"/>
      <c r="G169" s="255">
        <f t="shared" si="8"/>
        <v>0</v>
      </c>
      <c r="H169" s="531">
        <f t="shared" si="9"/>
        <v>0</v>
      </c>
      <c r="I169" s="987"/>
    </row>
    <row r="170" spans="2:9" ht="25.5" x14ac:dyDescent="0.2">
      <c r="B170" s="627" t="s">
        <v>1201</v>
      </c>
      <c r="C170" s="526">
        <f>IF($C$88*(E53-D45)&lt;0,($C$88*-(E53-D45)),0)</f>
        <v>0</v>
      </c>
      <c r="D170" s="527">
        <f>IF($C$88*F530,($C$88*F53),0)</f>
        <v>0</v>
      </c>
      <c r="E170" s="622">
        <f t="shared" si="6"/>
        <v>0</v>
      </c>
      <c r="F170" s="994"/>
      <c r="G170" s="255">
        <f t="shared" si="8"/>
        <v>0</v>
      </c>
      <c r="H170" s="531">
        <f t="shared" si="9"/>
        <v>0</v>
      </c>
      <c r="I170" s="478"/>
    </row>
    <row r="171" spans="2:9" s="696" customFormat="1" x14ac:dyDescent="0.2">
      <c r="B171" s="697" t="s">
        <v>1581</v>
      </c>
      <c r="C171" s="526">
        <f>C17*C88</f>
        <v>0</v>
      </c>
      <c r="D171" s="527">
        <f>C66*E54</f>
        <v>0</v>
      </c>
      <c r="E171" s="622">
        <f t="shared" si="6"/>
        <v>0</v>
      </c>
      <c r="F171" s="994"/>
      <c r="G171" s="255">
        <f t="shared" ref="G171:G188" si="10">IF(E171&lt;0,0,E171)</f>
        <v>0</v>
      </c>
      <c r="H171" s="531">
        <f t="shared" ref="H171:H188" si="11">IF(E171&gt;0,0,E171*-1)</f>
        <v>0</v>
      </c>
      <c r="I171" s="987"/>
    </row>
    <row r="172" spans="2:9" s="696" customFormat="1" x14ac:dyDescent="0.2">
      <c r="B172" s="512" t="s">
        <v>1562</v>
      </c>
      <c r="C172" s="526"/>
      <c r="D172" s="527">
        <f>$C$17*C71</f>
        <v>0</v>
      </c>
      <c r="E172" s="622">
        <f t="shared" si="6"/>
        <v>0</v>
      </c>
      <c r="F172" s="33"/>
      <c r="G172" s="255">
        <f t="shared" si="10"/>
        <v>0</v>
      </c>
      <c r="H172" s="531">
        <f t="shared" si="11"/>
        <v>0</v>
      </c>
      <c r="I172" s="987"/>
    </row>
    <row r="173" spans="2:9" s="696" customFormat="1" x14ac:dyDescent="0.2">
      <c r="B173" s="512" t="s">
        <v>1579</v>
      </c>
      <c r="C173" s="526"/>
      <c r="D173" s="527">
        <f t="shared" ref="D173:D188" si="12">$C$17*C72</f>
        <v>0</v>
      </c>
      <c r="E173" s="622">
        <f t="shared" si="6"/>
        <v>0</v>
      </c>
      <c r="F173" s="33"/>
      <c r="G173" s="255">
        <f t="shared" si="10"/>
        <v>0</v>
      </c>
      <c r="H173" s="531">
        <f t="shared" si="11"/>
        <v>0</v>
      </c>
    </row>
    <row r="174" spans="2:9" s="696" customFormat="1" x14ac:dyDescent="0.2">
      <c r="B174" s="512" t="s">
        <v>1580</v>
      </c>
      <c r="C174" s="526"/>
      <c r="D174" s="527">
        <f t="shared" si="12"/>
        <v>0</v>
      </c>
      <c r="E174" s="622">
        <f t="shared" si="6"/>
        <v>0</v>
      </c>
      <c r="F174" s="33"/>
      <c r="G174" s="255">
        <f t="shared" si="10"/>
        <v>0</v>
      </c>
      <c r="H174" s="531">
        <f t="shared" si="11"/>
        <v>0</v>
      </c>
    </row>
    <row r="175" spans="2:9" s="696" customFormat="1" x14ac:dyDescent="0.2">
      <c r="B175" s="512" t="s">
        <v>1563</v>
      </c>
      <c r="C175" s="526"/>
      <c r="D175" s="527">
        <f t="shared" si="12"/>
        <v>0</v>
      </c>
      <c r="E175" s="622">
        <f t="shared" si="6"/>
        <v>0</v>
      </c>
      <c r="F175" s="33"/>
      <c r="G175" s="255">
        <f t="shared" si="10"/>
        <v>0</v>
      </c>
      <c r="H175" s="531">
        <f t="shared" si="11"/>
        <v>0</v>
      </c>
    </row>
    <row r="176" spans="2:9" s="696" customFormat="1" x14ac:dyDescent="0.2">
      <c r="B176" s="512" t="s">
        <v>1564</v>
      </c>
      <c r="C176" s="526"/>
      <c r="D176" s="527">
        <f t="shared" si="12"/>
        <v>0</v>
      </c>
      <c r="E176" s="622">
        <f t="shared" si="6"/>
        <v>0</v>
      </c>
      <c r="F176" s="33"/>
      <c r="G176" s="255">
        <f t="shared" si="10"/>
        <v>0</v>
      </c>
      <c r="H176" s="531">
        <f t="shared" si="11"/>
        <v>0</v>
      </c>
    </row>
    <row r="177" spans="2:8" s="696" customFormat="1" x14ac:dyDescent="0.2">
      <c r="B177" s="512" t="s">
        <v>1565</v>
      </c>
      <c r="C177" s="526"/>
      <c r="D177" s="527">
        <f t="shared" si="12"/>
        <v>0</v>
      </c>
      <c r="E177" s="622">
        <f t="shared" si="6"/>
        <v>0</v>
      </c>
      <c r="F177" s="33"/>
      <c r="G177" s="255">
        <f t="shared" si="10"/>
        <v>0</v>
      </c>
      <c r="H177" s="531">
        <f t="shared" si="11"/>
        <v>0</v>
      </c>
    </row>
    <row r="178" spans="2:8" s="696" customFormat="1" x14ac:dyDescent="0.2">
      <c r="B178" s="512" t="s">
        <v>1566</v>
      </c>
      <c r="C178" s="526"/>
      <c r="D178" s="527">
        <f t="shared" si="12"/>
        <v>0</v>
      </c>
      <c r="E178" s="622">
        <f t="shared" si="6"/>
        <v>0</v>
      </c>
      <c r="F178" s="33"/>
      <c r="G178" s="255">
        <f t="shared" si="10"/>
        <v>0</v>
      </c>
      <c r="H178" s="531">
        <f t="shared" si="11"/>
        <v>0</v>
      </c>
    </row>
    <row r="179" spans="2:8" s="696" customFormat="1" x14ac:dyDescent="0.2">
      <c r="B179" s="512" t="s">
        <v>1567</v>
      </c>
      <c r="C179" s="526"/>
      <c r="D179" s="527">
        <f t="shared" si="12"/>
        <v>0</v>
      </c>
      <c r="E179" s="622">
        <f t="shared" si="6"/>
        <v>0</v>
      </c>
      <c r="F179" s="33"/>
      <c r="G179" s="255">
        <f t="shared" si="10"/>
        <v>0</v>
      </c>
      <c r="H179" s="531">
        <f t="shared" si="11"/>
        <v>0</v>
      </c>
    </row>
    <row r="180" spans="2:8" s="696" customFormat="1" x14ac:dyDescent="0.2">
      <c r="B180" s="512" t="s">
        <v>1568</v>
      </c>
      <c r="C180" s="526"/>
      <c r="D180" s="527">
        <f t="shared" si="12"/>
        <v>0</v>
      </c>
      <c r="E180" s="622">
        <f t="shared" si="6"/>
        <v>0</v>
      </c>
      <c r="F180" s="33"/>
      <c r="G180" s="255">
        <f t="shared" si="10"/>
        <v>0</v>
      </c>
      <c r="H180" s="531">
        <f t="shared" si="11"/>
        <v>0</v>
      </c>
    </row>
    <row r="181" spans="2:8" s="696" customFormat="1" x14ac:dyDescent="0.2">
      <c r="B181" s="512" t="s">
        <v>1569</v>
      </c>
      <c r="C181" s="526"/>
      <c r="D181" s="527">
        <f t="shared" si="12"/>
        <v>0</v>
      </c>
      <c r="E181" s="622">
        <f t="shared" si="6"/>
        <v>0</v>
      </c>
      <c r="F181" s="33"/>
      <c r="G181" s="255">
        <f t="shared" si="10"/>
        <v>0</v>
      </c>
      <c r="H181" s="531">
        <f t="shared" si="11"/>
        <v>0</v>
      </c>
    </row>
    <row r="182" spans="2:8" s="696" customFormat="1" x14ac:dyDescent="0.2">
      <c r="B182" s="512" t="s">
        <v>1570</v>
      </c>
      <c r="C182" s="526"/>
      <c r="D182" s="527">
        <f t="shared" si="12"/>
        <v>0</v>
      </c>
      <c r="E182" s="622">
        <f t="shared" si="6"/>
        <v>0</v>
      </c>
      <c r="F182" s="33"/>
      <c r="G182" s="255">
        <f t="shared" si="10"/>
        <v>0</v>
      </c>
      <c r="H182" s="531">
        <f t="shared" si="11"/>
        <v>0</v>
      </c>
    </row>
    <row r="183" spans="2:8" s="696" customFormat="1" x14ac:dyDescent="0.2">
      <c r="B183" s="512" t="s">
        <v>1571</v>
      </c>
      <c r="C183" s="526"/>
      <c r="D183" s="527">
        <f t="shared" si="12"/>
        <v>0</v>
      </c>
      <c r="E183" s="622">
        <f t="shared" si="6"/>
        <v>0</v>
      </c>
      <c r="F183" s="33"/>
      <c r="G183" s="255">
        <f t="shared" si="10"/>
        <v>0</v>
      </c>
      <c r="H183" s="531">
        <f t="shared" si="11"/>
        <v>0</v>
      </c>
    </row>
    <row r="184" spans="2:8" s="696" customFormat="1" x14ac:dyDescent="0.2">
      <c r="B184" s="512" t="s">
        <v>1572</v>
      </c>
      <c r="C184" s="526"/>
      <c r="D184" s="527">
        <f t="shared" si="12"/>
        <v>0</v>
      </c>
      <c r="E184" s="622">
        <f t="shared" si="6"/>
        <v>0</v>
      </c>
      <c r="F184" s="33"/>
      <c r="G184" s="255">
        <f t="shared" si="10"/>
        <v>0</v>
      </c>
      <c r="H184" s="531">
        <f t="shared" si="11"/>
        <v>0</v>
      </c>
    </row>
    <row r="185" spans="2:8" s="696" customFormat="1" x14ac:dyDescent="0.2">
      <c r="B185" s="512" t="s">
        <v>1573</v>
      </c>
      <c r="C185" s="526"/>
      <c r="D185" s="527">
        <f t="shared" si="12"/>
        <v>0</v>
      </c>
      <c r="E185" s="622">
        <f t="shared" si="6"/>
        <v>0</v>
      </c>
      <c r="F185" s="33"/>
      <c r="G185" s="255">
        <f t="shared" si="10"/>
        <v>0</v>
      </c>
      <c r="H185" s="531">
        <f t="shared" si="11"/>
        <v>0</v>
      </c>
    </row>
    <row r="186" spans="2:8" s="696" customFormat="1" x14ac:dyDescent="0.2">
      <c r="B186" s="512" t="s">
        <v>1574</v>
      </c>
      <c r="C186" s="526"/>
      <c r="D186" s="527">
        <f t="shared" si="12"/>
        <v>0</v>
      </c>
      <c r="E186" s="622">
        <f t="shared" si="6"/>
        <v>0</v>
      </c>
      <c r="F186" s="33"/>
      <c r="G186" s="255">
        <f t="shared" si="10"/>
        <v>0</v>
      </c>
      <c r="H186" s="531">
        <f t="shared" si="11"/>
        <v>0</v>
      </c>
    </row>
    <row r="187" spans="2:8" s="696" customFormat="1" x14ac:dyDescent="0.2">
      <c r="B187" s="512" t="s">
        <v>1575</v>
      </c>
      <c r="C187" s="526"/>
      <c r="D187" s="527">
        <f t="shared" si="12"/>
        <v>0</v>
      </c>
      <c r="E187" s="622">
        <f t="shared" si="6"/>
        <v>0</v>
      </c>
      <c r="F187" s="33"/>
      <c r="G187" s="255">
        <f t="shared" si="10"/>
        <v>0</v>
      </c>
      <c r="H187" s="531">
        <f t="shared" si="11"/>
        <v>0</v>
      </c>
    </row>
    <row r="188" spans="2:8" s="696" customFormat="1" x14ac:dyDescent="0.2">
      <c r="B188" s="512" t="s">
        <v>1576</v>
      </c>
      <c r="C188" s="526"/>
      <c r="D188" s="527">
        <f t="shared" si="12"/>
        <v>0</v>
      </c>
      <c r="E188" s="622">
        <f t="shared" si="6"/>
        <v>0</v>
      </c>
      <c r="F188" s="33"/>
      <c r="G188" s="255">
        <f t="shared" si="10"/>
        <v>0</v>
      </c>
      <c r="H188" s="531">
        <f t="shared" si="11"/>
        <v>0</v>
      </c>
    </row>
    <row r="189" spans="2:8" x14ac:dyDescent="0.2">
      <c r="C189" s="528">
        <f t="shared" ref="C189:H189" si="13">SUM(C145:C188)</f>
        <v>0</v>
      </c>
      <c r="D189" s="529">
        <f t="shared" si="13"/>
        <v>0</v>
      </c>
      <c r="E189" s="523">
        <f t="shared" si="13"/>
        <v>0</v>
      </c>
      <c r="F189" s="991"/>
      <c r="G189" s="528">
        <f t="shared" si="13"/>
        <v>0</v>
      </c>
      <c r="H189" s="529">
        <f t="shared" si="13"/>
        <v>0</v>
      </c>
    </row>
  </sheetData>
  <sheetProtection algorithmName="SHA-512" hashValue="av9vTA/0WoBdupgmSR4K8UNW5DYI30ueopF4LqWGRYKF+VfPUxjW/IO7ry48V0tfndaJ8EpPyzgAP7usZd0RgA==" saltValue="rbY55MGlodeTXgIAyDNfFA==" spinCount="100000" sheet="1" objects="1" scenarios="1"/>
  <mergeCells count="9">
    <mergeCell ref="J17:M17"/>
    <mergeCell ref="O17:R17"/>
    <mergeCell ref="T17:V17"/>
    <mergeCell ref="G142:H142"/>
    <mergeCell ref="A2:C2"/>
    <mergeCell ref="A5:C5"/>
    <mergeCell ref="B63:I63"/>
    <mergeCell ref="B65:E65"/>
    <mergeCell ref="B140:H141"/>
  </mergeCells>
  <conditionalFormatting sqref="B36:E43 C51:E53 B54:E55 B57:E58 B56:C56">
    <cfRule type="expression" dxfId="29" priority="13">
      <formula>#REF!=2</formula>
    </cfRule>
  </conditionalFormatting>
  <conditionalFormatting sqref="B44">
    <cfRule type="expression" dxfId="28" priority="12">
      <formula>#REF!=2</formula>
    </cfRule>
  </conditionalFormatting>
  <conditionalFormatting sqref="E48:E50">
    <cfRule type="expression" dxfId="27" priority="11">
      <formula>#REF!=2</formula>
    </cfRule>
  </conditionalFormatting>
  <conditionalFormatting sqref="C44:E44">
    <cfRule type="expression" dxfId="26" priority="10">
      <formula>#REF!=2</formula>
    </cfRule>
  </conditionalFormatting>
  <conditionalFormatting sqref="B45">
    <cfRule type="expression" dxfId="25" priority="9">
      <formula>#REF!=2</formula>
    </cfRule>
  </conditionalFormatting>
  <conditionalFormatting sqref="C45:C50">
    <cfRule type="expression" dxfId="24" priority="8">
      <formula>#REF!=2</formula>
    </cfRule>
  </conditionalFormatting>
  <conditionalFormatting sqref="D45:D50">
    <cfRule type="expression" dxfId="23" priority="7">
      <formula>#REF!=2</formula>
    </cfRule>
  </conditionalFormatting>
  <conditionalFormatting sqref="E45:E47">
    <cfRule type="expression" dxfId="22" priority="6">
      <formula>#REF!=2</formula>
    </cfRule>
  </conditionalFormatting>
  <conditionalFormatting sqref="B46:B51">
    <cfRule type="expression" dxfId="21" priority="5">
      <formula>#REF!=2</formula>
    </cfRule>
  </conditionalFormatting>
  <conditionalFormatting sqref="B52">
    <cfRule type="expression" dxfId="20" priority="4">
      <formula>#REF!=2</formula>
    </cfRule>
  </conditionalFormatting>
  <conditionalFormatting sqref="B53">
    <cfRule type="expression" dxfId="19" priority="3">
      <formula>#REF!=2</formula>
    </cfRule>
  </conditionalFormatting>
  <conditionalFormatting sqref="D56:E56">
    <cfRule type="expression" dxfId="18" priority="2">
      <formula>#REF!=2</formula>
    </cfRule>
  </conditionalFormatting>
  <conditionalFormatting sqref="F58">
    <cfRule type="expression" dxfId="17" priority="1">
      <formula>#REF!=2</formula>
    </cfRule>
  </conditionalFormatting>
  <printOptions gridLines="1"/>
  <pageMargins left="0.7" right="0.7" top="0.75" bottom="0.75" header="0.3" footer="0.3"/>
  <pageSetup paperSize="5" fitToHeight="2"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F00-000000000000}">
          <x14:formula1>
            <xm:f>'Ka. 2018 RHBF Summary'!$B$315:$B$620</xm:f>
          </x14:formula1>
          <xm:sqref>C14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AL621"/>
  <sheetViews>
    <sheetView workbookViewId="0">
      <selection sqref="A1:B2"/>
    </sheetView>
  </sheetViews>
  <sheetFormatPr defaultColWidth="9.140625" defaultRowHeight="15.75" x14ac:dyDescent="0.25"/>
  <cols>
    <col min="1" max="1" width="14.28515625" style="668" customWidth="1"/>
    <col min="2" max="2" width="60.140625" style="666" customWidth="1"/>
    <col min="3" max="5" width="21.85546875" style="678" customWidth="1"/>
    <col min="6" max="6" width="17.5703125" style="666" customWidth="1"/>
    <col min="7" max="7" width="17.28515625" style="636" customWidth="1"/>
    <col min="8" max="8" width="15" style="666" customWidth="1"/>
    <col min="9" max="9" width="14.7109375" style="636" customWidth="1"/>
    <col min="10" max="10" width="10" style="636" customWidth="1"/>
    <col min="11" max="11" width="17.5703125" style="636" customWidth="1"/>
    <col min="12" max="12" width="17" style="636" customWidth="1"/>
    <col min="13" max="13" width="2.85546875" style="636" customWidth="1"/>
    <col min="14" max="16" width="17" style="636" customWidth="1"/>
    <col min="17" max="17" width="19.140625" style="636" customWidth="1"/>
    <col min="18" max="18" width="17" style="636" customWidth="1"/>
    <col min="19" max="19" width="3.140625" style="636" customWidth="1"/>
    <col min="20" max="20" width="20" style="636" customWidth="1"/>
    <col min="21" max="21" width="22.85546875" style="636" customWidth="1"/>
    <col min="22" max="22" width="15.28515625" style="636" customWidth="1"/>
    <col min="23" max="30" width="16.42578125" style="636" customWidth="1"/>
    <col min="31" max="31" width="12.42578125" style="636" customWidth="1"/>
    <col min="32" max="32" width="12.7109375" style="636" bestFit="1" customWidth="1"/>
    <col min="33" max="16384" width="9.140625" style="636"/>
  </cols>
  <sheetData>
    <row r="1" spans="1:38" ht="18" customHeight="1" x14ac:dyDescent="0.25">
      <c r="A1" s="1254" t="s">
        <v>1205</v>
      </c>
      <c r="B1" s="1254"/>
      <c r="C1" s="671"/>
      <c r="D1" s="671"/>
      <c r="E1" s="671"/>
      <c r="F1" s="635"/>
      <c r="G1" s="635"/>
      <c r="H1" s="636"/>
      <c r="K1" s="637"/>
      <c r="U1" s="635"/>
      <c r="V1" s="635"/>
    </row>
    <row r="2" spans="1:38" ht="22.5" customHeight="1" x14ac:dyDescent="0.3">
      <c r="A2" s="1254"/>
      <c r="B2" s="1254"/>
      <c r="C2" s="671"/>
      <c r="D2" s="671"/>
      <c r="E2" s="671"/>
      <c r="F2" s="638"/>
      <c r="G2" s="638"/>
      <c r="H2" s="636"/>
      <c r="I2" s="638"/>
      <c r="J2" s="638"/>
      <c r="K2" s="638"/>
      <c r="L2" s="638"/>
      <c r="M2" s="638"/>
      <c r="N2" s="638"/>
      <c r="O2" s="638"/>
      <c r="P2" s="638"/>
      <c r="Q2" s="638"/>
      <c r="R2" s="638"/>
      <c r="S2" s="638"/>
      <c r="T2" s="638"/>
      <c r="U2" s="638"/>
      <c r="V2" s="638"/>
      <c r="W2" s="638"/>
      <c r="X2" s="638"/>
      <c r="Y2" s="638"/>
      <c r="Z2" s="638"/>
      <c r="AA2" s="638"/>
      <c r="AB2" s="638"/>
      <c r="AC2" s="638"/>
      <c r="AD2" s="638"/>
    </row>
    <row r="3" spans="1:38" ht="21.75" customHeight="1" x14ac:dyDescent="0.25">
      <c r="A3" s="639"/>
      <c r="B3" s="640"/>
      <c r="C3" s="672"/>
      <c r="D3" s="672"/>
      <c r="E3" s="672"/>
      <c r="F3" s="640"/>
      <c r="G3" s="641"/>
      <c r="H3" s="636"/>
      <c r="I3" s="1255" t="s">
        <v>1089</v>
      </c>
      <c r="J3" s="1255"/>
      <c r="K3" s="1255"/>
      <c r="L3" s="1255"/>
      <c r="M3" s="642"/>
      <c r="N3" s="1255" t="s">
        <v>745</v>
      </c>
      <c r="O3" s="1255"/>
      <c r="P3" s="1255"/>
      <c r="Q3" s="1255"/>
      <c r="R3" s="1255"/>
      <c r="S3" s="642"/>
      <c r="T3" s="1255" t="s">
        <v>1206</v>
      </c>
      <c r="U3" s="1255"/>
      <c r="V3" s="1255"/>
      <c r="W3" s="643"/>
      <c r="X3" s="644"/>
      <c r="Y3" s="643"/>
      <c r="Z3" s="643"/>
      <c r="AA3" s="643"/>
      <c r="AB3" s="643"/>
      <c r="AC3" s="643"/>
      <c r="AD3" s="643"/>
    </row>
    <row r="4" spans="1:38" ht="165" customHeight="1" x14ac:dyDescent="0.25">
      <c r="A4" s="645" t="s">
        <v>1207</v>
      </c>
      <c r="B4" s="646" t="s">
        <v>1208</v>
      </c>
      <c r="C4" s="673" t="s">
        <v>1523</v>
      </c>
      <c r="D4" s="673" t="s">
        <v>1524</v>
      </c>
      <c r="E4" s="673" t="s">
        <v>1526</v>
      </c>
      <c r="F4" s="647" t="s">
        <v>1209</v>
      </c>
      <c r="G4" s="648" t="s">
        <v>1210</v>
      </c>
      <c r="H4" s="647" t="s">
        <v>1211</v>
      </c>
      <c r="I4" s="647" t="s">
        <v>1212</v>
      </c>
      <c r="J4" s="647" t="s">
        <v>1213</v>
      </c>
      <c r="K4" s="647" t="s">
        <v>1214</v>
      </c>
      <c r="L4" s="647" t="s">
        <v>1215</v>
      </c>
      <c r="M4" s="647"/>
      <c r="N4" s="647" t="s">
        <v>1211</v>
      </c>
      <c r="O4" s="647" t="s">
        <v>1212</v>
      </c>
      <c r="P4" s="647" t="s">
        <v>1213</v>
      </c>
      <c r="Q4" s="647" t="s">
        <v>1214</v>
      </c>
      <c r="R4" s="647" t="s">
        <v>1216</v>
      </c>
      <c r="S4" s="647"/>
      <c r="T4" s="647" t="s">
        <v>1217</v>
      </c>
      <c r="U4" s="647" t="s">
        <v>1218</v>
      </c>
      <c r="V4" s="647" t="s">
        <v>1219</v>
      </c>
      <c r="W4" s="647"/>
      <c r="X4" s="647"/>
      <c r="Y4" s="647"/>
      <c r="Z4" s="647"/>
      <c r="AA4" s="647"/>
      <c r="AB4" s="647"/>
      <c r="AC4" s="647"/>
      <c r="AD4" s="647"/>
    </row>
    <row r="5" spans="1:38" ht="12.75" customHeight="1" x14ac:dyDescent="0.25">
      <c r="A5" s="649"/>
      <c r="B5" s="649"/>
      <c r="C5" s="674"/>
      <c r="D5" s="674"/>
      <c r="E5" s="674"/>
      <c r="F5" s="649"/>
      <c r="G5" s="649"/>
      <c r="H5" s="649"/>
      <c r="I5" s="649"/>
      <c r="J5" s="649"/>
      <c r="K5" s="649"/>
      <c r="L5" s="649"/>
      <c r="M5" s="649"/>
      <c r="N5" s="649"/>
      <c r="O5" s="649"/>
      <c r="P5" s="649"/>
      <c r="Q5" s="649"/>
      <c r="R5" s="649"/>
      <c r="S5" s="649"/>
      <c r="T5" s="645"/>
      <c r="U5" s="649"/>
      <c r="V5" s="649"/>
      <c r="W5" s="649"/>
      <c r="X5" s="649"/>
      <c r="Y5" s="649"/>
      <c r="Z5" s="649"/>
      <c r="AA5" s="649"/>
      <c r="AB5" s="649"/>
      <c r="AC5" s="649"/>
      <c r="AD5" s="649"/>
    </row>
    <row r="6" spans="1:38" ht="12.75" customHeight="1" x14ac:dyDescent="0.25">
      <c r="A6" s="650" t="s">
        <v>533</v>
      </c>
      <c r="B6" s="651" t="s">
        <v>1220</v>
      </c>
      <c r="C6" s="675">
        <v>0</v>
      </c>
      <c r="D6" s="675">
        <v>0</v>
      </c>
      <c r="E6" s="680">
        <v>0</v>
      </c>
      <c r="F6" s="652">
        <v>0</v>
      </c>
      <c r="G6" s="652">
        <v>0</v>
      </c>
      <c r="H6" s="652">
        <v>0</v>
      </c>
      <c r="I6" s="652">
        <v>0</v>
      </c>
      <c r="J6" s="652">
        <v>0</v>
      </c>
      <c r="K6" s="652">
        <v>0</v>
      </c>
      <c r="L6" s="652">
        <v>0</v>
      </c>
      <c r="M6" s="649"/>
      <c r="N6" s="652">
        <v>0</v>
      </c>
      <c r="O6" s="652">
        <v>0</v>
      </c>
      <c r="P6" s="652">
        <v>0</v>
      </c>
      <c r="Q6" s="652">
        <v>0</v>
      </c>
      <c r="R6" s="652">
        <v>0</v>
      </c>
      <c r="S6" s="652"/>
      <c r="T6" s="652">
        <v>0</v>
      </c>
      <c r="U6" s="652">
        <v>0</v>
      </c>
      <c r="V6" s="652">
        <v>0</v>
      </c>
      <c r="W6" s="649"/>
      <c r="X6" s="649"/>
      <c r="Y6" s="649"/>
      <c r="Z6" s="649"/>
      <c r="AA6" s="649"/>
      <c r="AB6" s="649"/>
      <c r="AC6" s="649"/>
      <c r="AD6" s="649"/>
    </row>
    <row r="7" spans="1:38" x14ac:dyDescent="0.25">
      <c r="A7" s="653">
        <v>10200</v>
      </c>
      <c r="B7" s="651" t="s">
        <v>1221</v>
      </c>
      <c r="C7" s="675">
        <v>9.3000000000000005E-4</v>
      </c>
      <c r="D7" s="675">
        <v>9.6699999999999998E-4</v>
      </c>
      <c r="E7" s="680">
        <v>841156</v>
      </c>
      <c r="F7" s="651">
        <v>40447705</v>
      </c>
      <c r="G7" s="652">
        <v>31701074</v>
      </c>
      <c r="H7" s="652">
        <v>0</v>
      </c>
      <c r="I7" s="652">
        <v>0</v>
      </c>
      <c r="J7" s="652">
        <v>0</v>
      </c>
      <c r="K7" s="652">
        <v>1281645</v>
      </c>
      <c r="L7" s="652">
        <f>SUM(H7:K7)</f>
        <v>1281645</v>
      </c>
      <c r="M7" s="652"/>
      <c r="N7" s="652">
        <v>2273025</v>
      </c>
      <c r="O7" s="652">
        <v>11781</v>
      </c>
      <c r="P7" s="652">
        <v>8730331</v>
      </c>
      <c r="Q7" s="652">
        <v>0</v>
      </c>
      <c r="R7" s="652">
        <f>SUM(N7:Q7)</f>
        <v>11015137</v>
      </c>
      <c r="S7" s="652"/>
      <c r="T7" s="652">
        <f>V7-U7</f>
        <v>1571688</v>
      </c>
      <c r="U7" s="652">
        <v>256330</v>
      </c>
      <c r="V7" s="652">
        <v>1828018</v>
      </c>
      <c r="W7" s="654"/>
      <c r="X7" s="654"/>
      <c r="Y7" s="654"/>
      <c r="Z7" s="654"/>
      <c r="AA7" s="654"/>
      <c r="AB7" s="654"/>
      <c r="AC7" s="654"/>
      <c r="AD7" s="654"/>
      <c r="AE7" s="655"/>
      <c r="AF7" s="655"/>
      <c r="AG7" s="655"/>
      <c r="AH7" s="655"/>
      <c r="AI7" s="655"/>
      <c r="AJ7" s="655"/>
      <c r="AK7" s="655"/>
      <c r="AL7" s="655"/>
    </row>
    <row r="8" spans="1:38" x14ac:dyDescent="0.25">
      <c r="A8" s="653">
        <v>10400</v>
      </c>
      <c r="B8" s="651" t="s">
        <v>1222</v>
      </c>
      <c r="C8" s="675">
        <v>2.712E-3</v>
      </c>
      <c r="D8" s="675">
        <v>2.8389999999999999E-3</v>
      </c>
      <c r="E8" s="680">
        <v>2883645</v>
      </c>
      <c r="F8" s="651">
        <v>117982350</v>
      </c>
      <c r="G8" s="652">
        <v>93084903</v>
      </c>
      <c r="H8" s="652">
        <v>0</v>
      </c>
      <c r="I8" s="652">
        <v>0</v>
      </c>
      <c r="J8" s="652">
        <v>0</v>
      </c>
      <c r="K8" s="652">
        <v>4762755</v>
      </c>
      <c r="L8" s="652">
        <f t="shared" ref="L8:L71" si="0">SUM(H8:K8)</f>
        <v>4762755</v>
      </c>
      <c r="M8" s="652"/>
      <c r="N8" s="652">
        <v>6674359</v>
      </c>
      <c r="O8" s="652">
        <v>34594</v>
      </c>
      <c r="P8" s="652">
        <v>25635157</v>
      </c>
      <c r="Q8" s="652">
        <v>0</v>
      </c>
      <c r="R8" s="652">
        <f t="shared" ref="R8:R71" si="1">SUM(N8:Q8)</f>
        <v>32344110</v>
      </c>
      <c r="S8" s="652"/>
      <c r="T8" s="652">
        <f t="shared" ref="T8:T71" si="2">V8-U8</f>
        <v>4615000</v>
      </c>
      <c r="U8" s="652">
        <v>952554</v>
      </c>
      <c r="V8" s="652">
        <v>5567554</v>
      </c>
      <c r="W8" s="654"/>
      <c r="X8" s="654"/>
      <c r="Y8" s="654"/>
      <c r="Z8" s="654"/>
      <c r="AA8" s="654"/>
      <c r="AB8" s="654"/>
      <c r="AC8" s="654"/>
      <c r="AD8" s="654"/>
      <c r="AE8" s="655"/>
      <c r="AF8" s="655"/>
      <c r="AG8" s="655"/>
      <c r="AH8" s="655"/>
      <c r="AI8" s="655"/>
      <c r="AJ8" s="655"/>
      <c r="AK8" s="655"/>
      <c r="AL8" s="655"/>
    </row>
    <row r="9" spans="1:38" x14ac:dyDescent="0.25">
      <c r="A9" s="653">
        <v>10500</v>
      </c>
      <c r="B9" s="651" t="s">
        <v>1223</v>
      </c>
      <c r="C9" s="675">
        <v>6.1200000000000002E-4</v>
      </c>
      <c r="D9" s="675">
        <v>6.9399999999999996E-4</v>
      </c>
      <c r="E9" s="680">
        <v>618745</v>
      </c>
      <c r="F9" s="651">
        <v>26620073</v>
      </c>
      <c r="G9" s="652">
        <v>22756790</v>
      </c>
      <c r="H9" s="652">
        <v>0</v>
      </c>
      <c r="I9" s="652">
        <v>0</v>
      </c>
      <c r="J9" s="652">
        <v>0</v>
      </c>
      <c r="K9" s="652">
        <v>2945415</v>
      </c>
      <c r="L9" s="652">
        <f t="shared" si="0"/>
        <v>2945415</v>
      </c>
      <c r="M9" s="652"/>
      <c r="N9" s="652">
        <v>1631704</v>
      </c>
      <c r="O9" s="652">
        <v>8457</v>
      </c>
      <c r="P9" s="652">
        <v>6267116</v>
      </c>
      <c r="Q9" s="652">
        <v>0</v>
      </c>
      <c r="R9" s="652">
        <f t="shared" si="1"/>
        <v>7907277</v>
      </c>
      <c r="S9" s="652"/>
      <c r="T9" s="652">
        <f t="shared" si="2"/>
        <v>1128245</v>
      </c>
      <c r="U9" s="652">
        <v>589079</v>
      </c>
      <c r="V9" s="652">
        <v>1717324</v>
      </c>
      <c r="W9" s="654"/>
      <c r="X9" s="654"/>
      <c r="Y9" s="654"/>
      <c r="Z9" s="654"/>
      <c r="AA9" s="654"/>
      <c r="AB9" s="654"/>
      <c r="AC9" s="654"/>
      <c r="AD9" s="654"/>
      <c r="AE9" s="655"/>
      <c r="AF9" s="655"/>
      <c r="AG9" s="655"/>
      <c r="AH9" s="655"/>
      <c r="AI9" s="655"/>
      <c r="AJ9" s="655"/>
      <c r="AK9" s="655"/>
      <c r="AL9" s="655"/>
    </row>
    <row r="10" spans="1:38" x14ac:dyDescent="0.25">
      <c r="A10" s="653">
        <v>10700</v>
      </c>
      <c r="B10" s="651" t="s">
        <v>1224</v>
      </c>
      <c r="C10" s="675">
        <v>3.722E-3</v>
      </c>
      <c r="D10" s="675">
        <v>4.045E-3</v>
      </c>
      <c r="E10" s="680">
        <v>4278473</v>
      </c>
      <c r="F10" s="651">
        <v>161898199</v>
      </c>
      <c r="G10" s="652">
        <v>132608146</v>
      </c>
      <c r="H10" s="652">
        <v>0</v>
      </c>
      <c r="I10" s="652">
        <v>0</v>
      </c>
      <c r="J10" s="652">
        <v>0</v>
      </c>
      <c r="K10" s="652">
        <v>12075945</v>
      </c>
      <c r="L10" s="652">
        <f t="shared" si="0"/>
        <v>12075945</v>
      </c>
      <c r="M10" s="652"/>
      <c r="N10" s="652">
        <v>9508248</v>
      </c>
      <c r="O10" s="652">
        <v>49283</v>
      </c>
      <c r="P10" s="652">
        <v>36519678</v>
      </c>
      <c r="Q10" s="652">
        <v>0</v>
      </c>
      <c r="R10" s="652">
        <f t="shared" si="1"/>
        <v>46077209</v>
      </c>
      <c r="S10" s="652"/>
      <c r="T10" s="652">
        <f t="shared" si="2"/>
        <v>6574499</v>
      </c>
      <c r="U10" s="652">
        <v>2415185</v>
      </c>
      <c r="V10" s="652">
        <v>8989684</v>
      </c>
      <c r="W10" s="654"/>
      <c r="X10" s="654"/>
      <c r="Y10" s="654"/>
      <c r="Z10" s="654"/>
      <c r="AA10" s="654"/>
      <c r="AB10" s="654"/>
      <c r="AC10" s="654"/>
      <c r="AD10" s="654"/>
      <c r="AE10" s="655"/>
      <c r="AF10" s="655"/>
      <c r="AG10" s="655"/>
      <c r="AH10" s="655"/>
      <c r="AI10" s="655"/>
      <c r="AJ10" s="655"/>
      <c r="AK10" s="655"/>
      <c r="AL10" s="655"/>
    </row>
    <row r="11" spans="1:38" x14ac:dyDescent="0.25">
      <c r="A11" s="653">
        <v>10800</v>
      </c>
      <c r="B11" s="651" t="s">
        <v>1225</v>
      </c>
      <c r="C11" s="675">
        <v>1.6268000000000001E-2</v>
      </c>
      <c r="D11" s="675">
        <v>1.7635999999999999E-2</v>
      </c>
      <c r="E11" s="680">
        <v>17925903</v>
      </c>
      <c r="F11" s="651">
        <v>707709228</v>
      </c>
      <c r="G11" s="652">
        <v>578237397</v>
      </c>
      <c r="H11" s="652">
        <v>0</v>
      </c>
      <c r="I11" s="652">
        <v>0</v>
      </c>
      <c r="J11" s="652">
        <v>0</v>
      </c>
      <c r="K11" s="652">
        <v>50587925</v>
      </c>
      <c r="L11" s="652">
        <f t="shared" si="0"/>
        <v>50587925</v>
      </c>
      <c r="M11" s="652"/>
      <c r="N11" s="652">
        <v>41460685</v>
      </c>
      <c r="O11" s="652">
        <v>214898</v>
      </c>
      <c r="P11" s="652">
        <v>159243939</v>
      </c>
      <c r="Q11" s="652">
        <v>0</v>
      </c>
      <c r="R11" s="652">
        <f t="shared" si="1"/>
        <v>200919522</v>
      </c>
      <c r="S11" s="652"/>
      <c r="T11" s="652">
        <f t="shared" si="2"/>
        <v>28668082</v>
      </c>
      <c r="U11" s="652">
        <v>10117587</v>
      </c>
      <c r="V11" s="652">
        <v>38785669</v>
      </c>
      <c r="W11" s="654"/>
      <c r="X11" s="654"/>
      <c r="Y11" s="654"/>
      <c r="Z11" s="654"/>
      <c r="AA11" s="654"/>
      <c r="AB11" s="654"/>
      <c r="AC11" s="654"/>
      <c r="AD11" s="654"/>
      <c r="AE11" s="655"/>
      <c r="AF11" s="655"/>
      <c r="AG11" s="655"/>
      <c r="AH11" s="655"/>
      <c r="AI11" s="655"/>
      <c r="AJ11" s="655"/>
      <c r="AK11" s="655"/>
      <c r="AL11" s="655"/>
    </row>
    <row r="12" spans="1:38" x14ac:dyDescent="0.25">
      <c r="A12" s="653">
        <v>10850</v>
      </c>
      <c r="B12" s="651" t="s">
        <v>1226</v>
      </c>
      <c r="C12" s="675">
        <v>1.16E-4</v>
      </c>
      <c r="D12" s="675">
        <v>1.2400000000000001E-4</v>
      </c>
      <c r="E12" s="680">
        <v>181486</v>
      </c>
      <c r="F12" s="651">
        <v>5039288</v>
      </c>
      <c r="G12" s="652">
        <v>4077013</v>
      </c>
      <c r="H12" s="652">
        <v>0</v>
      </c>
      <c r="I12" s="652">
        <v>0</v>
      </c>
      <c r="J12" s="652">
        <v>0</v>
      </c>
      <c r="K12" s="652">
        <v>361430</v>
      </c>
      <c r="L12" s="652">
        <f t="shared" si="0"/>
        <v>361430</v>
      </c>
      <c r="M12" s="652"/>
      <c r="N12" s="652">
        <v>292329</v>
      </c>
      <c r="O12" s="652">
        <v>1515</v>
      </c>
      <c r="P12" s="652">
        <v>1122791</v>
      </c>
      <c r="Q12" s="652">
        <v>0</v>
      </c>
      <c r="R12" s="652">
        <f t="shared" si="1"/>
        <v>1416635</v>
      </c>
      <c r="S12" s="652"/>
      <c r="T12" s="652">
        <f t="shared" si="2"/>
        <v>202132</v>
      </c>
      <c r="U12" s="652">
        <v>72285</v>
      </c>
      <c r="V12" s="652">
        <v>274417</v>
      </c>
      <c r="W12" s="654"/>
      <c r="X12" s="654"/>
      <c r="Y12" s="654"/>
      <c r="Z12" s="654"/>
      <c r="AA12" s="654"/>
      <c r="AB12" s="654"/>
      <c r="AC12" s="654"/>
      <c r="AD12" s="654"/>
      <c r="AE12" s="655"/>
      <c r="AF12" s="655"/>
      <c r="AG12" s="655"/>
      <c r="AH12" s="655"/>
      <c r="AI12" s="655"/>
      <c r="AJ12" s="655"/>
      <c r="AK12" s="655"/>
      <c r="AL12" s="655"/>
    </row>
    <row r="13" spans="1:38" x14ac:dyDescent="0.25">
      <c r="A13" s="653">
        <v>10900</v>
      </c>
      <c r="B13" s="651" t="s">
        <v>1227</v>
      </c>
      <c r="C13" s="675">
        <v>1.5659999999999999E-3</v>
      </c>
      <c r="D13" s="675">
        <v>1.544E-3</v>
      </c>
      <c r="E13" s="680">
        <v>1870960</v>
      </c>
      <c r="F13" s="651">
        <v>68140964</v>
      </c>
      <c r="G13" s="652">
        <v>50617538</v>
      </c>
      <c r="H13" s="652">
        <v>0</v>
      </c>
      <c r="I13" s="652">
        <v>0</v>
      </c>
      <c r="J13" s="652">
        <v>0</v>
      </c>
      <c r="K13" s="652">
        <v>0</v>
      </c>
      <c r="L13" s="652">
        <f t="shared" si="0"/>
        <v>0</v>
      </c>
      <c r="M13" s="652"/>
      <c r="N13" s="652">
        <v>3629371</v>
      </c>
      <c r="O13" s="652">
        <v>18812</v>
      </c>
      <c r="P13" s="652">
        <v>13939839</v>
      </c>
      <c r="Q13" s="652">
        <v>478320</v>
      </c>
      <c r="R13" s="652">
        <f t="shared" si="1"/>
        <v>18066342</v>
      </c>
      <c r="S13" s="652"/>
      <c r="T13" s="652">
        <f t="shared" si="2"/>
        <v>2509536</v>
      </c>
      <c r="U13" s="652">
        <v>-95661</v>
      </c>
      <c r="V13" s="652">
        <v>2413875</v>
      </c>
      <c r="W13" s="654"/>
      <c r="X13" s="654"/>
      <c r="Y13" s="654"/>
      <c r="Z13" s="654"/>
      <c r="AA13" s="654"/>
      <c r="AB13" s="654"/>
      <c r="AC13" s="654"/>
      <c r="AD13" s="654"/>
      <c r="AE13" s="655"/>
      <c r="AF13" s="655"/>
      <c r="AG13" s="655"/>
      <c r="AH13" s="655"/>
      <c r="AI13" s="655"/>
      <c r="AJ13" s="655"/>
      <c r="AK13" s="655"/>
      <c r="AL13" s="655"/>
    </row>
    <row r="14" spans="1:38" x14ac:dyDescent="0.25">
      <c r="A14" s="653">
        <v>10910</v>
      </c>
      <c r="B14" s="651" t="s">
        <v>1228</v>
      </c>
      <c r="C14" s="675">
        <v>2.3599999999999999E-4</v>
      </c>
      <c r="D14" s="675">
        <v>2.5399999999999999E-4</v>
      </c>
      <c r="E14" s="680">
        <v>240601</v>
      </c>
      <c r="F14" s="651">
        <v>10261033</v>
      </c>
      <c r="G14" s="652">
        <v>8324716</v>
      </c>
      <c r="H14" s="652">
        <v>0</v>
      </c>
      <c r="I14" s="652">
        <v>0</v>
      </c>
      <c r="J14" s="652">
        <v>0</v>
      </c>
      <c r="K14" s="652">
        <v>653445</v>
      </c>
      <c r="L14" s="652">
        <f t="shared" si="0"/>
        <v>653445</v>
      </c>
      <c r="M14" s="652"/>
      <c r="N14" s="652">
        <v>596897</v>
      </c>
      <c r="O14" s="652">
        <v>3094</v>
      </c>
      <c r="P14" s="652">
        <v>2292589</v>
      </c>
      <c r="Q14" s="652">
        <v>0</v>
      </c>
      <c r="R14" s="652">
        <f t="shared" si="1"/>
        <v>2892580</v>
      </c>
      <c r="S14" s="652"/>
      <c r="T14" s="652">
        <f t="shared" si="2"/>
        <v>412726</v>
      </c>
      <c r="U14" s="652">
        <v>130693</v>
      </c>
      <c r="V14" s="652">
        <v>543419</v>
      </c>
      <c r="W14" s="654"/>
      <c r="X14" s="654"/>
      <c r="Y14" s="654"/>
      <c r="Z14" s="654"/>
      <c r="AA14" s="654"/>
      <c r="AB14" s="654"/>
      <c r="AC14" s="654"/>
      <c r="AD14" s="654"/>
      <c r="AE14" s="655"/>
      <c r="AF14" s="655"/>
      <c r="AG14" s="655"/>
      <c r="AH14" s="655"/>
      <c r="AI14" s="655"/>
      <c r="AJ14" s="655"/>
      <c r="AK14" s="655"/>
      <c r="AL14" s="655"/>
    </row>
    <row r="15" spans="1:38" x14ac:dyDescent="0.25">
      <c r="A15" s="653">
        <v>10930</v>
      </c>
      <c r="B15" s="651" t="s">
        <v>1229</v>
      </c>
      <c r="C15" s="675">
        <v>2.0860000000000002E-3</v>
      </c>
      <c r="D15" s="675">
        <v>2.3960000000000001E-3</v>
      </c>
      <c r="E15" s="680">
        <v>2682244</v>
      </c>
      <c r="F15" s="651">
        <v>90747009</v>
      </c>
      <c r="G15" s="652">
        <v>78559570</v>
      </c>
      <c r="H15" s="652">
        <v>0</v>
      </c>
      <c r="I15" s="652">
        <v>0</v>
      </c>
      <c r="J15" s="652">
        <v>0</v>
      </c>
      <c r="K15" s="652">
        <v>11580795</v>
      </c>
      <c r="L15" s="652">
        <f t="shared" si="0"/>
        <v>11580795</v>
      </c>
      <c r="M15" s="652"/>
      <c r="N15" s="652">
        <v>5632866</v>
      </c>
      <c r="O15" s="652">
        <v>29196</v>
      </c>
      <c r="P15" s="652">
        <v>21634947</v>
      </c>
      <c r="Q15" s="652">
        <v>0</v>
      </c>
      <c r="R15" s="652">
        <f t="shared" si="1"/>
        <v>27297009</v>
      </c>
      <c r="S15" s="652"/>
      <c r="T15" s="652">
        <f t="shared" si="2"/>
        <v>3894857</v>
      </c>
      <c r="U15" s="652">
        <v>2316162</v>
      </c>
      <c r="V15" s="652">
        <v>6211019</v>
      </c>
      <c r="W15" s="654"/>
      <c r="X15" s="654"/>
      <c r="Y15" s="654"/>
      <c r="Z15" s="654"/>
      <c r="AA15" s="654"/>
      <c r="AB15" s="654"/>
      <c r="AC15" s="654"/>
      <c r="AD15" s="654"/>
      <c r="AE15" s="655"/>
      <c r="AF15" s="655"/>
      <c r="AG15" s="655"/>
      <c r="AH15" s="655"/>
      <c r="AI15" s="655"/>
      <c r="AJ15" s="655"/>
      <c r="AK15" s="655"/>
      <c r="AL15" s="655"/>
    </row>
    <row r="16" spans="1:38" x14ac:dyDescent="0.25">
      <c r="A16" s="653">
        <v>10940</v>
      </c>
      <c r="B16" s="651" t="s">
        <v>1230</v>
      </c>
      <c r="C16" s="675">
        <v>5.7300000000000005E-4</v>
      </c>
      <c r="D16" s="675">
        <v>6.0499999999999996E-4</v>
      </c>
      <c r="E16" s="680">
        <v>676496</v>
      </c>
      <c r="F16" s="651">
        <v>24905302</v>
      </c>
      <c r="G16" s="652">
        <v>19846062</v>
      </c>
      <c r="H16" s="652">
        <v>0</v>
      </c>
      <c r="I16" s="652">
        <v>0</v>
      </c>
      <c r="J16" s="652">
        <v>0</v>
      </c>
      <c r="K16" s="652">
        <v>1274345</v>
      </c>
      <c r="L16" s="652">
        <f t="shared" si="0"/>
        <v>1274345</v>
      </c>
      <c r="M16" s="652"/>
      <c r="N16" s="652">
        <v>1422999</v>
      </c>
      <c r="O16" s="652">
        <v>7376</v>
      </c>
      <c r="P16" s="652">
        <v>5465515</v>
      </c>
      <c r="Q16" s="652">
        <v>0</v>
      </c>
      <c r="R16" s="652">
        <f t="shared" si="1"/>
        <v>6895890</v>
      </c>
      <c r="S16" s="652"/>
      <c r="T16" s="652">
        <f t="shared" si="2"/>
        <v>983936</v>
      </c>
      <c r="U16" s="652">
        <v>254865</v>
      </c>
      <c r="V16" s="652">
        <v>1238801</v>
      </c>
      <c r="W16" s="654"/>
      <c r="X16" s="654"/>
      <c r="Y16" s="654"/>
      <c r="Z16" s="654"/>
      <c r="AA16" s="654"/>
      <c r="AB16" s="654"/>
      <c r="AC16" s="654"/>
      <c r="AD16" s="654"/>
      <c r="AE16" s="655"/>
      <c r="AF16" s="655"/>
      <c r="AG16" s="655"/>
      <c r="AH16" s="655"/>
      <c r="AI16" s="655"/>
      <c r="AJ16" s="655"/>
      <c r="AK16" s="655"/>
      <c r="AL16" s="655"/>
    </row>
    <row r="17" spans="1:38" x14ac:dyDescent="0.25">
      <c r="A17" s="653">
        <v>10950</v>
      </c>
      <c r="B17" s="651" t="s">
        <v>1231</v>
      </c>
      <c r="C17" s="675">
        <v>7.5000000000000002E-4</v>
      </c>
      <c r="D17" s="675">
        <v>7.2300000000000001E-4</v>
      </c>
      <c r="E17" s="680">
        <v>736220</v>
      </c>
      <c r="F17" s="651">
        <v>32637513</v>
      </c>
      <c r="G17" s="652">
        <v>23690030</v>
      </c>
      <c r="H17" s="652">
        <v>0</v>
      </c>
      <c r="I17" s="652">
        <v>0</v>
      </c>
      <c r="J17" s="652">
        <v>0</v>
      </c>
      <c r="K17" s="652">
        <v>0</v>
      </c>
      <c r="L17" s="652">
        <f t="shared" si="0"/>
        <v>0</v>
      </c>
      <c r="M17" s="652"/>
      <c r="N17" s="652">
        <v>1698619</v>
      </c>
      <c r="O17" s="652">
        <v>8804</v>
      </c>
      <c r="P17" s="652">
        <v>6524126</v>
      </c>
      <c r="Q17" s="652">
        <v>961860</v>
      </c>
      <c r="R17" s="652">
        <f t="shared" si="1"/>
        <v>9193409</v>
      </c>
      <c r="S17" s="652"/>
      <c r="T17" s="652">
        <f t="shared" si="2"/>
        <v>1174514</v>
      </c>
      <c r="U17" s="652">
        <v>-192367</v>
      </c>
      <c r="V17" s="652">
        <v>982147</v>
      </c>
      <c r="W17" s="654"/>
      <c r="X17" s="654"/>
      <c r="Y17" s="654"/>
      <c r="Z17" s="654"/>
      <c r="AA17" s="654"/>
      <c r="AB17" s="654"/>
      <c r="AC17" s="654"/>
      <c r="AD17" s="654"/>
      <c r="AE17" s="655"/>
      <c r="AF17" s="655"/>
      <c r="AG17" s="655"/>
      <c r="AH17" s="655"/>
      <c r="AI17" s="655"/>
      <c r="AJ17" s="655"/>
      <c r="AK17" s="655"/>
      <c r="AL17" s="655"/>
    </row>
    <row r="18" spans="1:38" x14ac:dyDescent="0.25">
      <c r="A18" s="653">
        <v>11300</v>
      </c>
      <c r="B18" s="651" t="s">
        <v>1232</v>
      </c>
      <c r="C18" s="675">
        <v>4.3600000000000002E-3</v>
      </c>
      <c r="D18" s="675">
        <v>4.1960000000000001E-3</v>
      </c>
      <c r="E18" s="680">
        <v>4713318</v>
      </c>
      <c r="F18" s="651">
        <v>189660798</v>
      </c>
      <c r="G18" s="652">
        <v>137563488</v>
      </c>
      <c r="H18" s="652">
        <v>0</v>
      </c>
      <c r="I18" s="652">
        <v>0</v>
      </c>
      <c r="J18" s="652">
        <v>0</v>
      </c>
      <c r="K18" s="652">
        <v>0</v>
      </c>
      <c r="L18" s="652">
        <f t="shared" si="0"/>
        <v>0</v>
      </c>
      <c r="M18" s="652"/>
      <c r="N18" s="652">
        <v>9863555</v>
      </c>
      <c r="O18" s="652">
        <v>51125</v>
      </c>
      <c r="P18" s="652">
        <v>37884357</v>
      </c>
      <c r="Q18" s="652">
        <v>5337610</v>
      </c>
      <c r="R18" s="652">
        <f t="shared" si="1"/>
        <v>53136647</v>
      </c>
      <c r="S18" s="652"/>
      <c r="T18" s="652">
        <f t="shared" si="2"/>
        <v>6820177</v>
      </c>
      <c r="U18" s="652">
        <v>-1067522</v>
      </c>
      <c r="V18" s="652">
        <v>5752655</v>
      </c>
      <c r="W18" s="654"/>
      <c r="X18" s="654"/>
      <c r="Y18" s="654"/>
      <c r="Z18" s="654"/>
      <c r="AA18" s="654"/>
      <c r="AB18" s="654"/>
      <c r="AC18" s="654"/>
      <c r="AD18" s="654"/>
      <c r="AE18" s="655"/>
      <c r="AF18" s="655"/>
      <c r="AG18" s="655"/>
      <c r="AH18" s="655"/>
      <c r="AI18" s="655"/>
      <c r="AJ18" s="655"/>
      <c r="AK18" s="655"/>
      <c r="AL18" s="655"/>
    </row>
    <row r="19" spans="1:38" x14ac:dyDescent="0.25">
      <c r="A19" s="653">
        <v>11310</v>
      </c>
      <c r="B19" s="651" t="s">
        <v>1233</v>
      </c>
      <c r="C19" s="675">
        <v>4.2000000000000002E-4</v>
      </c>
      <c r="D19" s="675">
        <v>4.4099999999999999E-4</v>
      </c>
      <c r="E19" s="680">
        <v>502637</v>
      </c>
      <c r="F19" s="651">
        <v>18265093</v>
      </c>
      <c r="G19" s="652">
        <v>14467153</v>
      </c>
      <c r="H19" s="652">
        <v>0</v>
      </c>
      <c r="I19" s="652">
        <v>0</v>
      </c>
      <c r="J19" s="652">
        <v>0</v>
      </c>
      <c r="K19" s="652">
        <v>845275</v>
      </c>
      <c r="L19" s="652">
        <f t="shared" si="0"/>
        <v>845275</v>
      </c>
      <c r="M19" s="652"/>
      <c r="N19" s="652">
        <v>1037321</v>
      </c>
      <c r="O19" s="652">
        <v>5377</v>
      </c>
      <c r="P19" s="652">
        <v>3984188</v>
      </c>
      <c r="Q19" s="652">
        <v>0</v>
      </c>
      <c r="R19" s="652">
        <f t="shared" si="1"/>
        <v>5026886</v>
      </c>
      <c r="S19" s="652"/>
      <c r="T19" s="652">
        <f t="shared" si="2"/>
        <v>717258</v>
      </c>
      <c r="U19" s="652">
        <v>169050</v>
      </c>
      <c r="V19" s="652">
        <v>886308</v>
      </c>
      <c r="W19" s="654"/>
      <c r="X19" s="654"/>
      <c r="Y19" s="654"/>
      <c r="Z19" s="654"/>
      <c r="AA19" s="654"/>
      <c r="AB19" s="654"/>
      <c r="AC19" s="654"/>
      <c r="AD19" s="654"/>
      <c r="AE19" s="655"/>
      <c r="AF19" s="655"/>
      <c r="AG19" s="655"/>
      <c r="AH19" s="655"/>
      <c r="AI19" s="655"/>
      <c r="AJ19" s="655"/>
      <c r="AK19" s="655"/>
      <c r="AL19" s="655"/>
    </row>
    <row r="20" spans="1:38" x14ac:dyDescent="0.25">
      <c r="A20" s="653">
        <v>11600</v>
      </c>
      <c r="B20" s="651" t="s">
        <v>1234</v>
      </c>
      <c r="C20" s="675">
        <v>1.792E-3</v>
      </c>
      <c r="D20" s="675">
        <v>1.91E-3</v>
      </c>
      <c r="E20" s="680">
        <v>1808229</v>
      </c>
      <c r="F20" s="651">
        <v>77965021</v>
      </c>
      <c r="G20" s="652">
        <v>62613997</v>
      </c>
      <c r="H20" s="652">
        <v>0</v>
      </c>
      <c r="I20" s="652">
        <v>0</v>
      </c>
      <c r="J20" s="652">
        <v>0</v>
      </c>
      <c r="K20" s="652">
        <v>4257770</v>
      </c>
      <c r="L20" s="652">
        <f t="shared" si="0"/>
        <v>4257770</v>
      </c>
      <c r="M20" s="652"/>
      <c r="N20" s="652">
        <v>4489539</v>
      </c>
      <c r="O20" s="652">
        <v>23270</v>
      </c>
      <c r="P20" s="652">
        <v>17243609</v>
      </c>
      <c r="Q20" s="652">
        <v>0</v>
      </c>
      <c r="R20" s="652">
        <f t="shared" si="1"/>
        <v>21756418</v>
      </c>
      <c r="S20" s="652"/>
      <c r="T20" s="652">
        <f t="shared" si="2"/>
        <v>3104301</v>
      </c>
      <c r="U20" s="652">
        <v>851551</v>
      </c>
      <c r="V20" s="652">
        <v>3955852</v>
      </c>
      <c r="W20" s="654"/>
      <c r="X20" s="654"/>
      <c r="Y20" s="654"/>
      <c r="Z20" s="654"/>
      <c r="AA20" s="654"/>
      <c r="AB20" s="654"/>
      <c r="AC20" s="654"/>
      <c r="AD20" s="654"/>
      <c r="AE20" s="655"/>
      <c r="AF20" s="655"/>
      <c r="AG20" s="655"/>
      <c r="AH20" s="655"/>
      <c r="AI20" s="655"/>
      <c r="AJ20" s="655"/>
      <c r="AK20" s="655"/>
      <c r="AL20" s="655"/>
    </row>
    <row r="21" spans="1:38" x14ac:dyDescent="0.25">
      <c r="A21" s="653">
        <v>11900</v>
      </c>
      <c r="B21" s="651" t="s">
        <v>1235</v>
      </c>
      <c r="C21" s="675">
        <v>2.0799999999999999E-4</v>
      </c>
      <c r="D21" s="675">
        <v>1.9900000000000001E-4</v>
      </c>
      <c r="E21" s="680">
        <v>181074</v>
      </c>
      <c r="F21" s="651">
        <v>9058251</v>
      </c>
      <c r="G21" s="652">
        <v>6513734</v>
      </c>
      <c r="H21" s="652">
        <v>0</v>
      </c>
      <c r="I21" s="652">
        <v>0</v>
      </c>
      <c r="J21" s="652">
        <v>0</v>
      </c>
      <c r="K21" s="652">
        <v>0</v>
      </c>
      <c r="L21" s="652">
        <f t="shared" si="0"/>
        <v>0</v>
      </c>
      <c r="M21" s="652"/>
      <c r="N21" s="652">
        <v>467047</v>
      </c>
      <c r="O21" s="652">
        <v>2421</v>
      </c>
      <c r="P21" s="652">
        <v>1793853</v>
      </c>
      <c r="Q21" s="652">
        <v>352550</v>
      </c>
      <c r="R21" s="652">
        <f t="shared" si="1"/>
        <v>2615871</v>
      </c>
      <c r="S21" s="652"/>
      <c r="T21" s="652">
        <f t="shared" si="2"/>
        <v>322940</v>
      </c>
      <c r="U21" s="652">
        <v>-70514</v>
      </c>
      <c r="V21" s="652">
        <v>252426</v>
      </c>
      <c r="W21" s="654"/>
      <c r="X21" s="654"/>
      <c r="Y21" s="654"/>
      <c r="Z21" s="654"/>
      <c r="AA21" s="654"/>
      <c r="AB21" s="654"/>
      <c r="AC21" s="654"/>
      <c r="AD21" s="654"/>
      <c r="AE21" s="655"/>
      <c r="AF21" s="655"/>
      <c r="AG21" s="655"/>
      <c r="AH21" s="655"/>
      <c r="AI21" s="655"/>
      <c r="AJ21" s="655"/>
      <c r="AK21" s="655"/>
      <c r="AL21" s="655"/>
    </row>
    <row r="22" spans="1:38" x14ac:dyDescent="0.25">
      <c r="A22" s="653">
        <v>12100</v>
      </c>
      <c r="B22" s="651" t="s">
        <v>1236</v>
      </c>
      <c r="C22" s="675">
        <v>2.4600000000000002E-4</v>
      </c>
      <c r="D22" s="675">
        <v>2.4699999999999999E-4</v>
      </c>
      <c r="E22" s="680">
        <v>234608</v>
      </c>
      <c r="F22" s="651">
        <v>10691180</v>
      </c>
      <c r="G22" s="652">
        <v>8085569</v>
      </c>
      <c r="H22" s="652">
        <v>0</v>
      </c>
      <c r="I22" s="652">
        <v>0</v>
      </c>
      <c r="J22" s="652">
        <v>0</v>
      </c>
      <c r="K22" s="652">
        <v>31340</v>
      </c>
      <c r="L22" s="652">
        <f t="shared" si="0"/>
        <v>31340</v>
      </c>
      <c r="M22" s="652"/>
      <c r="N22" s="652">
        <v>579750</v>
      </c>
      <c r="O22" s="652">
        <v>3005</v>
      </c>
      <c r="P22" s="652">
        <v>2226729</v>
      </c>
      <c r="Q22" s="652">
        <v>0</v>
      </c>
      <c r="R22" s="652">
        <f t="shared" si="1"/>
        <v>2809484</v>
      </c>
      <c r="S22" s="652"/>
      <c r="T22" s="652">
        <f t="shared" si="2"/>
        <v>400870</v>
      </c>
      <c r="U22" s="652">
        <v>6271</v>
      </c>
      <c r="V22" s="652">
        <v>407141</v>
      </c>
      <c r="W22" s="654"/>
      <c r="X22" s="654"/>
      <c r="Y22" s="654"/>
      <c r="Z22" s="654"/>
      <c r="AA22" s="654"/>
      <c r="AB22" s="654"/>
      <c r="AC22" s="654"/>
      <c r="AD22" s="654"/>
      <c r="AE22" s="655"/>
      <c r="AF22" s="655"/>
      <c r="AG22" s="655"/>
      <c r="AH22" s="655"/>
      <c r="AI22" s="655"/>
      <c r="AJ22" s="655"/>
      <c r="AK22" s="655"/>
      <c r="AL22" s="655"/>
    </row>
    <row r="23" spans="1:38" x14ac:dyDescent="0.25">
      <c r="A23" s="653">
        <v>12150</v>
      </c>
      <c r="B23" s="651" t="s">
        <v>1237</v>
      </c>
      <c r="C23" s="675">
        <v>3.6999999999999998E-5</v>
      </c>
      <c r="D23" s="675">
        <v>3.6999999999999998E-5</v>
      </c>
      <c r="E23" s="680">
        <v>28290</v>
      </c>
      <c r="F23" s="651">
        <v>1598454</v>
      </c>
      <c r="G23" s="652">
        <v>1204359</v>
      </c>
      <c r="H23" s="652">
        <v>0</v>
      </c>
      <c r="I23" s="652">
        <v>0</v>
      </c>
      <c r="J23" s="652">
        <v>0</v>
      </c>
      <c r="K23" s="652">
        <v>0</v>
      </c>
      <c r="L23" s="652">
        <f t="shared" si="0"/>
        <v>0</v>
      </c>
      <c r="M23" s="652"/>
      <c r="N23" s="652">
        <v>86355</v>
      </c>
      <c r="O23" s="652">
        <v>448</v>
      </c>
      <c r="P23" s="652">
        <v>331675</v>
      </c>
      <c r="Q23" s="652">
        <v>5865</v>
      </c>
      <c r="R23" s="652">
        <f t="shared" si="1"/>
        <v>424343</v>
      </c>
      <c r="S23" s="652"/>
      <c r="T23" s="652">
        <f t="shared" si="2"/>
        <v>59710</v>
      </c>
      <c r="U23" s="652">
        <v>-1173</v>
      </c>
      <c r="V23" s="652">
        <v>58537</v>
      </c>
      <c r="W23" s="654"/>
      <c r="X23" s="654"/>
      <c r="Y23" s="654"/>
      <c r="Z23" s="654"/>
      <c r="AA23" s="654"/>
      <c r="AB23" s="654"/>
      <c r="AC23" s="654"/>
      <c r="AD23" s="654"/>
      <c r="AE23" s="655"/>
      <c r="AF23" s="655"/>
      <c r="AG23" s="655"/>
      <c r="AH23" s="655"/>
      <c r="AI23" s="655"/>
      <c r="AJ23" s="655"/>
      <c r="AK23" s="655"/>
      <c r="AL23" s="655"/>
    </row>
    <row r="24" spans="1:38" x14ac:dyDescent="0.25">
      <c r="A24" s="653">
        <v>12160</v>
      </c>
      <c r="B24" s="651" t="s">
        <v>1238</v>
      </c>
      <c r="C24" s="675">
        <v>1.614E-3</v>
      </c>
      <c r="D24" s="675">
        <v>1.621E-3</v>
      </c>
      <c r="E24" s="680">
        <v>1793659</v>
      </c>
      <c r="F24" s="651">
        <v>70225886</v>
      </c>
      <c r="G24" s="652">
        <v>53160533</v>
      </c>
      <c r="H24" s="652">
        <v>0</v>
      </c>
      <c r="I24" s="652">
        <v>0</v>
      </c>
      <c r="J24" s="652">
        <v>0</v>
      </c>
      <c r="K24" s="652">
        <v>470275</v>
      </c>
      <c r="L24" s="652">
        <f t="shared" si="0"/>
        <v>470275</v>
      </c>
      <c r="M24" s="652"/>
      <c r="N24" s="652">
        <v>3811708</v>
      </c>
      <c r="O24" s="652">
        <v>19757</v>
      </c>
      <c r="P24" s="652">
        <v>14640168</v>
      </c>
      <c r="Q24" s="652">
        <v>0</v>
      </c>
      <c r="R24" s="652">
        <f t="shared" si="1"/>
        <v>18471633</v>
      </c>
      <c r="S24" s="652"/>
      <c r="T24" s="652">
        <f t="shared" si="2"/>
        <v>2635614</v>
      </c>
      <c r="U24" s="652">
        <v>94050</v>
      </c>
      <c r="V24" s="652">
        <v>2729664</v>
      </c>
      <c r="W24" s="654"/>
      <c r="X24" s="654"/>
      <c r="Y24" s="654"/>
      <c r="Z24" s="654"/>
      <c r="AA24" s="654"/>
      <c r="AB24" s="654"/>
      <c r="AC24" s="654"/>
      <c r="AD24" s="654"/>
      <c r="AE24" s="655"/>
      <c r="AF24" s="655"/>
      <c r="AG24" s="655"/>
      <c r="AH24" s="655"/>
      <c r="AI24" s="655"/>
      <c r="AJ24" s="655"/>
      <c r="AK24" s="655"/>
      <c r="AL24" s="655"/>
    </row>
    <row r="25" spans="1:38" x14ac:dyDescent="0.25">
      <c r="A25" s="653">
        <v>12220</v>
      </c>
      <c r="B25" s="651" t="s">
        <v>1239</v>
      </c>
      <c r="C25" s="675">
        <v>3.9863999999999997E-2</v>
      </c>
      <c r="D25" s="675">
        <v>4.1520000000000001E-2</v>
      </c>
      <c r="E25" s="680">
        <v>44591568</v>
      </c>
      <c r="F25" s="651">
        <v>1734212093</v>
      </c>
      <c r="G25" s="652">
        <v>1361296816</v>
      </c>
      <c r="H25" s="652">
        <v>0</v>
      </c>
      <c r="I25" s="652">
        <v>0</v>
      </c>
      <c r="J25" s="652">
        <v>0</v>
      </c>
      <c r="K25" s="652">
        <v>64328090</v>
      </c>
      <c r="L25" s="652">
        <f t="shared" si="0"/>
        <v>64328090</v>
      </c>
      <c r="M25" s="652"/>
      <c r="N25" s="652">
        <v>97607486</v>
      </c>
      <c r="O25" s="652">
        <v>505917</v>
      </c>
      <c r="P25" s="652">
        <v>374894928</v>
      </c>
      <c r="Q25" s="652">
        <v>0</v>
      </c>
      <c r="R25" s="652">
        <f t="shared" si="1"/>
        <v>473008331</v>
      </c>
      <c r="S25" s="652"/>
      <c r="T25" s="652">
        <f t="shared" si="2"/>
        <v>67490911</v>
      </c>
      <c r="U25" s="652">
        <v>12865620</v>
      </c>
      <c r="V25" s="652">
        <v>80356531</v>
      </c>
      <c r="W25" s="654"/>
      <c r="X25" s="654"/>
      <c r="Y25" s="654"/>
      <c r="Z25" s="654"/>
      <c r="AA25" s="654"/>
      <c r="AB25" s="654"/>
      <c r="AC25" s="654"/>
      <c r="AD25" s="654"/>
      <c r="AE25" s="655"/>
      <c r="AF25" s="655"/>
      <c r="AG25" s="655"/>
      <c r="AH25" s="655"/>
      <c r="AI25" s="655"/>
      <c r="AJ25" s="655"/>
      <c r="AK25" s="655"/>
      <c r="AL25" s="655"/>
    </row>
    <row r="26" spans="1:38" x14ac:dyDescent="0.25">
      <c r="A26" s="653">
        <v>12510</v>
      </c>
      <c r="B26" s="651" t="s">
        <v>1240</v>
      </c>
      <c r="C26" s="675">
        <v>4.4660000000000004E-3</v>
      </c>
      <c r="D26" s="675">
        <v>4.5500000000000002E-3</v>
      </c>
      <c r="E26" s="680">
        <v>5383201</v>
      </c>
      <c r="F26" s="651">
        <v>194297024</v>
      </c>
      <c r="G26" s="652">
        <v>149194287</v>
      </c>
      <c r="H26" s="652">
        <v>0</v>
      </c>
      <c r="I26" s="652">
        <v>0</v>
      </c>
      <c r="J26" s="652">
        <v>0</v>
      </c>
      <c r="K26" s="652">
        <v>3936690</v>
      </c>
      <c r="L26" s="652">
        <f t="shared" si="0"/>
        <v>3936690</v>
      </c>
      <c r="M26" s="652"/>
      <c r="N26" s="652">
        <v>10697505</v>
      </c>
      <c r="O26" s="652">
        <v>55447</v>
      </c>
      <c r="P26" s="652">
        <v>41087426</v>
      </c>
      <c r="Q26" s="652">
        <v>0</v>
      </c>
      <c r="R26" s="652">
        <f t="shared" si="1"/>
        <v>51840378</v>
      </c>
      <c r="S26" s="652"/>
      <c r="T26" s="652">
        <f t="shared" si="2"/>
        <v>7396813</v>
      </c>
      <c r="U26" s="652">
        <v>787338</v>
      </c>
      <c r="V26" s="652">
        <v>8184151</v>
      </c>
      <c r="W26" s="654"/>
      <c r="X26" s="654"/>
      <c r="Y26" s="654"/>
      <c r="Z26" s="654"/>
      <c r="AA26" s="654"/>
      <c r="AB26" s="654"/>
      <c r="AC26" s="654"/>
      <c r="AD26" s="654"/>
      <c r="AE26" s="655"/>
      <c r="AF26" s="655"/>
      <c r="AG26" s="655"/>
      <c r="AH26" s="655"/>
      <c r="AI26" s="655"/>
      <c r="AJ26" s="655"/>
      <c r="AK26" s="655"/>
      <c r="AL26" s="655"/>
    </row>
    <row r="27" spans="1:38" x14ac:dyDescent="0.25">
      <c r="A27" s="653">
        <v>12600</v>
      </c>
      <c r="B27" s="651" t="s">
        <v>1241</v>
      </c>
      <c r="C27" s="675">
        <v>1.201E-3</v>
      </c>
      <c r="D27" s="675">
        <v>1.25E-3</v>
      </c>
      <c r="E27" s="680">
        <v>1461714</v>
      </c>
      <c r="F27" s="651">
        <v>52253227</v>
      </c>
      <c r="G27" s="652">
        <v>40992712</v>
      </c>
      <c r="H27" s="652">
        <v>0</v>
      </c>
      <c r="I27" s="652">
        <v>0</v>
      </c>
      <c r="J27" s="652">
        <v>0</v>
      </c>
      <c r="K27" s="652">
        <v>2010450</v>
      </c>
      <c r="L27" s="652">
        <f t="shared" si="0"/>
        <v>2010450</v>
      </c>
      <c r="M27" s="652"/>
      <c r="N27" s="652">
        <v>2939253</v>
      </c>
      <c r="O27" s="652">
        <v>15235</v>
      </c>
      <c r="P27" s="652">
        <v>11289206</v>
      </c>
      <c r="Q27" s="652">
        <v>0</v>
      </c>
      <c r="R27" s="652">
        <f t="shared" si="1"/>
        <v>14243694</v>
      </c>
      <c r="S27" s="652"/>
      <c r="T27" s="652">
        <f t="shared" si="2"/>
        <v>2032353</v>
      </c>
      <c r="U27" s="652">
        <v>402089</v>
      </c>
      <c r="V27" s="652">
        <v>2434442</v>
      </c>
      <c r="W27" s="654"/>
      <c r="X27" s="654"/>
      <c r="Y27" s="654"/>
      <c r="Z27" s="654"/>
      <c r="AA27" s="654"/>
      <c r="AB27" s="654"/>
      <c r="AC27" s="654"/>
      <c r="AD27" s="654"/>
      <c r="AE27" s="655"/>
      <c r="AF27" s="655"/>
      <c r="AG27" s="655"/>
      <c r="AH27" s="655"/>
      <c r="AI27" s="655"/>
      <c r="AJ27" s="655"/>
      <c r="AK27" s="655"/>
      <c r="AL27" s="655"/>
    </row>
    <row r="28" spans="1:38" x14ac:dyDescent="0.25">
      <c r="A28" s="653">
        <v>12700</v>
      </c>
      <c r="B28" s="651" t="s">
        <v>1242</v>
      </c>
      <c r="C28" s="675">
        <v>9.5E-4</v>
      </c>
      <c r="D28" s="675">
        <v>9.5500000000000001E-4</v>
      </c>
      <c r="E28" s="680">
        <v>1123891</v>
      </c>
      <c r="F28" s="651">
        <v>41331596</v>
      </c>
      <c r="G28" s="652">
        <v>31324741</v>
      </c>
      <c r="H28" s="652">
        <v>0</v>
      </c>
      <c r="I28" s="652">
        <v>0</v>
      </c>
      <c r="J28" s="652">
        <v>0</v>
      </c>
      <c r="K28" s="652">
        <v>373655</v>
      </c>
      <c r="L28" s="652">
        <f t="shared" si="0"/>
        <v>373655</v>
      </c>
      <c r="M28" s="652"/>
      <c r="N28" s="652">
        <v>2246042</v>
      </c>
      <c r="O28" s="652">
        <v>11642</v>
      </c>
      <c r="P28" s="652">
        <v>8626691</v>
      </c>
      <c r="Q28" s="652">
        <v>0</v>
      </c>
      <c r="R28" s="652">
        <f t="shared" si="1"/>
        <v>10884375</v>
      </c>
      <c r="S28" s="652"/>
      <c r="T28" s="652">
        <f t="shared" si="2"/>
        <v>1553030</v>
      </c>
      <c r="U28" s="652">
        <v>74725</v>
      </c>
      <c r="V28" s="652">
        <v>1627755</v>
      </c>
      <c r="W28" s="654"/>
      <c r="X28" s="654"/>
      <c r="Y28" s="654"/>
      <c r="Z28" s="654"/>
      <c r="AA28" s="654"/>
      <c r="AB28" s="654"/>
      <c r="AC28" s="654"/>
      <c r="AD28" s="654"/>
      <c r="AE28" s="655"/>
      <c r="AF28" s="655"/>
      <c r="AG28" s="655"/>
      <c r="AH28" s="655"/>
      <c r="AI28" s="655"/>
      <c r="AJ28" s="655"/>
      <c r="AK28" s="655"/>
      <c r="AL28" s="655"/>
    </row>
    <row r="29" spans="1:38" x14ac:dyDescent="0.25">
      <c r="A29" s="653">
        <v>13500</v>
      </c>
      <c r="B29" s="651" t="s">
        <v>1243</v>
      </c>
      <c r="C29" s="675">
        <v>3.5360000000000001E-3</v>
      </c>
      <c r="D29" s="675">
        <v>3.9100000000000003E-3</v>
      </c>
      <c r="E29" s="680">
        <v>4052239</v>
      </c>
      <c r="F29" s="651">
        <v>153807098</v>
      </c>
      <c r="G29" s="652">
        <v>128196901</v>
      </c>
      <c r="H29" s="652">
        <v>0</v>
      </c>
      <c r="I29" s="652">
        <v>0</v>
      </c>
      <c r="J29" s="652">
        <v>0</v>
      </c>
      <c r="K29" s="652">
        <v>13858905</v>
      </c>
      <c r="L29" s="652">
        <f t="shared" si="0"/>
        <v>13858905</v>
      </c>
      <c r="M29" s="652"/>
      <c r="N29" s="652">
        <v>9191954</v>
      </c>
      <c r="O29" s="652">
        <v>47644</v>
      </c>
      <c r="P29" s="652">
        <v>35304841</v>
      </c>
      <c r="Q29" s="652">
        <v>0</v>
      </c>
      <c r="R29" s="652">
        <f t="shared" si="1"/>
        <v>44544439</v>
      </c>
      <c r="S29" s="652"/>
      <c r="T29" s="652">
        <f t="shared" si="2"/>
        <v>6355797</v>
      </c>
      <c r="U29" s="652">
        <v>2771779</v>
      </c>
      <c r="V29" s="652">
        <v>9127576</v>
      </c>
      <c r="W29" s="654"/>
      <c r="X29" s="654"/>
      <c r="Y29" s="654"/>
      <c r="Z29" s="654"/>
      <c r="AA29" s="654"/>
      <c r="AB29" s="654"/>
      <c r="AC29" s="654"/>
      <c r="AD29" s="654"/>
      <c r="AE29" s="655"/>
      <c r="AF29" s="655"/>
      <c r="AG29" s="655"/>
      <c r="AH29" s="655"/>
      <c r="AI29" s="655"/>
      <c r="AJ29" s="655"/>
      <c r="AK29" s="655"/>
      <c r="AL29" s="655"/>
    </row>
    <row r="30" spans="1:38" x14ac:dyDescent="0.25">
      <c r="A30" s="653">
        <v>13700</v>
      </c>
      <c r="B30" s="651" t="s">
        <v>1244</v>
      </c>
      <c r="C30" s="675">
        <v>4.2900000000000002E-4</v>
      </c>
      <c r="D30" s="675">
        <v>4.1399999999999998E-4</v>
      </c>
      <c r="E30" s="680">
        <v>477982</v>
      </c>
      <c r="F30" s="651">
        <v>18648145</v>
      </c>
      <c r="G30" s="652">
        <v>13588813</v>
      </c>
      <c r="H30" s="652">
        <v>0</v>
      </c>
      <c r="I30" s="652">
        <v>0</v>
      </c>
      <c r="J30" s="652">
        <v>0</v>
      </c>
      <c r="K30" s="652">
        <v>0</v>
      </c>
      <c r="L30" s="652">
        <f t="shared" si="0"/>
        <v>0</v>
      </c>
      <c r="M30" s="652"/>
      <c r="N30" s="652">
        <v>974343</v>
      </c>
      <c r="O30" s="652">
        <v>5050</v>
      </c>
      <c r="P30" s="652">
        <v>3742297</v>
      </c>
      <c r="Q30" s="652">
        <v>444475</v>
      </c>
      <c r="R30" s="652">
        <f t="shared" si="1"/>
        <v>5166165</v>
      </c>
      <c r="S30" s="652"/>
      <c r="T30" s="652">
        <f t="shared" si="2"/>
        <v>673712</v>
      </c>
      <c r="U30" s="652">
        <v>-88896</v>
      </c>
      <c r="V30" s="652">
        <v>584816</v>
      </c>
      <c r="W30" s="654"/>
      <c r="X30" s="654"/>
      <c r="Y30" s="654"/>
      <c r="Z30" s="654"/>
      <c r="AA30" s="654"/>
      <c r="AB30" s="654"/>
      <c r="AC30" s="654"/>
      <c r="AD30" s="654"/>
      <c r="AE30" s="655"/>
      <c r="AF30" s="655"/>
      <c r="AG30" s="655"/>
      <c r="AH30" s="655"/>
      <c r="AI30" s="655"/>
      <c r="AJ30" s="655"/>
      <c r="AK30" s="655"/>
      <c r="AL30" s="655"/>
    </row>
    <row r="31" spans="1:38" x14ac:dyDescent="0.25">
      <c r="A31" s="653">
        <v>14300</v>
      </c>
      <c r="B31" s="651" t="s">
        <v>1245</v>
      </c>
      <c r="C31" s="675">
        <v>1.2210000000000001E-3</v>
      </c>
      <c r="D31" s="675">
        <v>1.4350000000000001E-3</v>
      </c>
      <c r="E31" s="680">
        <v>1597828</v>
      </c>
      <c r="F31" s="651">
        <v>53095208</v>
      </c>
      <c r="G31" s="652">
        <v>47058333</v>
      </c>
      <c r="H31" s="652">
        <v>0</v>
      </c>
      <c r="I31" s="652">
        <v>0</v>
      </c>
      <c r="J31" s="652">
        <v>0</v>
      </c>
      <c r="K31" s="652">
        <v>7824325</v>
      </c>
      <c r="L31" s="652">
        <f t="shared" si="0"/>
        <v>7824325</v>
      </c>
      <c r="M31" s="652"/>
      <c r="N31" s="652">
        <v>3374169</v>
      </c>
      <c r="O31" s="652">
        <v>17489</v>
      </c>
      <c r="P31" s="652">
        <v>12959650</v>
      </c>
      <c r="Q31" s="652">
        <v>0</v>
      </c>
      <c r="R31" s="652">
        <f t="shared" si="1"/>
        <v>16351308</v>
      </c>
      <c r="S31" s="652"/>
      <c r="T31" s="652">
        <f t="shared" si="2"/>
        <v>2333077</v>
      </c>
      <c r="U31" s="652">
        <v>1564860</v>
      </c>
      <c r="V31" s="652">
        <v>3897937</v>
      </c>
      <c r="W31" s="654"/>
      <c r="X31" s="654"/>
      <c r="Y31" s="654"/>
      <c r="Z31" s="654"/>
      <c r="AA31" s="654"/>
      <c r="AB31" s="654"/>
      <c r="AC31" s="654"/>
      <c r="AD31" s="654"/>
      <c r="AE31" s="655"/>
      <c r="AF31" s="655"/>
      <c r="AG31" s="655"/>
      <c r="AH31" s="655"/>
      <c r="AI31" s="655"/>
      <c r="AJ31" s="655"/>
      <c r="AK31" s="655"/>
      <c r="AL31" s="655"/>
    </row>
    <row r="32" spans="1:38" s="724" customFormat="1" x14ac:dyDescent="0.25">
      <c r="A32" s="656">
        <v>14300.1</v>
      </c>
      <c r="B32" s="657" t="s">
        <v>1246</v>
      </c>
      <c r="C32" s="720">
        <v>1.2799999999999999E-4</v>
      </c>
      <c r="D32" s="720">
        <v>1.6899999999999999E-4</v>
      </c>
      <c r="E32" s="721">
        <v>0</v>
      </c>
      <c r="F32" s="657">
        <v>5560605</v>
      </c>
      <c r="G32" s="658">
        <v>5541457</v>
      </c>
      <c r="H32" s="658">
        <v>0</v>
      </c>
      <c r="I32" s="658">
        <v>0</v>
      </c>
      <c r="J32" s="658">
        <v>0</v>
      </c>
      <c r="K32" s="658">
        <v>1518000</v>
      </c>
      <c r="L32" s="658">
        <f t="shared" si="0"/>
        <v>1518000</v>
      </c>
      <c r="M32" s="658"/>
      <c r="N32" s="658">
        <v>397333</v>
      </c>
      <c r="O32" s="658">
        <v>2059</v>
      </c>
      <c r="P32" s="658">
        <v>1526092</v>
      </c>
      <c r="Q32" s="658">
        <v>0</v>
      </c>
      <c r="R32" s="658">
        <f t="shared" si="1"/>
        <v>1925484</v>
      </c>
      <c r="S32" s="658"/>
      <c r="T32" s="658">
        <f t="shared" si="2"/>
        <v>274737</v>
      </c>
      <c r="U32" s="658">
        <v>303600</v>
      </c>
      <c r="V32" s="658">
        <v>578337</v>
      </c>
      <c r="W32" s="722"/>
      <c r="X32" s="722"/>
      <c r="Y32" s="722"/>
      <c r="Z32" s="722"/>
      <c r="AA32" s="722"/>
      <c r="AB32" s="722"/>
      <c r="AC32" s="722"/>
      <c r="AD32" s="722"/>
      <c r="AE32" s="723"/>
      <c r="AF32" s="723"/>
      <c r="AG32" s="723"/>
      <c r="AH32" s="723"/>
      <c r="AI32" s="723"/>
      <c r="AJ32" s="723"/>
      <c r="AK32" s="723"/>
      <c r="AL32" s="723"/>
    </row>
    <row r="33" spans="1:38" x14ac:dyDescent="0.25">
      <c r="A33" s="653">
        <v>18400</v>
      </c>
      <c r="B33" s="651" t="s">
        <v>1247</v>
      </c>
      <c r="C33" s="675">
        <v>4.6750000000000003E-3</v>
      </c>
      <c r="D33" s="675">
        <v>4.8760000000000001E-3</v>
      </c>
      <c r="E33" s="680">
        <v>5234297</v>
      </c>
      <c r="F33" s="651">
        <v>203378738</v>
      </c>
      <c r="G33" s="652">
        <v>159857963</v>
      </c>
      <c r="H33" s="652">
        <v>0</v>
      </c>
      <c r="I33" s="652">
        <v>0</v>
      </c>
      <c r="J33" s="652">
        <v>0</v>
      </c>
      <c r="K33" s="652">
        <v>7778080</v>
      </c>
      <c r="L33" s="652">
        <f t="shared" si="0"/>
        <v>7778080</v>
      </c>
      <c r="M33" s="652"/>
      <c r="N33" s="652">
        <v>11462110</v>
      </c>
      <c r="O33" s="652">
        <v>59410</v>
      </c>
      <c r="P33" s="652">
        <v>44024153</v>
      </c>
      <c r="Q33" s="652">
        <v>0</v>
      </c>
      <c r="R33" s="652">
        <f t="shared" si="1"/>
        <v>55545673</v>
      </c>
      <c r="S33" s="652"/>
      <c r="T33" s="652">
        <f t="shared" si="2"/>
        <v>7925501</v>
      </c>
      <c r="U33" s="652">
        <v>1555615</v>
      </c>
      <c r="V33" s="652">
        <v>9481116</v>
      </c>
      <c r="W33" s="654"/>
      <c r="X33" s="654"/>
      <c r="Y33" s="654"/>
      <c r="Z33" s="654"/>
      <c r="AA33" s="654"/>
      <c r="AB33" s="654"/>
      <c r="AC33" s="654"/>
      <c r="AD33" s="654"/>
      <c r="AE33" s="655"/>
      <c r="AF33" s="655"/>
      <c r="AG33" s="655"/>
      <c r="AH33" s="655"/>
      <c r="AI33" s="655"/>
      <c r="AJ33" s="655"/>
      <c r="AK33" s="655"/>
      <c r="AL33" s="655"/>
    </row>
    <row r="34" spans="1:38" x14ac:dyDescent="0.25">
      <c r="A34" s="653">
        <v>18600</v>
      </c>
      <c r="B34" s="651" t="s">
        <v>1248</v>
      </c>
      <c r="C34" s="675">
        <v>2.0000000000000002E-5</v>
      </c>
      <c r="D34" s="675">
        <v>1.5E-5</v>
      </c>
      <c r="E34" s="680">
        <v>14710</v>
      </c>
      <c r="F34" s="651">
        <v>856640</v>
      </c>
      <c r="G34" s="652">
        <v>478866</v>
      </c>
      <c r="H34" s="652">
        <v>0</v>
      </c>
      <c r="I34" s="652">
        <v>0</v>
      </c>
      <c r="J34" s="652">
        <v>0</v>
      </c>
      <c r="K34" s="652">
        <v>0</v>
      </c>
      <c r="L34" s="652">
        <f t="shared" si="0"/>
        <v>0</v>
      </c>
      <c r="M34" s="652"/>
      <c r="N34" s="652">
        <v>34336</v>
      </c>
      <c r="O34" s="652">
        <v>178</v>
      </c>
      <c r="P34" s="652">
        <v>131878</v>
      </c>
      <c r="Q34" s="652">
        <v>183680</v>
      </c>
      <c r="R34" s="652">
        <f t="shared" si="1"/>
        <v>350072</v>
      </c>
      <c r="S34" s="652"/>
      <c r="T34" s="652">
        <f t="shared" si="2"/>
        <v>23741</v>
      </c>
      <c r="U34" s="652">
        <v>-36734</v>
      </c>
      <c r="V34" s="652">
        <v>-12993</v>
      </c>
      <c r="W34" s="654"/>
      <c r="X34" s="654"/>
      <c r="Y34" s="654"/>
      <c r="Z34" s="654"/>
      <c r="AA34" s="654"/>
      <c r="AB34" s="654"/>
      <c r="AC34" s="654"/>
      <c r="AD34" s="654"/>
      <c r="AE34" s="655"/>
      <c r="AF34" s="655"/>
      <c r="AG34" s="655"/>
      <c r="AH34" s="655"/>
      <c r="AI34" s="655"/>
      <c r="AJ34" s="655"/>
      <c r="AK34" s="655"/>
      <c r="AL34" s="655"/>
    </row>
    <row r="35" spans="1:38" x14ac:dyDescent="0.25">
      <c r="A35" s="653">
        <v>18690</v>
      </c>
      <c r="B35" s="651" t="s">
        <v>1249</v>
      </c>
      <c r="C35" s="675">
        <v>3.9999999999999998E-6</v>
      </c>
      <c r="D35" s="675">
        <v>0</v>
      </c>
      <c r="E35" s="680">
        <v>3520</v>
      </c>
      <c r="F35" s="651">
        <v>180738</v>
      </c>
      <c r="G35" s="652">
        <v>0</v>
      </c>
      <c r="H35" s="652">
        <v>0</v>
      </c>
      <c r="I35" s="652">
        <v>0</v>
      </c>
      <c r="J35" s="652">
        <v>0</v>
      </c>
      <c r="K35" s="652">
        <v>0</v>
      </c>
      <c r="L35" s="652">
        <f t="shared" si="0"/>
        <v>0</v>
      </c>
      <c r="M35" s="652"/>
      <c r="N35" s="652">
        <v>0</v>
      </c>
      <c r="O35" s="652">
        <v>0</v>
      </c>
      <c r="P35" s="652">
        <v>0</v>
      </c>
      <c r="Q35" s="652">
        <v>147680</v>
      </c>
      <c r="R35" s="652">
        <f t="shared" si="1"/>
        <v>147680</v>
      </c>
      <c r="S35" s="652"/>
      <c r="T35" s="652">
        <f t="shared" si="2"/>
        <v>0</v>
      </c>
      <c r="U35" s="652">
        <v>-29538</v>
      </c>
      <c r="V35" s="652">
        <v>-29538</v>
      </c>
      <c r="W35" s="654"/>
      <c r="X35" s="654"/>
      <c r="Y35" s="654"/>
      <c r="Z35" s="654"/>
      <c r="AA35" s="654"/>
      <c r="AB35" s="654"/>
      <c r="AC35" s="654"/>
      <c r="AD35" s="654"/>
      <c r="AE35" s="655"/>
      <c r="AF35" s="655"/>
      <c r="AG35" s="655"/>
      <c r="AH35" s="655"/>
      <c r="AI35" s="655"/>
      <c r="AJ35" s="655"/>
      <c r="AK35" s="655"/>
      <c r="AL35" s="655"/>
    </row>
    <row r="36" spans="1:38" x14ac:dyDescent="0.25">
      <c r="A36" s="653">
        <v>18740</v>
      </c>
      <c r="B36" s="651" t="s">
        <v>1250</v>
      </c>
      <c r="C36" s="675">
        <v>6.0000000000000002E-6</v>
      </c>
      <c r="D36" s="675">
        <v>6.9999999999999999E-6</v>
      </c>
      <c r="E36" s="680">
        <v>7558</v>
      </c>
      <c r="F36" s="651">
        <v>258662</v>
      </c>
      <c r="G36" s="652">
        <v>221627</v>
      </c>
      <c r="H36" s="652">
        <v>0</v>
      </c>
      <c r="I36" s="652">
        <v>0</v>
      </c>
      <c r="J36" s="652">
        <v>0</v>
      </c>
      <c r="K36" s="652">
        <v>30455</v>
      </c>
      <c r="L36" s="652">
        <f t="shared" si="0"/>
        <v>30455</v>
      </c>
      <c r="M36" s="652"/>
      <c r="N36" s="652">
        <v>15891</v>
      </c>
      <c r="O36" s="652">
        <v>82</v>
      </c>
      <c r="P36" s="652">
        <v>61035</v>
      </c>
      <c r="Q36" s="652">
        <v>0</v>
      </c>
      <c r="R36" s="652">
        <f t="shared" si="1"/>
        <v>77008</v>
      </c>
      <c r="S36" s="652"/>
      <c r="T36" s="652">
        <f t="shared" si="2"/>
        <v>10988</v>
      </c>
      <c r="U36" s="652">
        <v>6089</v>
      </c>
      <c r="V36" s="652">
        <v>17077</v>
      </c>
      <c r="W36" s="654"/>
      <c r="X36" s="654"/>
      <c r="Y36" s="654"/>
      <c r="Z36" s="654"/>
      <c r="AA36" s="654"/>
      <c r="AB36" s="654"/>
      <c r="AC36" s="654"/>
      <c r="AD36" s="654"/>
      <c r="AE36" s="655"/>
      <c r="AF36" s="655"/>
      <c r="AG36" s="655"/>
      <c r="AH36" s="655"/>
      <c r="AI36" s="655"/>
      <c r="AJ36" s="655"/>
      <c r="AK36" s="655"/>
      <c r="AL36" s="655"/>
    </row>
    <row r="37" spans="1:38" x14ac:dyDescent="0.25">
      <c r="A37" s="653">
        <v>18780</v>
      </c>
      <c r="B37" s="651" t="s">
        <v>1251</v>
      </c>
      <c r="C37" s="675">
        <v>1.2E-5</v>
      </c>
      <c r="D37" s="675">
        <v>1.2E-5</v>
      </c>
      <c r="E37" s="680">
        <v>14463</v>
      </c>
      <c r="F37" s="651">
        <v>519337</v>
      </c>
      <c r="G37" s="652">
        <v>389219</v>
      </c>
      <c r="H37" s="652">
        <v>0</v>
      </c>
      <c r="I37" s="652">
        <v>0</v>
      </c>
      <c r="J37" s="652">
        <v>0</v>
      </c>
      <c r="K37" s="652">
        <v>240</v>
      </c>
      <c r="L37" s="652">
        <f t="shared" si="0"/>
        <v>240</v>
      </c>
      <c r="M37" s="652"/>
      <c r="N37" s="652">
        <v>27908</v>
      </c>
      <c r="O37" s="652">
        <v>145</v>
      </c>
      <c r="P37" s="652">
        <v>107189</v>
      </c>
      <c r="Q37" s="652">
        <v>0</v>
      </c>
      <c r="R37" s="652">
        <f t="shared" si="1"/>
        <v>135242</v>
      </c>
      <c r="S37" s="652"/>
      <c r="T37" s="652">
        <f t="shared" si="2"/>
        <v>19297</v>
      </c>
      <c r="U37" s="652">
        <v>50</v>
      </c>
      <c r="V37" s="652">
        <v>19347</v>
      </c>
      <c r="W37" s="654"/>
      <c r="X37" s="654"/>
      <c r="Y37" s="654"/>
      <c r="Z37" s="654"/>
      <c r="AA37" s="654"/>
      <c r="AB37" s="654"/>
      <c r="AC37" s="654"/>
      <c r="AD37" s="654"/>
      <c r="AE37" s="655"/>
      <c r="AF37" s="655"/>
      <c r="AG37" s="655"/>
      <c r="AH37" s="655"/>
      <c r="AI37" s="655"/>
      <c r="AJ37" s="655"/>
      <c r="AK37" s="655"/>
      <c r="AL37" s="655"/>
    </row>
    <row r="38" spans="1:38" x14ac:dyDescent="0.25">
      <c r="A38" s="653">
        <v>19005</v>
      </c>
      <c r="B38" s="651" t="s">
        <v>1252</v>
      </c>
      <c r="C38" s="675">
        <v>6.4300000000000002E-4</v>
      </c>
      <c r="D38" s="675">
        <v>6.6600000000000003E-4</v>
      </c>
      <c r="E38" s="680">
        <v>794049</v>
      </c>
      <c r="F38" s="651">
        <v>27964598</v>
      </c>
      <c r="G38" s="652">
        <v>21847962</v>
      </c>
      <c r="H38" s="652">
        <v>0</v>
      </c>
      <c r="I38" s="652">
        <v>0</v>
      </c>
      <c r="J38" s="652">
        <v>0</v>
      </c>
      <c r="K38" s="652">
        <v>988095</v>
      </c>
      <c r="L38" s="652">
        <f t="shared" si="0"/>
        <v>988095</v>
      </c>
      <c r="M38" s="652"/>
      <c r="N38" s="652">
        <v>1566539</v>
      </c>
      <c r="O38" s="652">
        <v>8120</v>
      </c>
      <c r="P38" s="652">
        <v>6016829</v>
      </c>
      <c r="Q38" s="652">
        <v>0</v>
      </c>
      <c r="R38" s="652">
        <f t="shared" si="1"/>
        <v>7591488</v>
      </c>
      <c r="S38" s="652"/>
      <c r="T38" s="652">
        <f t="shared" si="2"/>
        <v>1083187</v>
      </c>
      <c r="U38" s="652">
        <v>197619</v>
      </c>
      <c r="V38" s="652">
        <v>1280806</v>
      </c>
      <c r="W38" s="654"/>
      <c r="X38" s="654"/>
      <c r="Y38" s="654"/>
      <c r="Z38" s="654"/>
      <c r="AA38" s="654"/>
      <c r="AB38" s="654"/>
      <c r="AC38" s="654"/>
      <c r="AD38" s="654"/>
      <c r="AE38" s="655"/>
      <c r="AF38" s="655"/>
      <c r="AG38" s="655"/>
      <c r="AH38" s="655"/>
      <c r="AI38" s="655"/>
      <c r="AJ38" s="655"/>
      <c r="AK38" s="655"/>
      <c r="AL38" s="655"/>
    </row>
    <row r="39" spans="1:38" x14ac:dyDescent="0.25">
      <c r="A39" s="653">
        <v>19100</v>
      </c>
      <c r="B39" s="651" t="s">
        <v>1253</v>
      </c>
      <c r="C39" s="675">
        <v>5.7083000000000002E-2</v>
      </c>
      <c r="D39" s="675">
        <v>6.0919000000000001E-2</v>
      </c>
      <c r="E39" s="680">
        <v>60568822</v>
      </c>
      <c r="F39" s="651">
        <v>2483290054</v>
      </c>
      <c r="G39" s="652">
        <v>1997326196</v>
      </c>
      <c r="H39" s="652">
        <v>0</v>
      </c>
      <c r="I39" s="652">
        <v>0</v>
      </c>
      <c r="J39" s="652">
        <v>0</v>
      </c>
      <c r="K39" s="652">
        <v>141324590</v>
      </c>
      <c r="L39" s="652">
        <f t="shared" si="0"/>
        <v>141324590</v>
      </c>
      <c r="M39" s="652"/>
      <c r="N39" s="652">
        <v>143211962</v>
      </c>
      <c r="O39" s="652">
        <v>742293</v>
      </c>
      <c r="P39" s="652">
        <v>550054515</v>
      </c>
      <c r="Q39" s="652">
        <v>0</v>
      </c>
      <c r="R39" s="652">
        <f t="shared" si="1"/>
        <v>694008770</v>
      </c>
      <c r="S39" s="652"/>
      <c r="T39" s="652">
        <f t="shared" si="2"/>
        <v>99024227</v>
      </c>
      <c r="U39" s="652">
        <v>28264917</v>
      </c>
      <c r="V39" s="652">
        <v>127289144</v>
      </c>
      <c r="W39" s="654"/>
      <c r="X39" s="654"/>
      <c r="Y39" s="654"/>
      <c r="Z39" s="654"/>
      <c r="AA39" s="654"/>
      <c r="AB39" s="654"/>
      <c r="AC39" s="654"/>
      <c r="AD39" s="654"/>
      <c r="AE39" s="655"/>
      <c r="AF39" s="655"/>
      <c r="AG39" s="655"/>
      <c r="AH39" s="655"/>
      <c r="AI39" s="655"/>
      <c r="AJ39" s="655"/>
      <c r="AK39" s="655"/>
      <c r="AL39" s="655"/>
    </row>
    <row r="40" spans="1:38" x14ac:dyDescent="0.25">
      <c r="A40" s="653">
        <v>20100</v>
      </c>
      <c r="B40" s="651" t="s">
        <v>1254</v>
      </c>
      <c r="C40" s="675">
        <v>1.0803E-2</v>
      </c>
      <c r="D40" s="675">
        <v>9.6579999999999999E-3</v>
      </c>
      <c r="E40" s="680">
        <v>10028643</v>
      </c>
      <c r="F40" s="651">
        <v>469946641</v>
      </c>
      <c r="G40" s="652">
        <v>316660087</v>
      </c>
      <c r="H40" s="652">
        <v>0</v>
      </c>
      <c r="I40" s="652">
        <v>0</v>
      </c>
      <c r="J40" s="652">
        <v>0</v>
      </c>
      <c r="K40" s="652">
        <v>0</v>
      </c>
      <c r="L40" s="652">
        <f t="shared" si="0"/>
        <v>0</v>
      </c>
      <c r="M40" s="652"/>
      <c r="N40" s="652">
        <v>22705111</v>
      </c>
      <c r="O40" s="652">
        <v>117685</v>
      </c>
      <c r="P40" s="652">
        <v>87206742</v>
      </c>
      <c r="Q40" s="652">
        <v>40773225</v>
      </c>
      <c r="R40" s="652">
        <f t="shared" si="1"/>
        <v>150802763</v>
      </c>
      <c r="S40" s="652"/>
      <c r="T40" s="652">
        <f t="shared" si="2"/>
        <v>15699499</v>
      </c>
      <c r="U40" s="652">
        <v>-8154648</v>
      </c>
      <c r="V40" s="652">
        <v>7544851</v>
      </c>
      <c r="W40" s="654"/>
      <c r="X40" s="654"/>
      <c r="Y40" s="654"/>
      <c r="Z40" s="654"/>
      <c r="AA40" s="654"/>
      <c r="AB40" s="654"/>
      <c r="AC40" s="654"/>
      <c r="AD40" s="654"/>
      <c r="AE40" s="655"/>
      <c r="AF40" s="655"/>
      <c r="AG40" s="655"/>
      <c r="AH40" s="655"/>
      <c r="AI40" s="655"/>
      <c r="AJ40" s="655"/>
      <c r="AK40" s="655"/>
      <c r="AL40" s="655"/>
    </row>
    <row r="41" spans="1:38" x14ac:dyDescent="0.25">
      <c r="A41" s="653">
        <v>20200</v>
      </c>
      <c r="B41" s="651" t="s">
        <v>1255</v>
      </c>
      <c r="C41" s="675">
        <v>1.3979999999999999E-3</v>
      </c>
      <c r="D41" s="675">
        <v>1.358E-3</v>
      </c>
      <c r="E41" s="680">
        <v>1562359</v>
      </c>
      <c r="F41" s="651">
        <v>60834895</v>
      </c>
      <c r="G41" s="652">
        <v>44537750</v>
      </c>
      <c r="H41" s="652">
        <v>0</v>
      </c>
      <c r="I41" s="652">
        <v>0</v>
      </c>
      <c r="J41" s="652">
        <v>0</v>
      </c>
      <c r="K41" s="652">
        <v>0</v>
      </c>
      <c r="L41" s="652">
        <f t="shared" si="0"/>
        <v>0</v>
      </c>
      <c r="M41" s="652"/>
      <c r="N41" s="652">
        <v>3193439</v>
      </c>
      <c r="O41" s="652">
        <v>16552</v>
      </c>
      <c r="P41" s="652">
        <v>12265493</v>
      </c>
      <c r="Q41" s="652">
        <v>1222840</v>
      </c>
      <c r="R41" s="652">
        <f t="shared" si="1"/>
        <v>16698324</v>
      </c>
      <c r="S41" s="652"/>
      <c r="T41" s="652">
        <f t="shared" si="2"/>
        <v>2208110</v>
      </c>
      <c r="U41" s="652">
        <v>-244571</v>
      </c>
      <c r="V41" s="652">
        <v>1963539</v>
      </c>
      <c r="W41" s="654"/>
      <c r="X41" s="654"/>
      <c r="Y41" s="654"/>
      <c r="Z41" s="654"/>
      <c r="AA41" s="654"/>
      <c r="AB41" s="654"/>
      <c r="AC41" s="654"/>
      <c r="AD41" s="654"/>
      <c r="AE41" s="655"/>
      <c r="AF41" s="655"/>
      <c r="AG41" s="655"/>
      <c r="AH41" s="655"/>
      <c r="AI41" s="655"/>
      <c r="AJ41" s="655"/>
      <c r="AK41" s="655"/>
      <c r="AL41" s="655"/>
    </row>
    <row r="42" spans="1:38" x14ac:dyDescent="0.25">
      <c r="A42" s="653">
        <v>20300</v>
      </c>
      <c r="B42" s="651" t="s">
        <v>1256</v>
      </c>
      <c r="C42" s="675">
        <v>2.6137000000000001E-2</v>
      </c>
      <c r="D42" s="675">
        <v>2.2789E-2</v>
      </c>
      <c r="E42" s="680">
        <v>23204464</v>
      </c>
      <c r="F42" s="651">
        <v>1137036767</v>
      </c>
      <c r="G42" s="652">
        <v>747188074</v>
      </c>
      <c r="H42" s="652">
        <v>0</v>
      </c>
      <c r="I42" s="652">
        <v>0</v>
      </c>
      <c r="J42" s="652">
        <v>0</v>
      </c>
      <c r="K42" s="652">
        <v>0</v>
      </c>
      <c r="L42" s="652">
        <f t="shared" si="0"/>
        <v>0</v>
      </c>
      <c r="M42" s="652"/>
      <c r="N42" s="652">
        <v>53574759</v>
      </c>
      <c r="O42" s="652">
        <v>277687</v>
      </c>
      <c r="P42" s="652">
        <v>205772184</v>
      </c>
      <c r="Q42" s="652">
        <v>120053320</v>
      </c>
      <c r="R42" s="652">
        <f t="shared" si="1"/>
        <v>379677950</v>
      </c>
      <c r="S42" s="652"/>
      <c r="T42" s="652">
        <f t="shared" si="2"/>
        <v>37044385</v>
      </c>
      <c r="U42" s="652">
        <v>-24010664</v>
      </c>
      <c r="V42" s="652">
        <v>13033721</v>
      </c>
      <c r="W42" s="654"/>
      <c r="X42" s="654"/>
      <c r="Y42" s="654"/>
      <c r="Z42" s="654"/>
      <c r="AA42" s="654"/>
      <c r="AB42" s="654"/>
      <c r="AC42" s="654"/>
      <c r="AD42" s="654"/>
      <c r="AE42" s="655"/>
      <c r="AF42" s="655"/>
      <c r="AG42" s="655"/>
      <c r="AH42" s="655"/>
      <c r="AI42" s="655"/>
      <c r="AJ42" s="655"/>
      <c r="AK42" s="655"/>
      <c r="AL42" s="655"/>
    </row>
    <row r="43" spans="1:38" x14ac:dyDescent="0.25">
      <c r="A43" s="653">
        <v>20400</v>
      </c>
      <c r="B43" s="651" t="s">
        <v>1257</v>
      </c>
      <c r="C43" s="675">
        <v>1.273E-3</v>
      </c>
      <c r="D43" s="675">
        <v>1.1000000000000001E-3</v>
      </c>
      <c r="E43" s="680">
        <v>1224248</v>
      </c>
      <c r="F43" s="651">
        <v>55367077</v>
      </c>
      <c r="G43" s="652">
        <v>36078513</v>
      </c>
      <c r="H43" s="652">
        <v>0</v>
      </c>
      <c r="I43" s="652">
        <v>0</v>
      </c>
      <c r="J43" s="652">
        <v>0</v>
      </c>
      <c r="K43" s="652">
        <v>0</v>
      </c>
      <c r="L43" s="652">
        <f t="shared" si="0"/>
        <v>0</v>
      </c>
      <c r="M43" s="652"/>
      <c r="N43" s="652">
        <v>2586896</v>
      </c>
      <c r="O43" s="652">
        <v>13408</v>
      </c>
      <c r="P43" s="652">
        <v>9935858</v>
      </c>
      <c r="Q43" s="652">
        <v>6097391</v>
      </c>
      <c r="R43" s="652">
        <f t="shared" si="1"/>
        <v>18633553</v>
      </c>
      <c r="S43" s="652"/>
      <c r="T43" s="652">
        <f t="shared" si="2"/>
        <v>1788715</v>
      </c>
      <c r="U43" s="652">
        <v>-1219479</v>
      </c>
      <c r="V43" s="652">
        <v>569236</v>
      </c>
      <c r="W43" s="654"/>
      <c r="X43" s="654"/>
      <c r="Y43" s="654"/>
      <c r="Z43" s="654"/>
      <c r="AA43" s="654"/>
      <c r="AB43" s="654"/>
      <c r="AC43" s="654"/>
      <c r="AD43" s="654"/>
      <c r="AE43" s="655"/>
      <c r="AF43" s="655"/>
      <c r="AG43" s="655"/>
      <c r="AH43" s="655"/>
      <c r="AI43" s="655"/>
      <c r="AJ43" s="655"/>
      <c r="AK43" s="655"/>
      <c r="AL43" s="655"/>
    </row>
    <row r="44" spans="1:38" x14ac:dyDescent="0.25">
      <c r="A44" s="653">
        <v>20600</v>
      </c>
      <c r="B44" s="651" t="s">
        <v>1258</v>
      </c>
      <c r="C44" s="675">
        <v>2.8370000000000001E-3</v>
      </c>
      <c r="D44" s="675">
        <v>2.5929999999999998E-3</v>
      </c>
      <c r="E44" s="680">
        <v>2871469</v>
      </c>
      <c r="F44" s="651">
        <v>123409080</v>
      </c>
      <c r="G44" s="652">
        <v>85022391</v>
      </c>
      <c r="H44" s="652">
        <v>0</v>
      </c>
      <c r="I44" s="652">
        <v>0</v>
      </c>
      <c r="J44" s="652">
        <v>0</v>
      </c>
      <c r="K44" s="652">
        <v>0</v>
      </c>
      <c r="L44" s="652">
        <f t="shared" si="0"/>
        <v>0</v>
      </c>
      <c r="M44" s="652"/>
      <c r="N44" s="652">
        <v>6096262</v>
      </c>
      <c r="O44" s="652">
        <v>31598</v>
      </c>
      <c r="P44" s="652">
        <v>23414778</v>
      </c>
      <c r="Q44" s="652">
        <v>8489880</v>
      </c>
      <c r="R44" s="652">
        <f t="shared" si="1"/>
        <v>38032518</v>
      </c>
      <c r="S44" s="652"/>
      <c r="T44" s="652">
        <f t="shared" si="2"/>
        <v>4215274</v>
      </c>
      <c r="U44" s="652">
        <v>-1697975</v>
      </c>
      <c r="V44" s="652">
        <v>2517299</v>
      </c>
      <c r="W44" s="654"/>
      <c r="X44" s="654"/>
      <c r="Y44" s="654"/>
      <c r="Z44" s="654"/>
      <c r="AA44" s="654"/>
      <c r="AB44" s="654"/>
      <c r="AC44" s="654"/>
      <c r="AD44" s="654"/>
      <c r="AE44" s="655"/>
      <c r="AF44" s="655"/>
      <c r="AG44" s="655"/>
      <c r="AH44" s="655"/>
      <c r="AI44" s="655"/>
      <c r="AJ44" s="655"/>
      <c r="AK44" s="655"/>
      <c r="AL44" s="655"/>
    </row>
    <row r="45" spans="1:38" x14ac:dyDescent="0.25">
      <c r="A45" s="653">
        <v>20700</v>
      </c>
      <c r="B45" s="651" t="s">
        <v>1259</v>
      </c>
      <c r="C45" s="675">
        <v>6.2360000000000002E-3</v>
      </c>
      <c r="D45" s="675">
        <v>5.457E-3</v>
      </c>
      <c r="E45" s="680">
        <v>6185261</v>
      </c>
      <c r="F45" s="651">
        <v>271297256</v>
      </c>
      <c r="G45" s="652">
        <v>178919711</v>
      </c>
      <c r="H45" s="652">
        <v>0</v>
      </c>
      <c r="I45" s="652">
        <v>0</v>
      </c>
      <c r="J45" s="652">
        <v>0</v>
      </c>
      <c r="K45" s="652">
        <v>0</v>
      </c>
      <c r="L45" s="652">
        <f t="shared" si="0"/>
        <v>0</v>
      </c>
      <c r="M45" s="652"/>
      <c r="N45" s="652">
        <v>12828872</v>
      </c>
      <c r="O45" s="652">
        <v>66494</v>
      </c>
      <c r="P45" s="652">
        <v>49273671</v>
      </c>
      <c r="Q45" s="652">
        <v>27411495</v>
      </c>
      <c r="R45" s="652">
        <f t="shared" si="1"/>
        <v>89580532</v>
      </c>
      <c r="S45" s="652"/>
      <c r="T45" s="652">
        <f t="shared" si="2"/>
        <v>8870552</v>
      </c>
      <c r="U45" s="652">
        <v>-5482303</v>
      </c>
      <c r="V45" s="652">
        <v>3388249</v>
      </c>
      <c r="W45" s="654"/>
      <c r="X45" s="654"/>
      <c r="Y45" s="654"/>
      <c r="Z45" s="654"/>
      <c r="AA45" s="654"/>
      <c r="AB45" s="654"/>
      <c r="AC45" s="654"/>
      <c r="AD45" s="654"/>
      <c r="AE45" s="655"/>
      <c r="AF45" s="655"/>
      <c r="AG45" s="655"/>
      <c r="AH45" s="655"/>
      <c r="AI45" s="655"/>
      <c r="AJ45" s="655"/>
      <c r="AK45" s="655"/>
      <c r="AL45" s="655"/>
    </row>
    <row r="46" spans="1:38" x14ac:dyDescent="0.25">
      <c r="A46" s="653">
        <v>20800</v>
      </c>
      <c r="B46" s="651" t="s">
        <v>1260</v>
      </c>
      <c r="C46" s="675">
        <v>4.921E-3</v>
      </c>
      <c r="D46" s="675">
        <v>4.3790000000000001E-3</v>
      </c>
      <c r="E46" s="680">
        <v>4710210</v>
      </c>
      <c r="F46" s="651">
        <v>214061520</v>
      </c>
      <c r="G46" s="652">
        <v>143564788</v>
      </c>
      <c r="H46" s="652">
        <v>0</v>
      </c>
      <c r="I46" s="652">
        <v>0</v>
      </c>
      <c r="J46" s="652">
        <v>0</v>
      </c>
      <c r="K46" s="652">
        <v>0</v>
      </c>
      <c r="L46" s="652">
        <f t="shared" si="0"/>
        <v>0</v>
      </c>
      <c r="M46" s="652"/>
      <c r="N46" s="652">
        <v>10293859</v>
      </c>
      <c r="O46" s="652">
        <v>53355</v>
      </c>
      <c r="P46" s="652">
        <v>39537087</v>
      </c>
      <c r="Q46" s="652">
        <v>19183275</v>
      </c>
      <c r="R46" s="652">
        <f t="shared" si="1"/>
        <v>69067576</v>
      </c>
      <c r="S46" s="652"/>
      <c r="T46" s="652">
        <f t="shared" si="2"/>
        <v>7117712</v>
      </c>
      <c r="U46" s="652">
        <v>-3836657</v>
      </c>
      <c r="V46" s="652">
        <v>3281055</v>
      </c>
      <c r="W46" s="654"/>
      <c r="X46" s="654"/>
      <c r="Y46" s="654"/>
      <c r="Z46" s="654"/>
      <c r="AA46" s="654"/>
      <c r="AB46" s="654"/>
      <c r="AC46" s="654"/>
      <c r="AD46" s="654"/>
      <c r="AE46" s="655"/>
      <c r="AF46" s="655"/>
      <c r="AG46" s="655"/>
      <c r="AH46" s="655"/>
      <c r="AI46" s="655"/>
      <c r="AJ46" s="655"/>
      <c r="AK46" s="655"/>
      <c r="AL46" s="655"/>
    </row>
    <row r="47" spans="1:38" x14ac:dyDescent="0.25">
      <c r="A47" s="653">
        <v>20900</v>
      </c>
      <c r="B47" s="651" t="s">
        <v>1261</v>
      </c>
      <c r="C47" s="675">
        <v>1.0137999999999999E-2</v>
      </c>
      <c r="D47" s="675">
        <v>8.9479999999999994E-3</v>
      </c>
      <c r="E47" s="680">
        <v>9568368</v>
      </c>
      <c r="F47" s="651">
        <v>441056660</v>
      </c>
      <c r="G47" s="652">
        <v>293363921</v>
      </c>
      <c r="H47" s="652">
        <v>0</v>
      </c>
      <c r="I47" s="652">
        <v>0</v>
      </c>
      <c r="J47" s="652">
        <v>0</v>
      </c>
      <c r="K47" s="652">
        <v>0</v>
      </c>
      <c r="L47" s="652">
        <f t="shared" si="0"/>
        <v>0</v>
      </c>
      <c r="M47" s="652"/>
      <c r="N47" s="652">
        <v>21034733</v>
      </c>
      <c r="O47" s="652">
        <v>109027</v>
      </c>
      <c r="P47" s="652">
        <v>80791085</v>
      </c>
      <c r="Q47" s="652">
        <v>42278370</v>
      </c>
      <c r="R47" s="652">
        <f t="shared" si="1"/>
        <v>144213215</v>
      </c>
      <c r="S47" s="652"/>
      <c r="T47" s="652">
        <f t="shared" si="2"/>
        <v>14544512</v>
      </c>
      <c r="U47" s="652">
        <v>-8455670</v>
      </c>
      <c r="V47" s="652">
        <v>6088842</v>
      </c>
      <c r="W47" s="654"/>
      <c r="X47" s="654"/>
      <c r="Y47" s="654"/>
      <c r="Z47" s="654"/>
      <c r="AA47" s="654"/>
      <c r="AB47" s="654"/>
      <c r="AC47" s="654"/>
      <c r="AD47" s="654"/>
      <c r="AE47" s="655"/>
      <c r="AF47" s="655"/>
      <c r="AG47" s="655"/>
      <c r="AH47" s="655"/>
      <c r="AI47" s="655"/>
      <c r="AJ47" s="655"/>
      <c r="AK47" s="655"/>
      <c r="AL47" s="655"/>
    </row>
    <row r="48" spans="1:38" x14ac:dyDescent="0.25">
      <c r="A48" s="653">
        <v>21200</v>
      </c>
      <c r="B48" s="651" t="s">
        <v>1262</v>
      </c>
      <c r="C48" s="675">
        <v>3.3210000000000002E-3</v>
      </c>
      <c r="D48" s="675">
        <v>2.8519999999999999E-3</v>
      </c>
      <c r="E48" s="680">
        <v>2901634</v>
      </c>
      <c r="F48" s="651">
        <v>144479386</v>
      </c>
      <c r="G48" s="652">
        <v>93510444</v>
      </c>
      <c r="H48" s="652">
        <v>0</v>
      </c>
      <c r="I48" s="652">
        <v>0</v>
      </c>
      <c r="J48" s="652">
        <v>0</v>
      </c>
      <c r="K48" s="652">
        <v>0</v>
      </c>
      <c r="L48" s="652">
        <f t="shared" si="0"/>
        <v>0</v>
      </c>
      <c r="M48" s="652"/>
      <c r="N48" s="652">
        <v>6704871</v>
      </c>
      <c r="O48" s="652">
        <v>34753</v>
      </c>
      <c r="P48" s="652">
        <v>25752349</v>
      </c>
      <c r="Q48" s="652">
        <v>16842865</v>
      </c>
      <c r="R48" s="652">
        <f t="shared" si="1"/>
        <v>49334838</v>
      </c>
      <c r="S48" s="652"/>
      <c r="T48" s="652">
        <f t="shared" si="2"/>
        <v>4636098</v>
      </c>
      <c r="U48" s="652">
        <v>-3368568</v>
      </c>
      <c r="V48" s="652">
        <v>1267530</v>
      </c>
      <c r="W48" s="654"/>
      <c r="X48" s="654"/>
      <c r="Y48" s="654"/>
      <c r="Z48" s="654"/>
      <c r="AA48" s="654"/>
      <c r="AB48" s="654"/>
      <c r="AC48" s="654"/>
      <c r="AD48" s="654"/>
      <c r="AE48" s="655"/>
      <c r="AF48" s="655"/>
      <c r="AG48" s="655"/>
      <c r="AH48" s="655"/>
      <c r="AI48" s="655"/>
      <c r="AJ48" s="655"/>
      <c r="AK48" s="655"/>
      <c r="AL48" s="655"/>
    </row>
    <row r="49" spans="1:38" x14ac:dyDescent="0.25">
      <c r="A49" s="653">
        <v>21300</v>
      </c>
      <c r="B49" s="651" t="s">
        <v>1263</v>
      </c>
      <c r="C49" s="675">
        <v>3.9766999999999997E-2</v>
      </c>
      <c r="D49" s="675">
        <v>3.5423000000000003E-2</v>
      </c>
      <c r="E49" s="680">
        <v>36269435</v>
      </c>
      <c r="F49" s="651">
        <v>1730002793</v>
      </c>
      <c r="G49" s="652">
        <v>1161399772</v>
      </c>
      <c r="H49" s="652">
        <v>0</v>
      </c>
      <c r="I49" s="652">
        <v>0</v>
      </c>
      <c r="J49" s="652">
        <v>0</v>
      </c>
      <c r="K49" s="652">
        <v>0</v>
      </c>
      <c r="L49" s="652">
        <f t="shared" si="0"/>
        <v>0</v>
      </c>
      <c r="M49" s="652"/>
      <c r="N49" s="652">
        <v>83274500</v>
      </c>
      <c r="O49" s="652">
        <v>431626</v>
      </c>
      <c r="P49" s="652">
        <v>319844195</v>
      </c>
      <c r="Q49" s="652">
        <v>155303000</v>
      </c>
      <c r="R49" s="652">
        <f t="shared" si="1"/>
        <v>558853321</v>
      </c>
      <c r="S49" s="652"/>
      <c r="T49" s="652">
        <f t="shared" si="2"/>
        <v>57580336</v>
      </c>
      <c r="U49" s="652">
        <v>-31060601</v>
      </c>
      <c r="V49" s="652">
        <v>26519735</v>
      </c>
      <c r="W49" s="654"/>
      <c r="X49" s="654"/>
      <c r="Y49" s="654"/>
      <c r="Z49" s="654"/>
      <c r="AA49" s="654"/>
      <c r="AB49" s="654"/>
      <c r="AC49" s="654"/>
      <c r="AD49" s="654"/>
      <c r="AE49" s="655"/>
      <c r="AF49" s="655"/>
      <c r="AG49" s="655"/>
      <c r="AH49" s="655"/>
      <c r="AI49" s="655"/>
      <c r="AJ49" s="655"/>
      <c r="AK49" s="655"/>
      <c r="AL49" s="655"/>
    </row>
    <row r="50" spans="1:38" x14ac:dyDescent="0.25">
      <c r="A50" s="653">
        <v>21520</v>
      </c>
      <c r="B50" s="651" t="s">
        <v>836</v>
      </c>
      <c r="C50" s="675">
        <v>7.2484000000000007E-2</v>
      </c>
      <c r="D50" s="675">
        <v>6.3606999999999997E-2</v>
      </c>
      <c r="E50" s="680">
        <v>64376483</v>
      </c>
      <c r="F50" s="651">
        <v>3153294783</v>
      </c>
      <c r="G50" s="652">
        <v>2085455588</v>
      </c>
      <c r="H50" s="652">
        <v>0</v>
      </c>
      <c r="I50" s="652">
        <v>0</v>
      </c>
      <c r="J50" s="652">
        <v>0</v>
      </c>
      <c r="K50" s="652">
        <v>0</v>
      </c>
      <c r="L50" s="652">
        <f t="shared" si="0"/>
        <v>0</v>
      </c>
      <c r="M50" s="652"/>
      <c r="N50" s="652">
        <v>149531002</v>
      </c>
      <c r="O50" s="652">
        <v>775045</v>
      </c>
      <c r="P50" s="652">
        <v>574324948</v>
      </c>
      <c r="Q50" s="652">
        <v>318521045</v>
      </c>
      <c r="R50" s="652">
        <f t="shared" si="1"/>
        <v>1043152040</v>
      </c>
      <c r="S50" s="652"/>
      <c r="T50" s="652">
        <f t="shared" si="2"/>
        <v>103393541</v>
      </c>
      <c r="U50" s="652">
        <v>-63704212</v>
      </c>
      <c r="V50" s="652">
        <v>39689329</v>
      </c>
      <c r="W50" s="654"/>
      <c r="X50" s="654"/>
      <c r="Y50" s="654"/>
      <c r="Z50" s="654"/>
      <c r="AA50" s="654"/>
      <c r="AB50" s="654"/>
      <c r="AC50" s="654"/>
      <c r="AD50" s="654"/>
      <c r="AE50" s="655"/>
      <c r="AF50" s="655"/>
      <c r="AG50" s="655"/>
      <c r="AH50" s="655"/>
      <c r="AI50" s="655"/>
      <c r="AJ50" s="655"/>
      <c r="AK50" s="655"/>
      <c r="AL50" s="655"/>
    </row>
    <row r="51" spans="1:38" x14ac:dyDescent="0.25">
      <c r="A51" s="653">
        <v>21525</v>
      </c>
      <c r="B51" s="651" t="s">
        <v>1264</v>
      </c>
      <c r="C51" s="675">
        <v>1.755E-3</v>
      </c>
      <c r="D51" s="675">
        <v>1.67E-3</v>
      </c>
      <c r="E51" s="680">
        <v>1853481</v>
      </c>
      <c r="F51" s="651">
        <v>76362188</v>
      </c>
      <c r="G51" s="652">
        <v>54765104</v>
      </c>
      <c r="H51" s="652">
        <v>0</v>
      </c>
      <c r="I51" s="652">
        <v>0</v>
      </c>
      <c r="J51" s="652">
        <v>0</v>
      </c>
      <c r="K51" s="652">
        <v>0</v>
      </c>
      <c r="L51" s="652">
        <f t="shared" si="0"/>
        <v>0</v>
      </c>
      <c r="M51" s="652"/>
      <c r="N51" s="652">
        <v>3926759</v>
      </c>
      <c r="O51" s="652">
        <v>20353</v>
      </c>
      <c r="P51" s="652">
        <v>15082060</v>
      </c>
      <c r="Q51" s="652">
        <v>3010915</v>
      </c>
      <c r="R51" s="652">
        <f t="shared" si="1"/>
        <v>22040087</v>
      </c>
      <c r="S51" s="652"/>
      <c r="T51" s="652">
        <f t="shared" si="2"/>
        <v>2715166</v>
      </c>
      <c r="U51" s="652">
        <v>-602180</v>
      </c>
      <c r="V51" s="652">
        <v>2112986</v>
      </c>
      <c r="W51" s="654"/>
      <c r="X51" s="654"/>
      <c r="Y51" s="654"/>
      <c r="Z51" s="654"/>
      <c r="AA51" s="654"/>
      <c r="AB51" s="654"/>
      <c r="AC51" s="654"/>
      <c r="AD51" s="654"/>
      <c r="AE51" s="655"/>
      <c r="AF51" s="655"/>
      <c r="AG51" s="655"/>
      <c r="AH51" s="655"/>
      <c r="AI51" s="655"/>
      <c r="AJ51" s="655"/>
      <c r="AK51" s="655"/>
      <c r="AL51" s="655"/>
    </row>
    <row r="52" spans="1:38" s="724" customFormat="1" ht="26.25" x14ac:dyDescent="0.25">
      <c r="A52" s="656">
        <v>21525.1</v>
      </c>
      <c r="B52" s="657" t="s">
        <v>1265</v>
      </c>
      <c r="C52" s="720">
        <v>9.7E-5</v>
      </c>
      <c r="D52" s="720">
        <v>1.17E-4</v>
      </c>
      <c r="E52" s="721">
        <v>0</v>
      </c>
      <c r="F52" s="657">
        <v>4212555</v>
      </c>
      <c r="G52" s="658">
        <v>3829724</v>
      </c>
      <c r="H52" s="658">
        <v>0</v>
      </c>
      <c r="I52" s="658">
        <v>0</v>
      </c>
      <c r="J52" s="658">
        <v>0</v>
      </c>
      <c r="K52" s="658">
        <v>784590</v>
      </c>
      <c r="L52" s="658">
        <f t="shared" si="0"/>
        <v>784590</v>
      </c>
      <c r="M52" s="658"/>
      <c r="N52" s="658">
        <v>274598</v>
      </c>
      <c r="O52" s="658">
        <v>1423</v>
      </c>
      <c r="P52" s="658">
        <v>1054688</v>
      </c>
      <c r="Q52" s="658">
        <v>0</v>
      </c>
      <c r="R52" s="658">
        <f t="shared" si="1"/>
        <v>1330709</v>
      </c>
      <c r="S52" s="658"/>
      <c r="T52" s="658">
        <f t="shared" si="2"/>
        <v>189872</v>
      </c>
      <c r="U52" s="658">
        <v>156916</v>
      </c>
      <c r="V52" s="658">
        <v>346788</v>
      </c>
      <c r="W52" s="722"/>
      <c r="X52" s="722"/>
      <c r="Y52" s="722"/>
      <c r="Z52" s="722"/>
      <c r="AA52" s="722"/>
      <c r="AB52" s="722"/>
      <c r="AC52" s="722"/>
      <c r="AD52" s="722"/>
      <c r="AE52" s="723"/>
      <c r="AF52" s="723"/>
      <c r="AG52" s="723"/>
      <c r="AH52" s="723"/>
      <c r="AI52" s="723"/>
      <c r="AJ52" s="723"/>
      <c r="AK52" s="723"/>
      <c r="AL52" s="723"/>
    </row>
    <row r="53" spans="1:38" x14ac:dyDescent="0.25">
      <c r="A53" s="653">
        <v>21550</v>
      </c>
      <c r="B53" s="651" t="s">
        <v>1266</v>
      </c>
      <c r="C53" s="675">
        <v>3.9174E-2</v>
      </c>
      <c r="D53" s="675">
        <v>3.8648000000000002E-2</v>
      </c>
      <c r="E53" s="680">
        <v>35423392</v>
      </c>
      <c r="F53" s="651">
        <v>1704201125</v>
      </c>
      <c r="G53" s="652">
        <v>1267142058</v>
      </c>
      <c r="H53" s="652">
        <v>0</v>
      </c>
      <c r="I53" s="652">
        <v>0</v>
      </c>
      <c r="J53" s="652">
        <v>0</v>
      </c>
      <c r="K53" s="652">
        <v>0</v>
      </c>
      <c r="L53" s="652">
        <f t="shared" si="0"/>
        <v>0</v>
      </c>
      <c r="M53" s="652"/>
      <c r="N53" s="652">
        <v>90856416</v>
      </c>
      <c r="O53" s="652">
        <v>470925</v>
      </c>
      <c r="P53" s="652">
        <v>348965138</v>
      </c>
      <c r="Q53" s="652">
        <v>20138385</v>
      </c>
      <c r="R53" s="652">
        <f t="shared" si="1"/>
        <v>460430864</v>
      </c>
      <c r="S53" s="652"/>
      <c r="T53" s="652">
        <f t="shared" si="2"/>
        <v>62822869</v>
      </c>
      <c r="U53" s="652">
        <v>-4027680</v>
      </c>
      <c r="V53" s="652">
        <v>58795189</v>
      </c>
      <c r="W53" s="654"/>
      <c r="X53" s="654"/>
      <c r="Y53" s="654"/>
      <c r="Z53" s="654"/>
      <c r="AA53" s="654"/>
      <c r="AB53" s="654"/>
      <c r="AC53" s="654"/>
      <c r="AD53" s="654"/>
      <c r="AE53" s="655"/>
      <c r="AF53" s="655"/>
      <c r="AG53" s="655"/>
      <c r="AH53" s="655"/>
      <c r="AI53" s="655"/>
      <c r="AJ53" s="655"/>
      <c r="AK53" s="655"/>
      <c r="AL53" s="655"/>
    </row>
    <row r="54" spans="1:38" x14ac:dyDescent="0.25">
      <c r="A54" s="653">
        <v>21570</v>
      </c>
      <c r="B54" s="651" t="s">
        <v>1267</v>
      </c>
      <c r="C54" s="675">
        <v>1.5699999999999999E-4</v>
      </c>
      <c r="D54" s="675">
        <v>1.64E-4</v>
      </c>
      <c r="E54" s="680">
        <v>180756</v>
      </c>
      <c r="F54" s="651">
        <v>6846056</v>
      </c>
      <c r="G54" s="652">
        <v>5376185</v>
      </c>
      <c r="H54" s="652">
        <v>0</v>
      </c>
      <c r="I54" s="652">
        <v>0</v>
      </c>
      <c r="J54" s="652">
        <v>0</v>
      </c>
      <c r="K54" s="652">
        <v>260335</v>
      </c>
      <c r="L54" s="652">
        <f t="shared" si="0"/>
        <v>260335</v>
      </c>
      <c r="M54" s="652"/>
      <c r="N54" s="652">
        <v>385482</v>
      </c>
      <c r="O54" s="652">
        <v>1998</v>
      </c>
      <c r="P54" s="652">
        <v>1480577</v>
      </c>
      <c r="Q54" s="652">
        <v>0</v>
      </c>
      <c r="R54" s="652">
        <f t="shared" si="1"/>
        <v>1868057</v>
      </c>
      <c r="S54" s="652"/>
      <c r="T54" s="652">
        <f t="shared" si="2"/>
        <v>266543</v>
      </c>
      <c r="U54" s="652">
        <v>52065</v>
      </c>
      <c r="V54" s="652">
        <v>318608</v>
      </c>
      <c r="W54" s="654"/>
      <c r="X54" s="654"/>
      <c r="Y54" s="654"/>
      <c r="Z54" s="654"/>
      <c r="AA54" s="654"/>
      <c r="AB54" s="654"/>
      <c r="AC54" s="654"/>
      <c r="AD54" s="654"/>
      <c r="AE54" s="655"/>
      <c r="AF54" s="655"/>
      <c r="AG54" s="655"/>
      <c r="AH54" s="655"/>
      <c r="AI54" s="655"/>
      <c r="AJ54" s="655"/>
      <c r="AK54" s="655"/>
      <c r="AL54" s="655"/>
    </row>
    <row r="55" spans="1:38" x14ac:dyDescent="0.25">
      <c r="A55" s="653">
        <v>21800</v>
      </c>
      <c r="B55" s="651" t="s">
        <v>1268</v>
      </c>
      <c r="C55" s="675">
        <v>5.8609999999999999E-3</v>
      </c>
      <c r="D55" s="675">
        <v>5.2030000000000002E-3</v>
      </c>
      <c r="E55" s="680">
        <v>5298730</v>
      </c>
      <c r="F55" s="651">
        <v>254977835</v>
      </c>
      <c r="G55" s="652">
        <v>170592206</v>
      </c>
      <c r="H55" s="652">
        <v>0</v>
      </c>
      <c r="I55" s="652">
        <v>0</v>
      </c>
      <c r="J55" s="652">
        <v>0</v>
      </c>
      <c r="K55" s="652">
        <v>0</v>
      </c>
      <c r="L55" s="652">
        <f t="shared" si="0"/>
        <v>0</v>
      </c>
      <c r="M55" s="652"/>
      <c r="N55" s="652">
        <v>12231775</v>
      </c>
      <c r="O55" s="652">
        <v>63399</v>
      </c>
      <c r="P55" s="652">
        <v>46980315</v>
      </c>
      <c r="Q55" s="652">
        <v>23557585</v>
      </c>
      <c r="R55" s="652">
        <f t="shared" si="1"/>
        <v>82833074</v>
      </c>
      <c r="S55" s="652"/>
      <c r="T55" s="652">
        <f t="shared" si="2"/>
        <v>8457688</v>
      </c>
      <c r="U55" s="652">
        <v>-4711513</v>
      </c>
      <c r="V55" s="652">
        <v>3746175</v>
      </c>
      <c r="W55" s="654"/>
      <c r="X55" s="654"/>
      <c r="Y55" s="654"/>
      <c r="Z55" s="654"/>
      <c r="AA55" s="654"/>
      <c r="AB55" s="654"/>
      <c r="AC55" s="654"/>
      <c r="AD55" s="654"/>
      <c r="AE55" s="655"/>
      <c r="AF55" s="655"/>
      <c r="AG55" s="655"/>
      <c r="AH55" s="655"/>
      <c r="AI55" s="655"/>
      <c r="AJ55" s="655"/>
      <c r="AK55" s="655"/>
      <c r="AL55" s="655"/>
    </row>
    <row r="56" spans="1:38" x14ac:dyDescent="0.25">
      <c r="A56" s="653">
        <v>21900</v>
      </c>
      <c r="B56" s="651" t="s">
        <v>1269</v>
      </c>
      <c r="C56" s="675">
        <v>3.3760000000000001E-3</v>
      </c>
      <c r="D56" s="675">
        <v>3.0309999999999998E-3</v>
      </c>
      <c r="E56" s="680">
        <v>3263663</v>
      </c>
      <c r="F56" s="651">
        <v>146863084</v>
      </c>
      <c r="G56" s="652">
        <v>99363488</v>
      </c>
      <c r="H56" s="652">
        <v>0</v>
      </c>
      <c r="I56" s="652">
        <v>0</v>
      </c>
      <c r="J56" s="652">
        <v>0</v>
      </c>
      <c r="K56" s="652">
        <v>0</v>
      </c>
      <c r="L56" s="652">
        <f t="shared" si="0"/>
        <v>0</v>
      </c>
      <c r="M56" s="652"/>
      <c r="N56" s="652">
        <v>7124545</v>
      </c>
      <c r="O56" s="652">
        <v>36928</v>
      </c>
      <c r="P56" s="652">
        <v>27364251</v>
      </c>
      <c r="Q56" s="652">
        <v>12197075</v>
      </c>
      <c r="R56" s="652">
        <f t="shared" si="1"/>
        <v>46722799</v>
      </c>
      <c r="S56" s="652"/>
      <c r="T56" s="652">
        <f t="shared" si="2"/>
        <v>4926282</v>
      </c>
      <c r="U56" s="652">
        <v>-2439417</v>
      </c>
      <c r="V56" s="652">
        <v>2486865</v>
      </c>
      <c r="W56" s="654"/>
      <c r="X56" s="654"/>
      <c r="Y56" s="654"/>
      <c r="Z56" s="654"/>
      <c r="AA56" s="654"/>
      <c r="AB56" s="654"/>
      <c r="AC56" s="654"/>
      <c r="AD56" s="654"/>
      <c r="AE56" s="655"/>
      <c r="AF56" s="655"/>
      <c r="AG56" s="655"/>
      <c r="AH56" s="655"/>
      <c r="AI56" s="655"/>
      <c r="AJ56" s="655"/>
      <c r="AK56" s="655"/>
      <c r="AL56" s="655"/>
    </row>
    <row r="57" spans="1:38" x14ac:dyDescent="0.25">
      <c r="A57" s="653">
        <v>22000</v>
      </c>
      <c r="B57" s="651" t="s">
        <v>1270</v>
      </c>
      <c r="C57" s="675">
        <v>3.3170000000000001E-3</v>
      </c>
      <c r="D57" s="675">
        <v>3.2520000000000001E-3</v>
      </c>
      <c r="E57" s="680">
        <v>3751531</v>
      </c>
      <c r="F57" s="651">
        <v>144310612</v>
      </c>
      <c r="G57" s="652">
        <v>106617885</v>
      </c>
      <c r="H57" s="652">
        <v>0</v>
      </c>
      <c r="I57" s="652">
        <v>0</v>
      </c>
      <c r="J57" s="652">
        <v>0</v>
      </c>
      <c r="K57" s="652">
        <v>0</v>
      </c>
      <c r="L57" s="652">
        <f t="shared" si="0"/>
        <v>0</v>
      </c>
      <c r="M57" s="652"/>
      <c r="N57" s="652">
        <v>7644698</v>
      </c>
      <c r="O57" s="652">
        <v>39624</v>
      </c>
      <c r="P57" s="652">
        <v>29362079</v>
      </c>
      <c r="Q57" s="652">
        <v>1817280</v>
      </c>
      <c r="R57" s="652">
        <f t="shared" si="1"/>
        <v>38863681</v>
      </c>
      <c r="S57" s="652"/>
      <c r="T57" s="652">
        <f t="shared" si="2"/>
        <v>5285944</v>
      </c>
      <c r="U57" s="652">
        <v>-363459</v>
      </c>
      <c r="V57" s="652">
        <v>4922485</v>
      </c>
      <c r="W57" s="654"/>
      <c r="X57" s="654"/>
      <c r="Y57" s="654"/>
      <c r="Z57" s="654"/>
      <c r="AA57" s="654"/>
      <c r="AB57" s="654"/>
      <c r="AC57" s="654"/>
      <c r="AD57" s="654"/>
      <c r="AE57" s="655"/>
      <c r="AF57" s="655"/>
      <c r="AG57" s="655"/>
      <c r="AH57" s="655"/>
      <c r="AI57" s="655"/>
      <c r="AJ57" s="655"/>
      <c r="AK57" s="655"/>
      <c r="AL57" s="655"/>
    </row>
    <row r="58" spans="1:38" x14ac:dyDescent="0.25">
      <c r="A58" s="653">
        <v>23000</v>
      </c>
      <c r="B58" s="651" t="s">
        <v>1271</v>
      </c>
      <c r="C58" s="675">
        <v>2.5509999999999999E-3</v>
      </c>
      <c r="D58" s="675">
        <v>2.3779999999999999E-3</v>
      </c>
      <c r="E58" s="680">
        <v>2431323</v>
      </c>
      <c r="F58" s="651">
        <v>110965161</v>
      </c>
      <c r="G58" s="652">
        <v>77954552</v>
      </c>
      <c r="H58" s="652">
        <v>0</v>
      </c>
      <c r="I58" s="652">
        <v>0</v>
      </c>
      <c r="J58" s="652">
        <v>0</v>
      </c>
      <c r="K58" s="652">
        <v>0</v>
      </c>
      <c r="L58" s="652">
        <f t="shared" si="0"/>
        <v>0</v>
      </c>
      <c r="M58" s="652"/>
      <c r="N58" s="652">
        <v>5589485</v>
      </c>
      <c r="O58" s="652">
        <v>28971</v>
      </c>
      <c r="P58" s="652">
        <v>21468328</v>
      </c>
      <c r="Q58" s="652">
        <v>6131135</v>
      </c>
      <c r="R58" s="652">
        <f t="shared" si="1"/>
        <v>33217919</v>
      </c>
      <c r="S58" s="652"/>
      <c r="T58" s="652">
        <f t="shared" si="2"/>
        <v>3864862</v>
      </c>
      <c r="U58" s="652">
        <v>-1226229</v>
      </c>
      <c r="V58" s="652">
        <v>2638633</v>
      </c>
      <c r="W58" s="654"/>
      <c r="X58" s="654"/>
      <c r="Y58" s="654"/>
      <c r="Z58" s="654"/>
      <c r="AA58" s="654"/>
      <c r="AB58" s="654"/>
      <c r="AC58" s="654"/>
      <c r="AD58" s="654"/>
      <c r="AE58" s="655"/>
      <c r="AF58" s="655"/>
      <c r="AG58" s="655"/>
      <c r="AH58" s="655"/>
      <c r="AI58" s="655"/>
      <c r="AJ58" s="655"/>
      <c r="AK58" s="655"/>
      <c r="AL58" s="655"/>
    </row>
    <row r="59" spans="1:38" x14ac:dyDescent="0.25">
      <c r="A59" s="653">
        <v>23100</v>
      </c>
      <c r="B59" s="651" t="s">
        <v>1272</v>
      </c>
      <c r="C59" s="675">
        <v>1.4788000000000001E-2</v>
      </c>
      <c r="D59" s="675">
        <v>1.3759E-2</v>
      </c>
      <c r="E59" s="680">
        <v>14193190</v>
      </c>
      <c r="F59" s="651">
        <v>643326249</v>
      </c>
      <c r="G59" s="652">
        <v>451110687</v>
      </c>
      <c r="H59" s="652">
        <v>0</v>
      </c>
      <c r="I59" s="652">
        <v>0</v>
      </c>
      <c r="J59" s="652">
        <v>0</v>
      </c>
      <c r="K59" s="652">
        <v>0</v>
      </c>
      <c r="L59" s="652">
        <f t="shared" si="0"/>
        <v>0</v>
      </c>
      <c r="M59" s="652"/>
      <c r="N59" s="652">
        <v>32345466</v>
      </c>
      <c r="O59" s="652">
        <v>167652</v>
      </c>
      <c r="P59" s="652">
        <v>124233824</v>
      </c>
      <c r="Q59" s="652">
        <v>36367310</v>
      </c>
      <c r="R59" s="652">
        <f t="shared" si="1"/>
        <v>193114252</v>
      </c>
      <c r="S59" s="652"/>
      <c r="T59" s="652">
        <f t="shared" si="2"/>
        <v>22365344</v>
      </c>
      <c r="U59" s="652">
        <v>-7273464</v>
      </c>
      <c r="V59" s="652">
        <v>15091880</v>
      </c>
      <c r="W59" s="654"/>
      <c r="X59" s="654"/>
      <c r="Y59" s="654"/>
      <c r="Z59" s="654"/>
      <c r="AA59" s="654"/>
      <c r="AB59" s="654"/>
      <c r="AC59" s="654"/>
      <c r="AD59" s="654"/>
      <c r="AE59" s="655"/>
      <c r="AF59" s="655"/>
      <c r="AG59" s="655"/>
      <c r="AH59" s="655"/>
      <c r="AI59" s="655"/>
      <c r="AJ59" s="655"/>
      <c r="AK59" s="655"/>
      <c r="AL59" s="655"/>
    </row>
    <row r="60" spans="1:38" x14ac:dyDescent="0.25">
      <c r="A60" s="653">
        <v>23200</v>
      </c>
      <c r="B60" s="651" t="s">
        <v>1273</v>
      </c>
      <c r="C60" s="675">
        <v>7.7949999999999998E-3</v>
      </c>
      <c r="D60" s="675">
        <v>7.0270000000000003E-3</v>
      </c>
      <c r="E60" s="680">
        <v>6479303</v>
      </c>
      <c r="F60" s="651">
        <v>339091357</v>
      </c>
      <c r="G60" s="652">
        <v>230381927</v>
      </c>
      <c r="H60" s="652">
        <v>0</v>
      </c>
      <c r="I60" s="652">
        <v>0</v>
      </c>
      <c r="J60" s="652">
        <v>0</v>
      </c>
      <c r="K60" s="652">
        <v>0</v>
      </c>
      <c r="L60" s="652">
        <f t="shared" si="0"/>
        <v>0</v>
      </c>
      <c r="M60" s="652"/>
      <c r="N60" s="652">
        <v>16518808</v>
      </c>
      <c r="O60" s="652">
        <v>85620</v>
      </c>
      <c r="P60" s="652">
        <v>63446131</v>
      </c>
      <c r="Q60" s="652">
        <v>28001280</v>
      </c>
      <c r="R60" s="652">
        <f t="shared" si="1"/>
        <v>108051839</v>
      </c>
      <c r="S60" s="652"/>
      <c r="T60" s="652">
        <f t="shared" si="2"/>
        <v>11421966</v>
      </c>
      <c r="U60" s="652">
        <v>-5600255</v>
      </c>
      <c r="V60" s="652">
        <v>5821711</v>
      </c>
      <c r="W60" s="654"/>
      <c r="X60" s="654"/>
      <c r="Y60" s="654"/>
      <c r="Z60" s="654"/>
      <c r="AA60" s="654"/>
      <c r="AB60" s="654"/>
      <c r="AC60" s="654"/>
      <c r="AD60" s="654"/>
      <c r="AE60" s="655"/>
      <c r="AF60" s="655"/>
      <c r="AG60" s="655"/>
      <c r="AH60" s="655"/>
      <c r="AI60" s="655"/>
      <c r="AJ60" s="655"/>
      <c r="AK60" s="655"/>
      <c r="AL60" s="655"/>
    </row>
    <row r="61" spans="1:38" x14ac:dyDescent="0.25">
      <c r="A61" s="653">
        <v>30000</v>
      </c>
      <c r="B61" s="651" t="s">
        <v>1274</v>
      </c>
      <c r="C61" s="675">
        <v>8.7399999999999999E-4</v>
      </c>
      <c r="D61" s="675">
        <v>9.0300000000000005E-4</v>
      </c>
      <c r="E61" s="680">
        <v>806446</v>
      </c>
      <c r="F61" s="651">
        <v>38027979</v>
      </c>
      <c r="G61" s="652">
        <v>29604942</v>
      </c>
      <c r="H61" s="652">
        <v>0</v>
      </c>
      <c r="I61" s="652">
        <v>0</v>
      </c>
      <c r="J61" s="652">
        <v>0</v>
      </c>
      <c r="K61" s="652">
        <v>1002035</v>
      </c>
      <c r="L61" s="652">
        <f t="shared" si="0"/>
        <v>1002035</v>
      </c>
      <c r="M61" s="652"/>
      <c r="N61" s="652">
        <v>2122729</v>
      </c>
      <c r="O61" s="652">
        <v>11002</v>
      </c>
      <c r="P61" s="652">
        <v>8153066</v>
      </c>
      <c r="Q61" s="652">
        <v>0</v>
      </c>
      <c r="R61" s="652">
        <f t="shared" si="1"/>
        <v>10286797</v>
      </c>
      <c r="S61" s="652"/>
      <c r="T61" s="652">
        <f t="shared" si="2"/>
        <v>1467766</v>
      </c>
      <c r="U61" s="652">
        <v>200406</v>
      </c>
      <c r="V61" s="652">
        <v>1668172</v>
      </c>
      <c r="W61" s="654"/>
      <c r="X61" s="654"/>
      <c r="Y61" s="654"/>
      <c r="Z61" s="654"/>
      <c r="AA61" s="654"/>
      <c r="AB61" s="654"/>
      <c r="AC61" s="654"/>
      <c r="AD61" s="654"/>
      <c r="AE61" s="655"/>
      <c r="AF61" s="655"/>
      <c r="AG61" s="655"/>
      <c r="AH61" s="655"/>
      <c r="AI61" s="655"/>
      <c r="AJ61" s="655"/>
      <c r="AK61" s="655"/>
      <c r="AL61" s="655"/>
    </row>
    <row r="62" spans="1:38" x14ac:dyDescent="0.25">
      <c r="A62" s="653">
        <v>30100</v>
      </c>
      <c r="B62" s="651" t="s">
        <v>1275</v>
      </c>
      <c r="C62" s="675">
        <v>7.7279999999999996E-3</v>
      </c>
      <c r="D62" s="675">
        <v>7.8659999999999997E-3</v>
      </c>
      <c r="E62" s="680">
        <v>6665138</v>
      </c>
      <c r="F62" s="651">
        <v>336184984</v>
      </c>
      <c r="G62" s="652">
        <v>257905302</v>
      </c>
      <c r="H62" s="652">
        <v>0</v>
      </c>
      <c r="I62" s="652">
        <v>0</v>
      </c>
      <c r="J62" s="652">
        <v>0</v>
      </c>
      <c r="K62" s="652">
        <v>4344170</v>
      </c>
      <c r="L62" s="652">
        <f t="shared" si="0"/>
        <v>4344170</v>
      </c>
      <c r="M62" s="652"/>
      <c r="N62" s="652">
        <v>18492285</v>
      </c>
      <c r="O62" s="652">
        <v>95849</v>
      </c>
      <c r="P62" s="652">
        <v>71025943</v>
      </c>
      <c r="Q62" s="652">
        <v>0</v>
      </c>
      <c r="R62" s="652">
        <f t="shared" si="1"/>
        <v>89614077</v>
      </c>
      <c r="S62" s="652"/>
      <c r="T62" s="652">
        <f t="shared" si="2"/>
        <v>12786531</v>
      </c>
      <c r="U62" s="652">
        <v>868831</v>
      </c>
      <c r="V62" s="652">
        <v>13655362</v>
      </c>
      <c r="W62" s="654"/>
      <c r="X62" s="654"/>
      <c r="Y62" s="654"/>
      <c r="Z62" s="654"/>
      <c r="AA62" s="654"/>
      <c r="AB62" s="654"/>
      <c r="AC62" s="654"/>
      <c r="AD62" s="654"/>
      <c r="AE62" s="655"/>
      <c r="AF62" s="655"/>
      <c r="AG62" s="655"/>
      <c r="AH62" s="655"/>
      <c r="AI62" s="655"/>
      <c r="AJ62" s="655"/>
      <c r="AK62" s="655"/>
      <c r="AL62" s="655"/>
    </row>
    <row r="63" spans="1:38" x14ac:dyDescent="0.25">
      <c r="A63" s="653">
        <v>30102</v>
      </c>
      <c r="B63" s="651" t="s">
        <v>1276</v>
      </c>
      <c r="C63" s="675">
        <v>1.44E-4</v>
      </c>
      <c r="D63" s="675">
        <v>1.46E-4</v>
      </c>
      <c r="E63" s="680">
        <v>118573</v>
      </c>
      <c r="F63" s="651">
        <v>6275645</v>
      </c>
      <c r="G63" s="652">
        <v>4797110</v>
      </c>
      <c r="H63" s="652">
        <v>0</v>
      </c>
      <c r="I63" s="652">
        <v>0</v>
      </c>
      <c r="J63" s="652">
        <v>0</v>
      </c>
      <c r="K63" s="652">
        <v>57545</v>
      </c>
      <c r="L63" s="652">
        <f t="shared" si="0"/>
        <v>57545</v>
      </c>
      <c r="M63" s="652"/>
      <c r="N63" s="652">
        <v>343962</v>
      </c>
      <c r="O63" s="652">
        <v>1783</v>
      </c>
      <c r="P63" s="652">
        <v>1321102</v>
      </c>
      <c r="Q63" s="652">
        <v>0</v>
      </c>
      <c r="R63" s="652">
        <f t="shared" si="1"/>
        <v>1666847</v>
      </c>
      <c r="S63" s="652"/>
      <c r="T63" s="652">
        <f t="shared" si="2"/>
        <v>237833</v>
      </c>
      <c r="U63" s="652">
        <v>11507</v>
      </c>
      <c r="V63" s="652">
        <v>249340</v>
      </c>
      <c r="W63" s="654"/>
      <c r="X63" s="654"/>
      <c r="Y63" s="654"/>
      <c r="Z63" s="654"/>
      <c r="AA63" s="654"/>
      <c r="AB63" s="654"/>
      <c r="AC63" s="654"/>
      <c r="AD63" s="654"/>
      <c r="AE63" s="655"/>
      <c r="AF63" s="655"/>
      <c r="AG63" s="655"/>
      <c r="AH63" s="655"/>
      <c r="AI63" s="655"/>
      <c r="AJ63" s="655"/>
      <c r="AK63" s="655"/>
      <c r="AL63" s="655"/>
    </row>
    <row r="64" spans="1:38" x14ac:dyDescent="0.25">
      <c r="A64" s="653">
        <v>30103</v>
      </c>
      <c r="B64" s="651" t="s">
        <v>1277</v>
      </c>
      <c r="C64" s="675">
        <v>1.65E-4</v>
      </c>
      <c r="D64" s="675">
        <v>1.9699999999999999E-4</v>
      </c>
      <c r="E64" s="680">
        <v>157470</v>
      </c>
      <c r="F64" s="651">
        <v>7180309</v>
      </c>
      <c r="G64" s="652">
        <v>6459441</v>
      </c>
      <c r="H64" s="652">
        <v>0</v>
      </c>
      <c r="I64" s="652">
        <v>0</v>
      </c>
      <c r="J64" s="652">
        <v>0</v>
      </c>
      <c r="K64" s="652">
        <v>1134010</v>
      </c>
      <c r="L64" s="652">
        <f t="shared" si="0"/>
        <v>1134010</v>
      </c>
      <c r="M64" s="652"/>
      <c r="N64" s="652">
        <v>463154</v>
      </c>
      <c r="O64" s="652">
        <v>2401</v>
      </c>
      <c r="P64" s="652">
        <v>1778901</v>
      </c>
      <c r="Q64" s="652">
        <v>0</v>
      </c>
      <c r="R64" s="652">
        <f t="shared" si="1"/>
        <v>2244456</v>
      </c>
      <c r="S64" s="652"/>
      <c r="T64" s="652">
        <f t="shared" si="2"/>
        <v>320249</v>
      </c>
      <c r="U64" s="652">
        <v>226798</v>
      </c>
      <c r="V64" s="652">
        <v>547047</v>
      </c>
      <c r="W64" s="654"/>
      <c r="X64" s="654"/>
      <c r="Y64" s="654"/>
      <c r="Z64" s="654"/>
      <c r="AA64" s="654"/>
      <c r="AB64" s="654"/>
      <c r="AC64" s="654"/>
      <c r="AD64" s="654"/>
      <c r="AE64" s="655"/>
      <c r="AF64" s="655"/>
      <c r="AG64" s="655"/>
      <c r="AH64" s="655"/>
      <c r="AI64" s="655"/>
      <c r="AJ64" s="655"/>
      <c r="AK64" s="655"/>
      <c r="AL64" s="655"/>
    </row>
    <row r="65" spans="1:38" x14ac:dyDescent="0.25">
      <c r="A65" s="653">
        <v>30104</v>
      </c>
      <c r="B65" s="651" t="s">
        <v>1278</v>
      </c>
      <c r="C65" s="675">
        <v>1.05E-4</v>
      </c>
      <c r="D65" s="675">
        <v>1.17E-4</v>
      </c>
      <c r="E65" s="680">
        <v>80744</v>
      </c>
      <c r="F65" s="651">
        <v>4578588</v>
      </c>
      <c r="G65" s="652">
        <v>3834837</v>
      </c>
      <c r="H65" s="652">
        <v>0</v>
      </c>
      <c r="I65" s="652">
        <v>0</v>
      </c>
      <c r="J65" s="652">
        <v>0</v>
      </c>
      <c r="K65" s="652">
        <v>399460</v>
      </c>
      <c r="L65" s="652">
        <f t="shared" si="0"/>
        <v>399460</v>
      </c>
      <c r="M65" s="652"/>
      <c r="N65" s="652">
        <v>274965</v>
      </c>
      <c r="O65" s="652">
        <v>1425</v>
      </c>
      <c r="P65" s="652">
        <v>1056097</v>
      </c>
      <c r="Q65" s="652">
        <v>0</v>
      </c>
      <c r="R65" s="652">
        <f t="shared" si="1"/>
        <v>1332487</v>
      </c>
      <c r="S65" s="652"/>
      <c r="T65" s="652">
        <f t="shared" si="2"/>
        <v>190125</v>
      </c>
      <c r="U65" s="652">
        <v>79895</v>
      </c>
      <c r="V65" s="652">
        <v>270020</v>
      </c>
      <c r="W65" s="654"/>
      <c r="X65" s="654"/>
      <c r="Y65" s="654"/>
      <c r="Z65" s="654"/>
      <c r="AA65" s="654"/>
      <c r="AB65" s="654"/>
      <c r="AC65" s="654"/>
      <c r="AD65" s="654"/>
      <c r="AE65" s="655"/>
      <c r="AF65" s="655"/>
      <c r="AG65" s="655"/>
      <c r="AH65" s="655"/>
      <c r="AI65" s="655"/>
      <c r="AJ65" s="655"/>
      <c r="AK65" s="655"/>
      <c r="AL65" s="655"/>
    </row>
    <row r="66" spans="1:38" x14ac:dyDescent="0.25">
      <c r="A66" s="653">
        <v>30105</v>
      </c>
      <c r="B66" s="651" t="s">
        <v>1279</v>
      </c>
      <c r="C66" s="675">
        <v>7.1699999999999997E-4</v>
      </c>
      <c r="D66" s="675">
        <v>7.3099999999999999E-4</v>
      </c>
      <c r="E66" s="680">
        <v>798462</v>
      </c>
      <c r="F66" s="651">
        <v>31176776</v>
      </c>
      <c r="G66" s="652">
        <v>23973545</v>
      </c>
      <c r="H66" s="652">
        <v>0</v>
      </c>
      <c r="I66" s="652">
        <v>0</v>
      </c>
      <c r="J66" s="652">
        <v>0</v>
      </c>
      <c r="K66" s="652">
        <v>613935</v>
      </c>
      <c r="L66" s="652">
        <f t="shared" si="0"/>
        <v>613935</v>
      </c>
      <c r="M66" s="652"/>
      <c r="N66" s="652">
        <v>1718947</v>
      </c>
      <c r="O66" s="652">
        <v>8910</v>
      </c>
      <c r="P66" s="652">
        <v>6602205</v>
      </c>
      <c r="Q66" s="652">
        <v>0</v>
      </c>
      <c r="R66" s="652">
        <f t="shared" si="1"/>
        <v>8330062</v>
      </c>
      <c r="S66" s="652"/>
      <c r="T66" s="652">
        <f t="shared" si="2"/>
        <v>1188570</v>
      </c>
      <c r="U66" s="652">
        <v>122789</v>
      </c>
      <c r="V66" s="652">
        <v>1311359</v>
      </c>
      <c r="W66" s="654"/>
      <c r="X66" s="654"/>
      <c r="Y66" s="654"/>
      <c r="Z66" s="654"/>
      <c r="AA66" s="654"/>
      <c r="AB66" s="654"/>
      <c r="AC66" s="654"/>
      <c r="AD66" s="654"/>
      <c r="AE66" s="655"/>
      <c r="AF66" s="655"/>
      <c r="AG66" s="655"/>
      <c r="AH66" s="655"/>
      <c r="AI66" s="655"/>
      <c r="AJ66" s="655"/>
      <c r="AK66" s="655"/>
      <c r="AL66" s="655"/>
    </row>
    <row r="67" spans="1:38" x14ac:dyDescent="0.25">
      <c r="A67" s="653">
        <v>30200</v>
      </c>
      <c r="B67" s="651" t="s">
        <v>1280</v>
      </c>
      <c r="C67" s="675">
        <v>1.699E-3</v>
      </c>
      <c r="D67" s="675">
        <v>1.799E-3</v>
      </c>
      <c r="E67" s="680">
        <v>1598287</v>
      </c>
      <c r="F67" s="651">
        <v>73894467</v>
      </c>
      <c r="G67" s="652">
        <v>58993316</v>
      </c>
      <c r="H67" s="652">
        <v>0</v>
      </c>
      <c r="I67" s="652">
        <v>0</v>
      </c>
      <c r="J67" s="652">
        <v>0</v>
      </c>
      <c r="K67" s="652">
        <v>3558905</v>
      </c>
      <c r="L67" s="652">
        <f t="shared" si="0"/>
        <v>3558905</v>
      </c>
      <c r="M67" s="652"/>
      <c r="N67" s="652">
        <v>4229929</v>
      </c>
      <c r="O67" s="652">
        <v>21924</v>
      </c>
      <c r="P67" s="652">
        <v>16246490</v>
      </c>
      <c r="Q67" s="652">
        <v>0</v>
      </c>
      <c r="R67" s="652">
        <f t="shared" si="1"/>
        <v>20498343</v>
      </c>
      <c r="S67" s="652"/>
      <c r="T67" s="652">
        <f t="shared" si="2"/>
        <v>2924794</v>
      </c>
      <c r="U67" s="652">
        <v>711780</v>
      </c>
      <c r="V67" s="652">
        <v>3636574</v>
      </c>
      <c r="W67" s="654"/>
      <c r="X67" s="654"/>
      <c r="Y67" s="654"/>
      <c r="Z67" s="654"/>
      <c r="AA67" s="654"/>
      <c r="AB67" s="654"/>
      <c r="AC67" s="654"/>
      <c r="AD67" s="654"/>
      <c r="AE67" s="655"/>
      <c r="AF67" s="655"/>
      <c r="AG67" s="655"/>
      <c r="AH67" s="655"/>
      <c r="AI67" s="655"/>
      <c r="AJ67" s="655"/>
      <c r="AK67" s="655"/>
      <c r="AL67" s="655"/>
    </row>
    <row r="68" spans="1:38" x14ac:dyDescent="0.25">
      <c r="A68" s="653">
        <v>30300</v>
      </c>
      <c r="B68" s="651" t="s">
        <v>1281</v>
      </c>
      <c r="C68" s="675">
        <v>5.8200000000000005E-4</v>
      </c>
      <c r="D68" s="675">
        <v>5.6899999999999995E-4</v>
      </c>
      <c r="E68" s="680">
        <v>529442</v>
      </c>
      <c r="F68" s="651">
        <v>25325691</v>
      </c>
      <c r="G68" s="652">
        <v>18666048</v>
      </c>
      <c r="H68" s="652">
        <v>0</v>
      </c>
      <c r="I68" s="652">
        <v>0</v>
      </c>
      <c r="J68" s="652">
        <v>0</v>
      </c>
      <c r="K68" s="652">
        <v>0</v>
      </c>
      <c r="L68" s="652">
        <f t="shared" si="0"/>
        <v>0</v>
      </c>
      <c r="M68" s="652"/>
      <c r="N68" s="652">
        <v>1338390</v>
      </c>
      <c r="O68" s="652">
        <v>6937</v>
      </c>
      <c r="P68" s="652">
        <v>5140544</v>
      </c>
      <c r="Q68" s="652">
        <v>474800</v>
      </c>
      <c r="R68" s="652">
        <f t="shared" si="1"/>
        <v>6960671</v>
      </c>
      <c r="S68" s="652"/>
      <c r="T68" s="652">
        <f t="shared" si="2"/>
        <v>925433</v>
      </c>
      <c r="U68" s="652">
        <v>-94962</v>
      </c>
      <c r="V68" s="652">
        <v>830471</v>
      </c>
      <c r="W68" s="654"/>
      <c r="X68" s="654"/>
      <c r="Y68" s="654"/>
      <c r="Z68" s="654"/>
      <c r="AA68" s="654"/>
      <c r="AB68" s="654"/>
      <c r="AC68" s="654"/>
      <c r="AD68" s="654"/>
      <c r="AE68" s="655"/>
      <c r="AF68" s="655"/>
      <c r="AG68" s="655"/>
      <c r="AH68" s="655"/>
      <c r="AI68" s="655"/>
      <c r="AJ68" s="655"/>
      <c r="AK68" s="655"/>
      <c r="AL68" s="655"/>
    </row>
    <row r="69" spans="1:38" x14ac:dyDescent="0.25">
      <c r="A69" s="653">
        <v>30400</v>
      </c>
      <c r="B69" s="651" t="s">
        <v>1282</v>
      </c>
      <c r="C69" s="675">
        <v>1.072E-3</v>
      </c>
      <c r="D69" s="675">
        <v>1.08E-3</v>
      </c>
      <c r="E69" s="680">
        <v>1077886</v>
      </c>
      <c r="F69" s="651">
        <v>46640606</v>
      </c>
      <c r="G69" s="652">
        <v>35396207</v>
      </c>
      <c r="H69" s="652">
        <v>0</v>
      </c>
      <c r="I69" s="652">
        <v>0</v>
      </c>
      <c r="J69" s="652">
        <v>0</v>
      </c>
      <c r="K69" s="652">
        <v>314735</v>
      </c>
      <c r="L69" s="652">
        <f t="shared" si="0"/>
        <v>314735</v>
      </c>
      <c r="M69" s="652"/>
      <c r="N69" s="652">
        <v>2537973</v>
      </c>
      <c r="O69" s="652">
        <v>13155</v>
      </c>
      <c r="P69" s="652">
        <v>9747954</v>
      </c>
      <c r="Q69" s="652">
        <v>0</v>
      </c>
      <c r="R69" s="652">
        <f t="shared" si="1"/>
        <v>12299082</v>
      </c>
      <c r="S69" s="652"/>
      <c r="T69" s="652">
        <f t="shared" si="2"/>
        <v>1754887</v>
      </c>
      <c r="U69" s="652">
        <v>62947</v>
      </c>
      <c r="V69" s="652">
        <v>1817834</v>
      </c>
      <c r="W69" s="654"/>
      <c r="X69" s="654"/>
      <c r="Y69" s="654"/>
      <c r="Z69" s="654"/>
      <c r="AA69" s="654"/>
      <c r="AB69" s="654"/>
      <c r="AC69" s="654"/>
      <c r="AD69" s="654"/>
      <c r="AE69" s="655"/>
      <c r="AF69" s="655"/>
      <c r="AG69" s="655"/>
      <c r="AH69" s="655"/>
      <c r="AI69" s="655"/>
      <c r="AJ69" s="655"/>
      <c r="AK69" s="655"/>
      <c r="AL69" s="655"/>
    </row>
    <row r="70" spans="1:38" x14ac:dyDescent="0.25">
      <c r="A70" s="653">
        <v>30405</v>
      </c>
      <c r="B70" s="651" t="s">
        <v>1283</v>
      </c>
      <c r="C70" s="675">
        <v>7.4399999999999998E-4</v>
      </c>
      <c r="D70" s="675">
        <v>6.9300000000000004E-4</v>
      </c>
      <c r="E70" s="680">
        <v>674737</v>
      </c>
      <c r="F70" s="651">
        <v>32358660</v>
      </c>
      <c r="G70" s="652">
        <v>22715152</v>
      </c>
      <c r="H70" s="652">
        <v>0</v>
      </c>
      <c r="I70" s="652">
        <v>0</v>
      </c>
      <c r="J70" s="652">
        <v>0</v>
      </c>
      <c r="K70" s="652">
        <v>0</v>
      </c>
      <c r="L70" s="652">
        <f t="shared" si="0"/>
        <v>0</v>
      </c>
      <c r="M70" s="652"/>
      <c r="N70" s="652">
        <v>1628718</v>
      </c>
      <c r="O70" s="652">
        <v>8442</v>
      </c>
      <c r="P70" s="652">
        <v>6255649</v>
      </c>
      <c r="Q70" s="652">
        <v>1835120</v>
      </c>
      <c r="R70" s="652">
        <f t="shared" si="1"/>
        <v>9727929</v>
      </c>
      <c r="S70" s="652"/>
      <c r="T70" s="652">
        <f t="shared" si="2"/>
        <v>1126181</v>
      </c>
      <c r="U70" s="652">
        <v>-367022</v>
      </c>
      <c r="V70" s="652">
        <v>759159</v>
      </c>
      <c r="W70" s="654"/>
      <c r="X70" s="654"/>
      <c r="Y70" s="654"/>
      <c r="Z70" s="654"/>
      <c r="AA70" s="654"/>
      <c r="AB70" s="654"/>
      <c r="AC70" s="654"/>
      <c r="AD70" s="654"/>
      <c r="AE70" s="655"/>
      <c r="AF70" s="655"/>
      <c r="AG70" s="655"/>
      <c r="AH70" s="655"/>
      <c r="AI70" s="655"/>
      <c r="AJ70" s="655"/>
      <c r="AK70" s="655"/>
      <c r="AL70" s="655"/>
    </row>
    <row r="71" spans="1:38" x14ac:dyDescent="0.25">
      <c r="A71" s="653">
        <v>30500</v>
      </c>
      <c r="B71" s="651" t="s">
        <v>1284</v>
      </c>
      <c r="C71" s="675">
        <v>1.1299999999999999E-3</v>
      </c>
      <c r="D71" s="675">
        <v>1.1609999999999999E-3</v>
      </c>
      <c r="E71" s="680">
        <v>1059216</v>
      </c>
      <c r="F71" s="651">
        <v>49174198</v>
      </c>
      <c r="G71" s="652">
        <v>38072097</v>
      </c>
      <c r="H71" s="652">
        <v>0</v>
      </c>
      <c r="I71" s="652">
        <v>0</v>
      </c>
      <c r="J71" s="652">
        <v>0</v>
      </c>
      <c r="K71" s="652">
        <v>1082030</v>
      </c>
      <c r="L71" s="652">
        <f t="shared" si="0"/>
        <v>1082030</v>
      </c>
      <c r="M71" s="652"/>
      <c r="N71" s="652">
        <v>2729839</v>
      </c>
      <c r="O71" s="652">
        <v>14149</v>
      </c>
      <c r="P71" s="652">
        <v>10484882</v>
      </c>
      <c r="Q71" s="652">
        <v>0</v>
      </c>
      <c r="R71" s="652">
        <f t="shared" si="1"/>
        <v>13228870</v>
      </c>
      <c r="S71" s="652"/>
      <c r="T71" s="652">
        <f t="shared" si="2"/>
        <v>1887553</v>
      </c>
      <c r="U71" s="652">
        <v>216401</v>
      </c>
      <c r="V71" s="652">
        <v>2103954</v>
      </c>
      <c r="W71" s="654"/>
      <c r="X71" s="654"/>
      <c r="Y71" s="654"/>
      <c r="Z71" s="654"/>
      <c r="AA71" s="654"/>
      <c r="AB71" s="654"/>
      <c r="AC71" s="654"/>
      <c r="AD71" s="654"/>
      <c r="AE71" s="655"/>
      <c r="AF71" s="655"/>
      <c r="AG71" s="655"/>
      <c r="AH71" s="655"/>
      <c r="AI71" s="655"/>
      <c r="AJ71" s="655"/>
      <c r="AK71" s="655"/>
      <c r="AL71" s="655"/>
    </row>
    <row r="72" spans="1:38" x14ac:dyDescent="0.25">
      <c r="A72" s="653">
        <v>30600</v>
      </c>
      <c r="B72" s="651" t="s">
        <v>1285</v>
      </c>
      <c r="C72" s="675">
        <v>8.8099999999999995E-4</v>
      </c>
      <c r="D72" s="675">
        <v>9.0499999999999999E-4</v>
      </c>
      <c r="E72" s="680">
        <v>828995</v>
      </c>
      <c r="F72" s="651">
        <v>38311527</v>
      </c>
      <c r="G72" s="652">
        <v>29656746</v>
      </c>
      <c r="H72" s="652">
        <v>0</v>
      </c>
      <c r="I72" s="652">
        <v>0</v>
      </c>
      <c r="J72" s="652">
        <v>0</v>
      </c>
      <c r="K72" s="652">
        <v>840565</v>
      </c>
      <c r="L72" s="652">
        <f t="shared" ref="L72:L135" si="3">SUM(H72:K72)</f>
        <v>840565</v>
      </c>
      <c r="M72" s="652"/>
      <c r="N72" s="652">
        <v>2126443</v>
      </c>
      <c r="O72" s="652">
        <v>11022</v>
      </c>
      <c r="P72" s="652">
        <v>8167332</v>
      </c>
      <c r="Q72" s="652">
        <v>0</v>
      </c>
      <c r="R72" s="652">
        <f t="shared" ref="R72:R135" si="4">SUM(N72:Q72)</f>
        <v>10304797</v>
      </c>
      <c r="S72" s="652"/>
      <c r="T72" s="652">
        <f t="shared" ref="T72:T135" si="5">V72-U72</f>
        <v>1470334</v>
      </c>
      <c r="U72" s="652">
        <v>168112</v>
      </c>
      <c r="V72" s="652">
        <v>1638446</v>
      </c>
      <c r="W72" s="654"/>
      <c r="X72" s="654"/>
      <c r="Y72" s="654"/>
      <c r="Z72" s="654"/>
      <c r="AA72" s="654"/>
      <c r="AB72" s="654"/>
      <c r="AC72" s="654"/>
      <c r="AD72" s="654"/>
      <c r="AE72" s="655"/>
      <c r="AF72" s="655"/>
      <c r="AG72" s="655"/>
      <c r="AH72" s="655"/>
      <c r="AI72" s="655"/>
      <c r="AJ72" s="655"/>
      <c r="AK72" s="655"/>
      <c r="AL72" s="655"/>
    </row>
    <row r="73" spans="1:38" x14ac:dyDescent="0.25">
      <c r="A73" s="653">
        <v>30601</v>
      </c>
      <c r="B73" s="651" t="s">
        <v>1286</v>
      </c>
      <c r="C73" s="675">
        <v>2.1999999999999999E-5</v>
      </c>
      <c r="D73" s="675">
        <v>1.8E-5</v>
      </c>
      <c r="E73" s="680">
        <v>17785</v>
      </c>
      <c r="F73" s="651">
        <v>960125</v>
      </c>
      <c r="G73" s="652">
        <v>598900</v>
      </c>
      <c r="H73" s="652">
        <v>0</v>
      </c>
      <c r="I73" s="652">
        <v>0</v>
      </c>
      <c r="J73" s="652">
        <v>0</v>
      </c>
      <c r="K73" s="652">
        <v>0</v>
      </c>
      <c r="L73" s="652">
        <f t="shared" si="3"/>
        <v>0</v>
      </c>
      <c r="M73" s="652"/>
      <c r="N73" s="652">
        <v>42942</v>
      </c>
      <c r="O73" s="652">
        <v>223</v>
      </c>
      <c r="P73" s="652">
        <v>164934</v>
      </c>
      <c r="Q73" s="652">
        <v>137530</v>
      </c>
      <c r="R73" s="652">
        <f t="shared" si="4"/>
        <v>345629</v>
      </c>
      <c r="S73" s="652"/>
      <c r="T73" s="652">
        <f t="shared" si="5"/>
        <v>29692</v>
      </c>
      <c r="U73" s="652">
        <v>-27503</v>
      </c>
      <c r="V73" s="652">
        <v>2189</v>
      </c>
      <c r="W73" s="654"/>
      <c r="X73" s="654"/>
      <c r="Y73" s="654"/>
      <c r="Z73" s="654"/>
      <c r="AA73" s="654"/>
      <c r="AB73" s="654"/>
      <c r="AC73" s="654"/>
      <c r="AD73" s="654"/>
      <c r="AE73" s="655"/>
      <c r="AF73" s="655"/>
      <c r="AG73" s="655"/>
      <c r="AH73" s="655"/>
      <c r="AI73" s="655"/>
      <c r="AJ73" s="655"/>
      <c r="AK73" s="655"/>
      <c r="AL73" s="655"/>
    </row>
    <row r="74" spans="1:38" hidden="1" x14ac:dyDescent="0.25">
      <c r="A74" s="653">
        <v>30700</v>
      </c>
      <c r="B74" s="651" t="s">
        <v>1287</v>
      </c>
      <c r="C74" s="675">
        <v>2.2550000000000001E-3</v>
      </c>
      <c r="D74" s="675">
        <v>2.3219999999999998E-3</v>
      </c>
      <c r="E74" s="680">
        <v>2150295</v>
      </c>
      <c r="F74" s="651">
        <v>98112662</v>
      </c>
      <c r="G74" s="652">
        <v>76141522</v>
      </c>
      <c r="H74" s="652">
        <v>0</v>
      </c>
      <c r="I74" s="652">
        <v>0</v>
      </c>
      <c r="J74" s="652">
        <v>0</v>
      </c>
      <c r="K74" s="652">
        <v>2384160</v>
      </c>
      <c r="L74" s="652">
        <f t="shared" si="3"/>
        <v>2384160</v>
      </c>
      <c r="M74" s="652"/>
      <c r="N74" s="652">
        <v>5459487</v>
      </c>
      <c r="O74" s="652">
        <v>28297</v>
      </c>
      <c r="P74" s="652">
        <v>20969028</v>
      </c>
      <c r="Q74" s="652">
        <v>0</v>
      </c>
      <c r="R74" s="652">
        <f t="shared" si="4"/>
        <v>26456812</v>
      </c>
      <c r="S74" s="652"/>
      <c r="T74" s="652">
        <f t="shared" si="5"/>
        <v>3774974</v>
      </c>
      <c r="U74" s="652">
        <v>476833</v>
      </c>
      <c r="V74" s="652">
        <v>4251807</v>
      </c>
      <c r="W74" s="654"/>
      <c r="X74" s="654"/>
      <c r="Y74" s="654"/>
      <c r="Z74" s="654"/>
      <c r="AA74" s="654"/>
      <c r="AB74" s="654"/>
      <c r="AC74" s="654"/>
      <c r="AD74" s="654"/>
      <c r="AE74" s="655"/>
      <c r="AF74" s="655"/>
      <c r="AG74" s="655"/>
      <c r="AH74" s="655"/>
      <c r="AI74" s="655"/>
      <c r="AJ74" s="655"/>
      <c r="AK74" s="655"/>
      <c r="AL74" s="655"/>
    </row>
    <row r="75" spans="1:38" hidden="1" x14ac:dyDescent="0.25">
      <c r="A75" s="653">
        <v>30705</v>
      </c>
      <c r="B75" s="651" t="s">
        <v>1288</v>
      </c>
      <c r="C75" s="675">
        <v>4.4799999999999999E-4</v>
      </c>
      <c r="D75" s="675">
        <v>4.1100000000000002E-4</v>
      </c>
      <c r="E75" s="680">
        <v>421344</v>
      </c>
      <c r="F75" s="651">
        <v>19502706</v>
      </c>
      <c r="G75" s="652">
        <v>13460453</v>
      </c>
      <c r="H75" s="652">
        <v>0</v>
      </c>
      <c r="I75" s="652">
        <v>0</v>
      </c>
      <c r="J75" s="652">
        <v>0</v>
      </c>
      <c r="K75" s="652">
        <v>0</v>
      </c>
      <c r="L75" s="652">
        <f t="shared" si="3"/>
        <v>0</v>
      </c>
      <c r="M75" s="652"/>
      <c r="N75" s="652">
        <v>965139</v>
      </c>
      <c r="O75" s="652">
        <v>5002</v>
      </c>
      <c r="P75" s="652">
        <v>3706947</v>
      </c>
      <c r="Q75" s="652">
        <v>1342640</v>
      </c>
      <c r="R75" s="652">
        <f t="shared" si="4"/>
        <v>6019728</v>
      </c>
      <c r="S75" s="652"/>
      <c r="T75" s="652">
        <f t="shared" si="5"/>
        <v>667348</v>
      </c>
      <c r="U75" s="652">
        <v>-268528</v>
      </c>
      <c r="V75" s="652">
        <v>398820</v>
      </c>
      <c r="W75" s="654"/>
      <c r="X75" s="654"/>
      <c r="Y75" s="654"/>
      <c r="Z75" s="654"/>
      <c r="AA75" s="654"/>
      <c r="AB75" s="654"/>
      <c r="AC75" s="654"/>
      <c r="AD75" s="654"/>
      <c r="AE75" s="655"/>
      <c r="AF75" s="655"/>
      <c r="AG75" s="655"/>
      <c r="AH75" s="655"/>
      <c r="AI75" s="655"/>
      <c r="AJ75" s="655"/>
      <c r="AK75" s="655"/>
      <c r="AL75" s="655"/>
    </row>
    <row r="76" spans="1:38" hidden="1" x14ac:dyDescent="0.25">
      <c r="A76" s="653">
        <v>30800</v>
      </c>
      <c r="B76" s="651" t="s">
        <v>1289</v>
      </c>
      <c r="C76" s="675">
        <v>8.7600000000000004E-4</v>
      </c>
      <c r="D76" s="675">
        <v>8.5599999999999999E-4</v>
      </c>
      <c r="E76" s="680">
        <v>831610</v>
      </c>
      <c r="F76" s="651">
        <v>38128055</v>
      </c>
      <c r="G76" s="652">
        <v>28066714</v>
      </c>
      <c r="H76" s="652">
        <v>0</v>
      </c>
      <c r="I76" s="652">
        <v>0</v>
      </c>
      <c r="J76" s="652">
        <v>0</v>
      </c>
      <c r="K76" s="652">
        <v>0</v>
      </c>
      <c r="L76" s="652">
        <f t="shared" si="3"/>
        <v>0</v>
      </c>
      <c r="M76" s="652"/>
      <c r="N76" s="652">
        <v>2012435</v>
      </c>
      <c r="O76" s="652">
        <v>10431</v>
      </c>
      <c r="P76" s="652">
        <v>7729445</v>
      </c>
      <c r="Q76" s="652">
        <v>724100</v>
      </c>
      <c r="R76" s="652">
        <f t="shared" si="4"/>
        <v>10476411</v>
      </c>
      <c r="S76" s="652"/>
      <c r="T76" s="652">
        <f t="shared" si="5"/>
        <v>1391503</v>
      </c>
      <c r="U76" s="652">
        <v>-144823</v>
      </c>
      <c r="V76" s="652">
        <v>1246680</v>
      </c>
      <c r="W76" s="654"/>
      <c r="X76" s="654"/>
      <c r="Y76" s="654"/>
      <c r="Z76" s="654"/>
      <c r="AA76" s="654"/>
      <c r="AB76" s="654"/>
      <c r="AC76" s="654"/>
      <c r="AD76" s="654"/>
      <c r="AE76" s="655"/>
      <c r="AF76" s="655"/>
      <c r="AG76" s="655"/>
      <c r="AH76" s="655"/>
      <c r="AI76" s="655"/>
      <c r="AJ76" s="655"/>
      <c r="AK76" s="655"/>
      <c r="AL76" s="655"/>
    </row>
    <row r="77" spans="1:38" hidden="1" x14ac:dyDescent="0.25">
      <c r="A77" s="653">
        <v>30900</v>
      </c>
      <c r="B77" s="651" t="s">
        <v>1290</v>
      </c>
      <c r="C77" s="675">
        <v>1.4630000000000001E-3</v>
      </c>
      <c r="D77" s="675">
        <v>1.4469999999999999E-3</v>
      </c>
      <c r="E77" s="680">
        <v>1466863</v>
      </c>
      <c r="F77" s="651">
        <v>63649160</v>
      </c>
      <c r="G77" s="652">
        <v>47452186</v>
      </c>
      <c r="H77" s="652">
        <v>0</v>
      </c>
      <c r="I77" s="652">
        <v>0</v>
      </c>
      <c r="J77" s="652">
        <v>0</v>
      </c>
      <c r="K77" s="652">
        <v>0</v>
      </c>
      <c r="L77" s="652">
        <f t="shared" si="3"/>
        <v>0</v>
      </c>
      <c r="M77" s="652"/>
      <c r="N77" s="652">
        <v>3402409</v>
      </c>
      <c r="O77" s="652">
        <v>17635</v>
      </c>
      <c r="P77" s="652">
        <v>13068115</v>
      </c>
      <c r="Q77" s="652">
        <v>495465</v>
      </c>
      <c r="R77" s="652">
        <f t="shared" si="4"/>
        <v>16983624</v>
      </c>
      <c r="S77" s="652"/>
      <c r="T77" s="652">
        <f t="shared" si="5"/>
        <v>2352603</v>
      </c>
      <c r="U77" s="652">
        <v>-99090</v>
      </c>
      <c r="V77" s="652">
        <v>2253513</v>
      </c>
      <c r="W77" s="654"/>
      <c r="X77" s="654"/>
      <c r="Y77" s="654"/>
      <c r="Z77" s="654"/>
      <c r="AA77" s="654"/>
      <c r="AB77" s="654"/>
      <c r="AC77" s="654"/>
      <c r="AD77" s="654"/>
      <c r="AE77" s="655"/>
      <c r="AF77" s="655"/>
      <c r="AG77" s="655"/>
      <c r="AH77" s="655"/>
      <c r="AI77" s="655"/>
      <c r="AJ77" s="655"/>
      <c r="AK77" s="655"/>
      <c r="AL77" s="655"/>
    </row>
    <row r="78" spans="1:38" hidden="1" x14ac:dyDescent="0.25">
      <c r="A78" s="653">
        <v>30905</v>
      </c>
      <c r="B78" s="651" t="s">
        <v>1291</v>
      </c>
      <c r="C78" s="675">
        <v>3.0299999999999999E-4</v>
      </c>
      <c r="D78" s="675">
        <v>2.5900000000000001E-4</v>
      </c>
      <c r="E78" s="680">
        <v>343909</v>
      </c>
      <c r="F78" s="651">
        <v>13175731</v>
      </c>
      <c r="G78" s="652">
        <v>8493812</v>
      </c>
      <c r="H78" s="652">
        <v>0</v>
      </c>
      <c r="I78" s="652">
        <v>0</v>
      </c>
      <c r="J78" s="652">
        <v>0</v>
      </c>
      <c r="K78" s="652">
        <v>0</v>
      </c>
      <c r="L78" s="652">
        <f t="shared" si="3"/>
        <v>0</v>
      </c>
      <c r="M78" s="652"/>
      <c r="N78" s="652">
        <v>609022</v>
      </c>
      <c r="O78" s="652">
        <v>3157</v>
      </c>
      <c r="P78" s="652">
        <v>2339157</v>
      </c>
      <c r="Q78" s="652">
        <v>1506485</v>
      </c>
      <c r="R78" s="652">
        <f t="shared" si="4"/>
        <v>4457821</v>
      </c>
      <c r="S78" s="652"/>
      <c r="T78" s="652">
        <f t="shared" si="5"/>
        <v>421110</v>
      </c>
      <c r="U78" s="652">
        <v>-301299</v>
      </c>
      <c r="V78" s="652">
        <v>119811</v>
      </c>
      <c r="W78" s="654"/>
      <c r="X78" s="654"/>
      <c r="Y78" s="654"/>
      <c r="Z78" s="654"/>
      <c r="AA78" s="654"/>
      <c r="AB78" s="654"/>
      <c r="AC78" s="654"/>
      <c r="AD78" s="654"/>
      <c r="AE78" s="655"/>
      <c r="AF78" s="655"/>
      <c r="AG78" s="655"/>
      <c r="AH78" s="655"/>
      <c r="AI78" s="655"/>
      <c r="AJ78" s="655"/>
      <c r="AK78" s="655"/>
      <c r="AL78" s="655"/>
    </row>
    <row r="79" spans="1:38" hidden="1" x14ac:dyDescent="0.25">
      <c r="A79" s="653">
        <v>31000</v>
      </c>
      <c r="B79" s="651" t="s">
        <v>1292</v>
      </c>
      <c r="C79" s="675">
        <v>4.1679999999999998E-3</v>
      </c>
      <c r="D79" s="675">
        <v>4.3600000000000002E-3</v>
      </c>
      <c r="E79" s="680">
        <v>4009249</v>
      </c>
      <c r="F79" s="651">
        <v>181307691</v>
      </c>
      <c r="G79" s="652">
        <v>142961627</v>
      </c>
      <c r="H79" s="652">
        <v>0</v>
      </c>
      <c r="I79" s="652">
        <v>0</v>
      </c>
      <c r="J79" s="652">
        <v>0</v>
      </c>
      <c r="K79" s="652">
        <v>6875085</v>
      </c>
      <c r="L79" s="652">
        <f t="shared" si="3"/>
        <v>6875085</v>
      </c>
      <c r="M79" s="652"/>
      <c r="N79" s="652">
        <v>10250612</v>
      </c>
      <c r="O79" s="652">
        <v>53131</v>
      </c>
      <c r="P79" s="652">
        <v>39370979</v>
      </c>
      <c r="Q79" s="652">
        <v>0</v>
      </c>
      <c r="R79" s="652">
        <f t="shared" si="4"/>
        <v>49674722</v>
      </c>
      <c r="S79" s="652"/>
      <c r="T79" s="652">
        <f t="shared" si="5"/>
        <v>7087808</v>
      </c>
      <c r="U79" s="652">
        <v>1375015</v>
      </c>
      <c r="V79" s="652">
        <v>8462823</v>
      </c>
      <c r="W79" s="654"/>
      <c r="X79" s="654"/>
      <c r="Y79" s="654"/>
      <c r="Z79" s="654"/>
      <c r="AA79" s="654"/>
      <c r="AB79" s="654"/>
      <c r="AC79" s="654"/>
      <c r="AD79" s="654"/>
      <c r="AE79" s="655"/>
      <c r="AF79" s="655"/>
      <c r="AG79" s="655"/>
      <c r="AH79" s="655"/>
      <c r="AI79" s="655"/>
      <c r="AJ79" s="655"/>
      <c r="AK79" s="655"/>
      <c r="AL79" s="655"/>
    </row>
    <row r="80" spans="1:38" hidden="1" x14ac:dyDescent="0.25">
      <c r="A80" s="653">
        <v>31005</v>
      </c>
      <c r="B80" s="651" t="s">
        <v>1293</v>
      </c>
      <c r="C80" s="675">
        <v>4.1399999999999998E-4</v>
      </c>
      <c r="D80" s="675">
        <v>3.86E-4</v>
      </c>
      <c r="E80" s="680">
        <v>438899</v>
      </c>
      <c r="F80" s="651">
        <v>18009221</v>
      </c>
      <c r="G80" s="652">
        <v>12665084</v>
      </c>
      <c r="H80" s="652">
        <v>0</v>
      </c>
      <c r="I80" s="652">
        <v>0</v>
      </c>
      <c r="J80" s="652">
        <v>0</v>
      </c>
      <c r="K80" s="652">
        <v>0</v>
      </c>
      <c r="L80" s="652">
        <f t="shared" si="3"/>
        <v>0</v>
      </c>
      <c r="M80" s="652"/>
      <c r="N80" s="652">
        <v>908110</v>
      </c>
      <c r="O80" s="652">
        <v>4707</v>
      </c>
      <c r="P80" s="652">
        <v>3487906</v>
      </c>
      <c r="Q80" s="652">
        <v>943690</v>
      </c>
      <c r="R80" s="652">
        <f t="shared" si="4"/>
        <v>5344413</v>
      </c>
      <c r="S80" s="652"/>
      <c r="T80" s="652">
        <f t="shared" si="5"/>
        <v>627915</v>
      </c>
      <c r="U80" s="652">
        <v>-188740</v>
      </c>
      <c r="V80" s="652">
        <v>439175</v>
      </c>
      <c r="W80" s="654"/>
      <c r="X80" s="654"/>
      <c r="Y80" s="654"/>
      <c r="Z80" s="654"/>
      <c r="AA80" s="654"/>
      <c r="AB80" s="654"/>
      <c r="AC80" s="654"/>
      <c r="AD80" s="654"/>
      <c r="AE80" s="655"/>
      <c r="AF80" s="655"/>
      <c r="AG80" s="655"/>
      <c r="AH80" s="655"/>
      <c r="AI80" s="655"/>
      <c r="AJ80" s="655"/>
      <c r="AK80" s="655"/>
      <c r="AL80" s="655"/>
    </row>
    <row r="81" spans="1:38" hidden="1" x14ac:dyDescent="0.25">
      <c r="A81" s="653">
        <v>31100</v>
      </c>
      <c r="B81" s="651" t="s">
        <v>1294</v>
      </c>
      <c r="C81" s="675">
        <v>8.6999999999999994E-3</v>
      </c>
      <c r="D81" s="675">
        <v>9.0340000000000004E-3</v>
      </c>
      <c r="E81" s="680">
        <v>8024306</v>
      </c>
      <c r="F81" s="651">
        <v>378480708</v>
      </c>
      <c r="G81" s="652">
        <v>296205576</v>
      </c>
      <c r="H81" s="652">
        <v>0</v>
      </c>
      <c r="I81" s="652">
        <v>0</v>
      </c>
      <c r="J81" s="652">
        <v>0</v>
      </c>
      <c r="K81" s="652">
        <v>11655005</v>
      </c>
      <c r="L81" s="652">
        <f t="shared" si="3"/>
        <v>11655005</v>
      </c>
      <c r="M81" s="652"/>
      <c r="N81" s="652">
        <v>21238485</v>
      </c>
      <c r="O81" s="652">
        <v>110083</v>
      </c>
      <c r="P81" s="652">
        <v>81573663</v>
      </c>
      <c r="Q81" s="652">
        <v>0</v>
      </c>
      <c r="R81" s="652">
        <f t="shared" si="4"/>
        <v>102922231</v>
      </c>
      <c r="S81" s="652"/>
      <c r="T81" s="652">
        <f t="shared" si="5"/>
        <v>14685397</v>
      </c>
      <c r="U81" s="652">
        <v>2331002</v>
      </c>
      <c r="V81" s="652">
        <v>17016399</v>
      </c>
      <c r="W81" s="654"/>
      <c r="X81" s="654"/>
      <c r="Y81" s="654"/>
      <c r="Z81" s="654"/>
      <c r="AA81" s="654"/>
      <c r="AB81" s="654"/>
      <c r="AC81" s="654"/>
      <c r="AD81" s="654"/>
      <c r="AE81" s="655"/>
      <c r="AF81" s="655"/>
      <c r="AG81" s="655"/>
      <c r="AH81" s="655"/>
      <c r="AI81" s="655"/>
      <c r="AJ81" s="655"/>
      <c r="AK81" s="655"/>
      <c r="AL81" s="655"/>
    </row>
    <row r="82" spans="1:38" hidden="1" x14ac:dyDescent="0.25">
      <c r="A82" s="653">
        <v>31101</v>
      </c>
      <c r="B82" s="651" t="s">
        <v>1295</v>
      </c>
      <c r="C82" s="675">
        <v>5.8999999999999998E-5</v>
      </c>
      <c r="D82" s="675">
        <v>6.2000000000000003E-5</v>
      </c>
      <c r="E82" s="680">
        <v>49397</v>
      </c>
      <c r="F82" s="651">
        <v>2564632</v>
      </c>
      <c r="G82" s="652">
        <v>2027785</v>
      </c>
      <c r="H82" s="652">
        <v>0</v>
      </c>
      <c r="I82" s="652">
        <v>0</v>
      </c>
      <c r="J82" s="652">
        <v>0</v>
      </c>
      <c r="K82" s="652">
        <v>97175</v>
      </c>
      <c r="L82" s="652">
        <f t="shared" si="3"/>
        <v>97175</v>
      </c>
      <c r="M82" s="652"/>
      <c r="N82" s="652">
        <v>145396</v>
      </c>
      <c r="O82" s="652">
        <v>754</v>
      </c>
      <c r="P82" s="652">
        <v>558443</v>
      </c>
      <c r="Q82" s="652">
        <v>0</v>
      </c>
      <c r="R82" s="652">
        <f t="shared" si="4"/>
        <v>704593</v>
      </c>
      <c r="S82" s="652"/>
      <c r="T82" s="652">
        <f t="shared" si="5"/>
        <v>100534</v>
      </c>
      <c r="U82" s="652">
        <v>19433</v>
      </c>
      <c r="V82" s="652">
        <v>119967</v>
      </c>
      <c r="W82" s="654"/>
      <c r="X82" s="654"/>
      <c r="Y82" s="654"/>
      <c r="Z82" s="654"/>
      <c r="AA82" s="654"/>
      <c r="AB82" s="654"/>
      <c r="AC82" s="654"/>
      <c r="AD82" s="654"/>
      <c r="AE82" s="655"/>
      <c r="AF82" s="655"/>
      <c r="AG82" s="655"/>
      <c r="AH82" s="655"/>
      <c r="AI82" s="655"/>
      <c r="AJ82" s="655"/>
      <c r="AK82" s="655"/>
      <c r="AL82" s="655"/>
    </row>
    <row r="83" spans="1:38" hidden="1" x14ac:dyDescent="0.25">
      <c r="A83" s="653">
        <v>31102</v>
      </c>
      <c r="B83" s="651" t="s">
        <v>1296</v>
      </c>
      <c r="C83" s="675">
        <v>1.46E-4</v>
      </c>
      <c r="D83" s="675">
        <v>1.54E-4</v>
      </c>
      <c r="E83" s="680">
        <v>116037</v>
      </c>
      <c r="F83" s="651">
        <v>6362501</v>
      </c>
      <c r="G83" s="652">
        <v>5057412</v>
      </c>
      <c r="H83" s="652">
        <v>0</v>
      </c>
      <c r="I83" s="652">
        <v>0</v>
      </c>
      <c r="J83" s="652">
        <v>0</v>
      </c>
      <c r="K83" s="652">
        <v>264585</v>
      </c>
      <c r="L83" s="652">
        <f t="shared" si="3"/>
        <v>264585</v>
      </c>
      <c r="M83" s="652"/>
      <c r="N83" s="652">
        <v>362626</v>
      </c>
      <c r="O83" s="652">
        <v>1880</v>
      </c>
      <c r="P83" s="652">
        <v>1392788</v>
      </c>
      <c r="Q83" s="652">
        <v>0</v>
      </c>
      <c r="R83" s="652">
        <f t="shared" si="4"/>
        <v>1757294</v>
      </c>
      <c r="S83" s="652"/>
      <c r="T83" s="652">
        <f t="shared" si="5"/>
        <v>250738</v>
      </c>
      <c r="U83" s="652">
        <v>52918</v>
      </c>
      <c r="V83" s="652">
        <v>303656</v>
      </c>
      <c r="W83" s="654"/>
      <c r="X83" s="654"/>
      <c r="Y83" s="654"/>
      <c r="Z83" s="654"/>
      <c r="AA83" s="654"/>
      <c r="AB83" s="654"/>
      <c r="AC83" s="654"/>
      <c r="AD83" s="654"/>
      <c r="AE83" s="655"/>
      <c r="AF83" s="655"/>
      <c r="AG83" s="655"/>
      <c r="AH83" s="655"/>
      <c r="AI83" s="655"/>
      <c r="AJ83" s="655"/>
      <c r="AK83" s="655"/>
      <c r="AL83" s="655"/>
    </row>
    <row r="84" spans="1:38" hidden="1" x14ac:dyDescent="0.25">
      <c r="A84" s="653">
        <v>31105</v>
      </c>
      <c r="B84" s="651" t="s">
        <v>1297</v>
      </c>
      <c r="C84" s="675">
        <v>1.39E-3</v>
      </c>
      <c r="D84" s="675">
        <v>1.2979999999999999E-3</v>
      </c>
      <c r="E84" s="680">
        <v>1372900</v>
      </c>
      <c r="F84" s="651">
        <v>60475912</v>
      </c>
      <c r="G84" s="652">
        <v>42571274</v>
      </c>
      <c r="H84" s="652">
        <v>0</v>
      </c>
      <c r="I84" s="652">
        <v>0</v>
      </c>
      <c r="J84" s="652">
        <v>0</v>
      </c>
      <c r="K84" s="652">
        <v>0</v>
      </c>
      <c r="L84" s="652">
        <f t="shared" si="3"/>
        <v>0</v>
      </c>
      <c r="M84" s="652"/>
      <c r="N84" s="652">
        <v>3052439</v>
      </c>
      <c r="O84" s="652">
        <v>15821</v>
      </c>
      <c r="P84" s="652">
        <v>11723935</v>
      </c>
      <c r="Q84" s="652">
        <v>3208465</v>
      </c>
      <c r="R84" s="652">
        <f t="shared" si="4"/>
        <v>18000660</v>
      </c>
      <c r="S84" s="652"/>
      <c r="T84" s="652">
        <f t="shared" si="5"/>
        <v>2110615</v>
      </c>
      <c r="U84" s="652">
        <v>-641693</v>
      </c>
      <c r="V84" s="652">
        <v>1468922</v>
      </c>
      <c r="W84" s="654"/>
      <c r="X84" s="654"/>
      <c r="Y84" s="654"/>
      <c r="Z84" s="654"/>
      <c r="AA84" s="654"/>
      <c r="AB84" s="654"/>
      <c r="AC84" s="654"/>
      <c r="AD84" s="654"/>
      <c r="AE84" s="655"/>
      <c r="AF84" s="655"/>
      <c r="AG84" s="655"/>
      <c r="AH84" s="655"/>
      <c r="AI84" s="655"/>
      <c r="AJ84" s="655"/>
      <c r="AK84" s="655"/>
      <c r="AL84" s="655"/>
    </row>
    <row r="85" spans="1:38" hidden="1" x14ac:dyDescent="0.25">
      <c r="A85" s="653">
        <v>31110</v>
      </c>
      <c r="B85" s="651" t="s">
        <v>1298</v>
      </c>
      <c r="C85" s="675">
        <v>2.0200000000000001E-3</v>
      </c>
      <c r="D85" s="675">
        <v>2.078E-3</v>
      </c>
      <c r="E85" s="680">
        <v>1764773</v>
      </c>
      <c r="F85" s="651">
        <v>87866274</v>
      </c>
      <c r="G85" s="652">
        <v>68139813</v>
      </c>
      <c r="H85" s="652">
        <v>0</v>
      </c>
      <c r="I85" s="652">
        <v>0</v>
      </c>
      <c r="J85" s="652">
        <v>0</v>
      </c>
      <c r="K85" s="652">
        <v>1947095</v>
      </c>
      <c r="L85" s="652">
        <f t="shared" si="3"/>
        <v>1947095</v>
      </c>
      <c r="M85" s="652"/>
      <c r="N85" s="652">
        <v>4885750</v>
      </c>
      <c r="O85" s="652">
        <v>25324</v>
      </c>
      <c r="P85" s="652">
        <v>18765393</v>
      </c>
      <c r="Q85" s="652">
        <v>0</v>
      </c>
      <c r="R85" s="652">
        <f t="shared" si="4"/>
        <v>23676467</v>
      </c>
      <c r="S85" s="652"/>
      <c r="T85" s="652">
        <f t="shared" si="5"/>
        <v>3378263</v>
      </c>
      <c r="U85" s="652">
        <v>389420</v>
      </c>
      <c r="V85" s="652">
        <v>3767683</v>
      </c>
      <c r="W85" s="654"/>
      <c r="X85" s="654"/>
      <c r="Y85" s="654"/>
      <c r="Z85" s="654"/>
      <c r="AA85" s="654"/>
      <c r="AB85" s="654"/>
      <c r="AC85" s="654"/>
      <c r="AD85" s="654"/>
      <c r="AE85" s="655"/>
      <c r="AF85" s="655"/>
      <c r="AG85" s="655"/>
      <c r="AH85" s="655"/>
      <c r="AI85" s="655"/>
      <c r="AJ85" s="655"/>
      <c r="AK85" s="655"/>
      <c r="AL85" s="655"/>
    </row>
    <row r="86" spans="1:38" hidden="1" x14ac:dyDescent="0.25">
      <c r="A86" s="653">
        <v>31200</v>
      </c>
      <c r="B86" s="651" t="s">
        <v>1299</v>
      </c>
      <c r="C86" s="675">
        <v>4.1130000000000003E-3</v>
      </c>
      <c r="D86" s="675">
        <v>4.0730000000000002E-3</v>
      </c>
      <c r="E86" s="680">
        <v>3656703</v>
      </c>
      <c r="F86" s="651">
        <v>178924914</v>
      </c>
      <c r="G86" s="652">
        <v>133536097</v>
      </c>
      <c r="H86" s="652">
        <v>0</v>
      </c>
      <c r="I86" s="652">
        <v>0</v>
      </c>
      <c r="J86" s="652">
        <v>0</v>
      </c>
      <c r="K86" s="652">
        <v>0</v>
      </c>
      <c r="L86" s="652">
        <f t="shared" si="3"/>
        <v>0</v>
      </c>
      <c r="M86" s="652"/>
      <c r="N86" s="652">
        <v>9574784</v>
      </c>
      <c r="O86" s="652">
        <v>49628</v>
      </c>
      <c r="P86" s="652">
        <v>36775232</v>
      </c>
      <c r="Q86" s="652">
        <v>1627480</v>
      </c>
      <c r="R86" s="652">
        <f t="shared" si="4"/>
        <v>48027124</v>
      </c>
      <c r="S86" s="652"/>
      <c r="T86" s="652">
        <f t="shared" si="5"/>
        <v>6620505</v>
      </c>
      <c r="U86" s="652">
        <v>-325496</v>
      </c>
      <c r="V86" s="652">
        <v>6295009</v>
      </c>
      <c r="W86" s="654"/>
      <c r="X86" s="654"/>
      <c r="Y86" s="654"/>
      <c r="Z86" s="654"/>
      <c r="AA86" s="654"/>
      <c r="AB86" s="654"/>
      <c r="AC86" s="654"/>
      <c r="AD86" s="654"/>
      <c r="AE86" s="655"/>
      <c r="AF86" s="655"/>
      <c r="AG86" s="655"/>
      <c r="AH86" s="655"/>
      <c r="AI86" s="655"/>
      <c r="AJ86" s="655"/>
      <c r="AK86" s="655"/>
      <c r="AL86" s="655"/>
    </row>
    <row r="87" spans="1:38" hidden="1" x14ac:dyDescent="0.25">
      <c r="A87" s="653">
        <v>31205</v>
      </c>
      <c r="B87" s="651" t="s">
        <v>1300</v>
      </c>
      <c r="C87" s="675">
        <v>5.0600000000000005E-4</v>
      </c>
      <c r="D87" s="675">
        <v>4.5199999999999998E-4</v>
      </c>
      <c r="E87" s="680">
        <v>493548</v>
      </c>
      <c r="F87" s="651">
        <v>21998866</v>
      </c>
      <c r="G87" s="652">
        <v>14820156</v>
      </c>
      <c r="H87" s="652">
        <v>0</v>
      </c>
      <c r="I87" s="652">
        <v>0</v>
      </c>
      <c r="J87" s="652">
        <v>0</v>
      </c>
      <c r="K87" s="652">
        <v>0</v>
      </c>
      <c r="L87" s="652">
        <f t="shared" si="3"/>
        <v>0</v>
      </c>
      <c r="M87" s="652"/>
      <c r="N87" s="652">
        <v>1062632</v>
      </c>
      <c r="O87" s="652">
        <v>5508</v>
      </c>
      <c r="P87" s="652">
        <v>4081403</v>
      </c>
      <c r="Q87" s="652">
        <v>1891985</v>
      </c>
      <c r="R87" s="652">
        <f t="shared" si="4"/>
        <v>7041528</v>
      </c>
      <c r="S87" s="652"/>
      <c r="T87" s="652">
        <f t="shared" si="5"/>
        <v>734760</v>
      </c>
      <c r="U87" s="652">
        <v>-378393</v>
      </c>
      <c r="V87" s="652">
        <v>356367</v>
      </c>
      <c r="W87" s="654"/>
      <c r="X87" s="654"/>
      <c r="Y87" s="654"/>
      <c r="Z87" s="654"/>
      <c r="AA87" s="654"/>
      <c r="AB87" s="654"/>
      <c r="AC87" s="654"/>
      <c r="AD87" s="654"/>
      <c r="AE87" s="655"/>
      <c r="AF87" s="655"/>
      <c r="AG87" s="655"/>
      <c r="AH87" s="655"/>
      <c r="AI87" s="655"/>
      <c r="AJ87" s="655"/>
      <c r="AK87" s="655"/>
      <c r="AL87" s="655"/>
    </row>
    <row r="88" spans="1:38" hidden="1" x14ac:dyDescent="0.25">
      <c r="A88" s="653">
        <v>31300</v>
      </c>
      <c r="B88" s="651" t="s">
        <v>1301</v>
      </c>
      <c r="C88" s="675">
        <v>1.0385E-2</v>
      </c>
      <c r="D88" s="675">
        <v>1.1098999999999999E-2</v>
      </c>
      <c r="E88" s="680">
        <v>9173516</v>
      </c>
      <c r="F88" s="651">
        <v>451779490</v>
      </c>
      <c r="G88" s="652">
        <v>363887093</v>
      </c>
      <c r="H88" s="652">
        <v>0</v>
      </c>
      <c r="I88" s="652">
        <v>0</v>
      </c>
      <c r="J88" s="652">
        <v>0</v>
      </c>
      <c r="K88" s="652">
        <v>24733030</v>
      </c>
      <c r="L88" s="652">
        <f t="shared" si="3"/>
        <v>24733030</v>
      </c>
      <c r="M88" s="652"/>
      <c r="N88" s="652">
        <v>26091374</v>
      </c>
      <c r="O88" s="652">
        <v>135236</v>
      </c>
      <c r="P88" s="652">
        <v>100212844</v>
      </c>
      <c r="Q88" s="652">
        <v>0</v>
      </c>
      <c r="R88" s="652">
        <f t="shared" si="4"/>
        <v>126439454</v>
      </c>
      <c r="S88" s="652"/>
      <c r="T88" s="652">
        <f t="shared" si="5"/>
        <v>18040938</v>
      </c>
      <c r="U88" s="652">
        <v>4946604</v>
      </c>
      <c r="V88" s="652">
        <v>22987542</v>
      </c>
      <c r="W88" s="654"/>
      <c r="X88" s="654"/>
      <c r="Y88" s="654"/>
      <c r="Z88" s="654"/>
      <c r="AA88" s="654"/>
      <c r="AB88" s="654"/>
      <c r="AC88" s="654"/>
      <c r="AD88" s="654"/>
      <c r="AE88" s="655"/>
      <c r="AF88" s="655"/>
      <c r="AG88" s="655"/>
      <c r="AH88" s="655"/>
      <c r="AI88" s="655"/>
      <c r="AJ88" s="655"/>
      <c r="AK88" s="655"/>
      <c r="AL88" s="655"/>
    </row>
    <row r="89" spans="1:38" hidden="1" x14ac:dyDescent="0.25">
      <c r="A89" s="653">
        <v>31301</v>
      </c>
      <c r="B89" s="651" t="s">
        <v>1302</v>
      </c>
      <c r="C89" s="675">
        <v>2.0000000000000001E-4</v>
      </c>
      <c r="D89" s="675">
        <v>2.5500000000000002E-4</v>
      </c>
      <c r="E89" s="680">
        <v>200290</v>
      </c>
      <c r="F89" s="651">
        <v>8704026</v>
      </c>
      <c r="G89" s="652">
        <v>8367700</v>
      </c>
      <c r="H89" s="652">
        <v>0</v>
      </c>
      <c r="I89" s="652">
        <v>0</v>
      </c>
      <c r="J89" s="652">
        <v>0</v>
      </c>
      <c r="K89" s="652">
        <v>1963850</v>
      </c>
      <c r="L89" s="652">
        <f t="shared" si="3"/>
        <v>1963850</v>
      </c>
      <c r="M89" s="652"/>
      <c r="N89" s="652">
        <v>599979</v>
      </c>
      <c r="O89" s="652">
        <v>3110</v>
      </c>
      <c r="P89" s="652">
        <v>2304426</v>
      </c>
      <c r="Q89" s="652">
        <v>0</v>
      </c>
      <c r="R89" s="652">
        <f t="shared" si="4"/>
        <v>2907515</v>
      </c>
      <c r="S89" s="652"/>
      <c r="T89" s="652">
        <f t="shared" si="5"/>
        <v>414857</v>
      </c>
      <c r="U89" s="652">
        <v>392773</v>
      </c>
      <c r="V89" s="652">
        <v>807630</v>
      </c>
      <c r="W89" s="654"/>
      <c r="X89" s="654"/>
      <c r="Y89" s="654"/>
      <c r="Z89" s="654"/>
      <c r="AA89" s="654"/>
      <c r="AB89" s="654"/>
      <c r="AC89" s="654"/>
      <c r="AD89" s="654"/>
      <c r="AE89" s="655"/>
      <c r="AF89" s="655"/>
      <c r="AG89" s="655"/>
      <c r="AH89" s="655"/>
      <c r="AI89" s="655"/>
      <c r="AJ89" s="655"/>
      <c r="AK89" s="655"/>
      <c r="AL89" s="655"/>
    </row>
    <row r="90" spans="1:38" hidden="1" x14ac:dyDescent="0.25">
      <c r="A90" s="653">
        <v>31320</v>
      </c>
      <c r="B90" s="651" t="s">
        <v>1303</v>
      </c>
      <c r="C90" s="675">
        <v>1.946E-3</v>
      </c>
      <c r="D90" s="675">
        <v>1.9940000000000001E-3</v>
      </c>
      <c r="E90" s="680">
        <v>1656947</v>
      </c>
      <c r="F90" s="651">
        <v>84658305</v>
      </c>
      <c r="G90" s="652">
        <v>65390133</v>
      </c>
      <c r="H90" s="652">
        <v>0</v>
      </c>
      <c r="I90" s="652">
        <v>0</v>
      </c>
      <c r="J90" s="652">
        <v>0</v>
      </c>
      <c r="K90" s="652">
        <v>1556565</v>
      </c>
      <c r="L90" s="652">
        <f t="shared" si="3"/>
        <v>1556565</v>
      </c>
      <c r="M90" s="652"/>
      <c r="N90" s="652">
        <v>4688593</v>
      </c>
      <c r="O90" s="652">
        <v>24302</v>
      </c>
      <c r="P90" s="652">
        <v>18008144</v>
      </c>
      <c r="Q90" s="652">
        <v>0</v>
      </c>
      <c r="R90" s="652">
        <f t="shared" si="4"/>
        <v>22721039</v>
      </c>
      <c r="S90" s="652"/>
      <c r="T90" s="652">
        <f t="shared" si="5"/>
        <v>3241938</v>
      </c>
      <c r="U90" s="652">
        <v>311312</v>
      </c>
      <c r="V90" s="652">
        <v>3553250</v>
      </c>
      <c r="W90" s="654"/>
      <c r="X90" s="654"/>
      <c r="Y90" s="654"/>
      <c r="Z90" s="654"/>
      <c r="AA90" s="654"/>
      <c r="AB90" s="654"/>
      <c r="AC90" s="654"/>
      <c r="AD90" s="654"/>
      <c r="AE90" s="655"/>
      <c r="AF90" s="655"/>
      <c r="AG90" s="655"/>
      <c r="AH90" s="655"/>
      <c r="AI90" s="655"/>
      <c r="AJ90" s="655"/>
      <c r="AK90" s="655"/>
      <c r="AL90" s="655"/>
    </row>
    <row r="91" spans="1:38" hidden="1" x14ac:dyDescent="0.25">
      <c r="A91" s="653">
        <v>31400</v>
      </c>
      <c r="B91" s="651" t="s">
        <v>1304</v>
      </c>
      <c r="C91" s="675">
        <v>4.058E-3</v>
      </c>
      <c r="D91" s="675">
        <v>4.189E-3</v>
      </c>
      <c r="E91" s="680">
        <v>3809318</v>
      </c>
      <c r="F91" s="651">
        <v>176513543</v>
      </c>
      <c r="G91" s="652">
        <v>137331100</v>
      </c>
      <c r="H91" s="652">
        <v>0</v>
      </c>
      <c r="I91" s="652">
        <v>0</v>
      </c>
      <c r="J91" s="652">
        <v>0</v>
      </c>
      <c r="K91" s="652">
        <v>4613755</v>
      </c>
      <c r="L91" s="652">
        <f t="shared" si="3"/>
        <v>4613755</v>
      </c>
      <c r="M91" s="652"/>
      <c r="N91" s="652">
        <v>9846892</v>
      </c>
      <c r="O91" s="652">
        <v>51038</v>
      </c>
      <c r="P91" s="652">
        <v>37820358</v>
      </c>
      <c r="Q91" s="652">
        <v>0</v>
      </c>
      <c r="R91" s="652">
        <f t="shared" si="4"/>
        <v>47718288</v>
      </c>
      <c r="S91" s="652"/>
      <c r="T91" s="652">
        <f t="shared" si="5"/>
        <v>6808655</v>
      </c>
      <c r="U91" s="652">
        <v>922753</v>
      </c>
      <c r="V91" s="652">
        <v>7731408</v>
      </c>
      <c r="W91" s="654"/>
      <c r="X91" s="654"/>
      <c r="Y91" s="654"/>
      <c r="Z91" s="654"/>
      <c r="AA91" s="654"/>
      <c r="AB91" s="654"/>
      <c r="AC91" s="654"/>
      <c r="AD91" s="654"/>
      <c r="AE91" s="655"/>
      <c r="AF91" s="655"/>
      <c r="AG91" s="655"/>
      <c r="AH91" s="655"/>
      <c r="AI91" s="655"/>
      <c r="AJ91" s="655"/>
      <c r="AK91" s="655"/>
      <c r="AL91" s="655"/>
    </row>
    <row r="92" spans="1:38" hidden="1" x14ac:dyDescent="0.25">
      <c r="A92" s="653">
        <v>31405</v>
      </c>
      <c r="B92" s="651" t="s">
        <v>1305</v>
      </c>
      <c r="C92" s="675">
        <v>8.1700000000000002E-4</v>
      </c>
      <c r="D92" s="675">
        <v>7.7399999999999995E-4</v>
      </c>
      <c r="E92" s="680">
        <v>869886</v>
      </c>
      <c r="F92" s="651">
        <v>35557944</v>
      </c>
      <c r="G92" s="652">
        <v>25366031</v>
      </c>
      <c r="H92" s="652">
        <v>0</v>
      </c>
      <c r="I92" s="652">
        <v>0</v>
      </c>
      <c r="J92" s="652">
        <v>0</v>
      </c>
      <c r="K92" s="652">
        <v>0</v>
      </c>
      <c r="L92" s="652">
        <f t="shared" si="3"/>
        <v>0</v>
      </c>
      <c r="M92" s="652"/>
      <c r="N92" s="652">
        <v>1818791</v>
      </c>
      <c r="O92" s="652">
        <v>9427</v>
      </c>
      <c r="P92" s="652">
        <v>6985689</v>
      </c>
      <c r="Q92" s="652">
        <v>1471435</v>
      </c>
      <c r="R92" s="652">
        <f t="shared" si="4"/>
        <v>10285342</v>
      </c>
      <c r="S92" s="652"/>
      <c r="T92" s="652">
        <f t="shared" si="5"/>
        <v>1257607</v>
      </c>
      <c r="U92" s="652">
        <v>-294291</v>
      </c>
      <c r="V92" s="652">
        <v>963316</v>
      </c>
      <c r="W92" s="654"/>
      <c r="X92" s="654"/>
      <c r="Y92" s="654"/>
      <c r="Z92" s="654"/>
      <c r="AA92" s="654"/>
      <c r="AB92" s="654"/>
      <c r="AC92" s="654"/>
      <c r="AD92" s="654"/>
      <c r="AE92" s="655"/>
      <c r="AF92" s="655"/>
      <c r="AG92" s="655"/>
      <c r="AH92" s="655"/>
      <c r="AI92" s="655"/>
      <c r="AJ92" s="655"/>
      <c r="AK92" s="655"/>
      <c r="AL92" s="655"/>
    </row>
    <row r="93" spans="1:38" hidden="1" x14ac:dyDescent="0.25">
      <c r="A93" s="653">
        <v>31500</v>
      </c>
      <c r="B93" s="651" t="s">
        <v>1306</v>
      </c>
      <c r="C93" s="675">
        <v>6.2699999999999995E-4</v>
      </c>
      <c r="D93" s="675">
        <v>6.3400000000000001E-4</v>
      </c>
      <c r="E93" s="680">
        <v>608075</v>
      </c>
      <c r="F93" s="651">
        <v>27252978</v>
      </c>
      <c r="G93" s="652">
        <v>20784929</v>
      </c>
      <c r="H93" s="652">
        <v>0</v>
      </c>
      <c r="I93" s="652">
        <v>0</v>
      </c>
      <c r="J93" s="652">
        <v>0</v>
      </c>
      <c r="K93" s="652">
        <v>276380</v>
      </c>
      <c r="L93" s="652">
        <f t="shared" si="3"/>
        <v>276380</v>
      </c>
      <c r="M93" s="652"/>
      <c r="N93" s="652">
        <v>1490318</v>
      </c>
      <c r="O93" s="652">
        <v>7725</v>
      </c>
      <c r="P93" s="652">
        <v>5724075</v>
      </c>
      <c r="Q93" s="652">
        <v>0</v>
      </c>
      <c r="R93" s="652">
        <f t="shared" si="4"/>
        <v>7222118</v>
      </c>
      <c r="S93" s="652"/>
      <c r="T93" s="652">
        <f t="shared" si="5"/>
        <v>1030483</v>
      </c>
      <c r="U93" s="652">
        <v>55280</v>
      </c>
      <c r="V93" s="652">
        <v>1085763</v>
      </c>
      <c r="W93" s="654"/>
      <c r="X93" s="654"/>
      <c r="Y93" s="654"/>
      <c r="Z93" s="654"/>
      <c r="AA93" s="654"/>
      <c r="AB93" s="654"/>
      <c r="AC93" s="654"/>
      <c r="AD93" s="654"/>
      <c r="AE93" s="655"/>
      <c r="AF93" s="655"/>
      <c r="AG93" s="655"/>
      <c r="AH93" s="655"/>
      <c r="AI93" s="655"/>
      <c r="AJ93" s="655"/>
      <c r="AK93" s="655"/>
      <c r="AL93" s="655"/>
    </row>
    <row r="94" spans="1:38" hidden="1" x14ac:dyDescent="0.25">
      <c r="A94" s="653">
        <v>31600</v>
      </c>
      <c r="B94" s="651" t="s">
        <v>1307</v>
      </c>
      <c r="C94" s="675">
        <v>2.8960000000000001E-3</v>
      </c>
      <c r="D94" s="675">
        <v>2.9580000000000001E-3</v>
      </c>
      <c r="E94" s="680">
        <v>2693534</v>
      </c>
      <c r="F94" s="651">
        <v>125968422</v>
      </c>
      <c r="G94" s="652">
        <v>96995534</v>
      </c>
      <c r="H94" s="652">
        <v>0</v>
      </c>
      <c r="I94" s="652">
        <v>0</v>
      </c>
      <c r="J94" s="652">
        <v>0</v>
      </c>
      <c r="K94" s="652">
        <v>2178915</v>
      </c>
      <c r="L94" s="652">
        <f t="shared" si="3"/>
        <v>2178915</v>
      </c>
      <c r="M94" s="652"/>
      <c r="N94" s="652">
        <v>6954758</v>
      </c>
      <c r="O94" s="652">
        <v>36048</v>
      </c>
      <c r="P94" s="652">
        <v>26712127</v>
      </c>
      <c r="Q94" s="652">
        <v>0</v>
      </c>
      <c r="R94" s="652">
        <f t="shared" si="4"/>
        <v>33702933</v>
      </c>
      <c r="S94" s="652"/>
      <c r="T94" s="652">
        <f t="shared" si="5"/>
        <v>4808883</v>
      </c>
      <c r="U94" s="652">
        <v>435781</v>
      </c>
      <c r="V94" s="652">
        <v>5244664</v>
      </c>
      <c r="W94" s="654"/>
      <c r="X94" s="654"/>
      <c r="Y94" s="654"/>
      <c r="Z94" s="654"/>
      <c r="AA94" s="654"/>
      <c r="AB94" s="654"/>
      <c r="AC94" s="654"/>
      <c r="AD94" s="654"/>
      <c r="AE94" s="655"/>
      <c r="AF94" s="655"/>
      <c r="AG94" s="655"/>
      <c r="AH94" s="655"/>
      <c r="AI94" s="655"/>
      <c r="AJ94" s="655"/>
      <c r="AK94" s="655"/>
      <c r="AL94" s="655"/>
    </row>
    <row r="95" spans="1:38" hidden="1" x14ac:dyDescent="0.25">
      <c r="A95" s="653">
        <v>31605</v>
      </c>
      <c r="B95" s="651" t="s">
        <v>1308</v>
      </c>
      <c r="C95" s="675">
        <v>3.9899999999999999E-4</v>
      </c>
      <c r="D95" s="675">
        <v>4.0900000000000002E-4</v>
      </c>
      <c r="E95" s="680">
        <v>441394</v>
      </c>
      <c r="F95" s="651">
        <v>17339407</v>
      </c>
      <c r="G95" s="652">
        <v>13399850</v>
      </c>
      <c r="H95" s="652">
        <v>0</v>
      </c>
      <c r="I95" s="652">
        <v>0</v>
      </c>
      <c r="J95" s="652">
        <v>0</v>
      </c>
      <c r="K95" s="652">
        <v>411275</v>
      </c>
      <c r="L95" s="652">
        <f t="shared" si="3"/>
        <v>411275</v>
      </c>
      <c r="M95" s="652"/>
      <c r="N95" s="652">
        <v>960794</v>
      </c>
      <c r="O95" s="652">
        <v>4980</v>
      </c>
      <c r="P95" s="652">
        <v>3690258</v>
      </c>
      <c r="Q95" s="652">
        <v>0</v>
      </c>
      <c r="R95" s="652">
        <f t="shared" si="4"/>
        <v>4656032</v>
      </c>
      <c r="S95" s="652"/>
      <c r="T95" s="652">
        <f t="shared" si="5"/>
        <v>664343</v>
      </c>
      <c r="U95" s="652">
        <v>82251</v>
      </c>
      <c r="V95" s="652">
        <v>746594</v>
      </c>
      <c r="W95" s="654"/>
      <c r="X95" s="654"/>
      <c r="Y95" s="654"/>
      <c r="Z95" s="654"/>
      <c r="AA95" s="654"/>
      <c r="AB95" s="654"/>
      <c r="AC95" s="654"/>
      <c r="AD95" s="654"/>
      <c r="AE95" s="655"/>
      <c r="AF95" s="655"/>
      <c r="AG95" s="655"/>
      <c r="AH95" s="655"/>
      <c r="AI95" s="655"/>
      <c r="AJ95" s="655"/>
      <c r="AK95" s="655"/>
      <c r="AL95" s="655"/>
    </row>
    <row r="96" spans="1:38" hidden="1" x14ac:dyDescent="0.25">
      <c r="A96" s="653">
        <v>31700</v>
      </c>
      <c r="B96" s="651" t="s">
        <v>1309</v>
      </c>
      <c r="C96" s="675">
        <v>8.4000000000000003E-4</v>
      </c>
      <c r="D96" s="675">
        <v>8.8400000000000002E-4</v>
      </c>
      <c r="E96" s="680">
        <v>859836</v>
      </c>
      <c r="F96" s="651">
        <v>36556086</v>
      </c>
      <c r="G96" s="652">
        <v>28983229</v>
      </c>
      <c r="H96" s="652">
        <v>0</v>
      </c>
      <c r="I96" s="652">
        <v>0</v>
      </c>
      <c r="J96" s="652">
        <v>0</v>
      </c>
      <c r="K96" s="652">
        <v>1600670</v>
      </c>
      <c r="L96" s="652">
        <f t="shared" si="3"/>
        <v>1600670</v>
      </c>
      <c r="M96" s="652"/>
      <c r="N96" s="652">
        <v>2078151</v>
      </c>
      <c r="O96" s="652">
        <v>10771</v>
      </c>
      <c r="P96" s="652">
        <v>7981849</v>
      </c>
      <c r="Q96" s="652">
        <v>0</v>
      </c>
      <c r="R96" s="652">
        <f t="shared" si="4"/>
        <v>10070771</v>
      </c>
      <c r="S96" s="652"/>
      <c r="T96" s="652">
        <f t="shared" si="5"/>
        <v>1436942</v>
      </c>
      <c r="U96" s="652">
        <v>320139</v>
      </c>
      <c r="V96" s="652">
        <v>1757081</v>
      </c>
      <c r="W96" s="654"/>
      <c r="X96" s="654"/>
      <c r="Y96" s="654"/>
      <c r="Z96" s="654"/>
      <c r="AA96" s="654"/>
      <c r="AB96" s="654"/>
      <c r="AC96" s="654"/>
      <c r="AD96" s="654"/>
      <c r="AE96" s="655"/>
      <c r="AF96" s="655"/>
      <c r="AG96" s="655"/>
      <c r="AH96" s="655"/>
      <c r="AI96" s="655"/>
      <c r="AJ96" s="655"/>
      <c r="AK96" s="655"/>
      <c r="AL96" s="655"/>
    </row>
    <row r="97" spans="1:38" hidden="1" x14ac:dyDescent="0.25">
      <c r="A97" s="653">
        <v>31800</v>
      </c>
      <c r="B97" s="651" t="s">
        <v>1310</v>
      </c>
      <c r="C97" s="675">
        <v>5.3270000000000001E-3</v>
      </c>
      <c r="D97" s="675">
        <v>5.3670000000000002E-3</v>
      </c>
      <c r="E97" s="680">
        <v>4870736</v>
      </c>
      <c r="F97" s="651">
        <v>231756779</v>
      </c>
      <c r="G97" s="652">
        <v>175976272</v>
      </c>
      <c r="H97" s="652">
        <v>0</v>
      </c>
      <c r="I97" s="652">
        <v>0</v>
      </c>
      <c r="J97" s="652">
        <v>0</v>
      </c>
      <c r="K97" s="652">
        <v>1259915</v>
      </c>
      <c r="L97" s="652">
        <f t="shared" si="3"/>
        <v>1259915</v>
      </c>
      <c r="M97" s="652"/>
      <c r="N97" s="652">
        <v>12617822</v>
      </c>
      <c r="O97" s="652">
        <v>65400</v>
      </c>
      <c r="P97" s="652">
        <v>48463062</v>
      </c>
      <c r="Q97" s="652">
        <v>0</v>
      </c>
      <c r="R97" s="652">
        <f t="shared" si="4"/>
        <v>61146284</v>
      </c>
      <c r="S97" s="652"/>
      <c r="T97" s="652">
        <f t="shared" si="5"/>
        <v>8724621</v>
      </c>
      <c r="U97" s="652">
        <v>251978</v>
      </c>
      <c r="V97" s="652">
        <v>8976599</v>
      </c>
      <c r="W97" s="654"/>
      <c r="X97" s="654"/>
      <c r="Y97" s="654"/>
      <c r="Z97" s="654"/>
      <c r="AA97" s="654"/>
      <c r="AB97" s="654"/>
      <c r="AC97" s="654"/>
      <c r="AD97" s="654"/>
      <c r="AE97" s="655"/>
      <c r="AF97" s="655"/>
      <c r="AG97" s="655"/>
      <c r="AH97" s="655"/>
      <c r="AI97" s="655"/>
      <c r="AJ97" s="655"/>
      <c r="AK97" s="655"/>
      <c r="AL97" s="655"/>
    </row>
    <row r="98" spans="1:38" hidden="1" x14ac:dyDescent="0.25">
      <c r="A98" s="653">
        <v>31805</v>
      </c>
      <c r="B98" s="651" t="s">
        <v>1311</v>
      </c>
      <c r="C98" s="675">
        <v>9.9099999999999991E-4</v>
      </c>
      <c r="D98" s="675">
        <v>9.7300000000000002E-4</v>
      </c>
      <c r="E98" s="680">
        <v>1038616</v>
      </c>
      <c r="F98" s="651">
        <v>43113012</v>
      </c>
      <c r="G98" s="652">
        <v>31904515</v>
      </c>
      <c r="H98" s="652">
        <v>0</v>
      </c>
      <c r="I98" s="652">
        <v>0</v>
      </c>
      <c r="J98" s="652">
        <v>0</v>
      </c>
      <c r="K98" s="652">
        <v>0</v>
      </c>
      <c r="L98" s="652">
        <f t="shared" si="3"/>
        <v>0</v>
      </c>
      <c r="M98" s="652"/>
      <c r="N98" s="652">
        <v>2287612</v>
      </c>
      <c r="O98" s="652">
        <v>11857</v>
      </c>
      <c r="P98" s="652">
        <v>8786358</v>
      </c>
      <c r="Q98" s="652">
        <v>554860</v>
      </c>
      <c r="R98" s="652">
        <f t="shared" si="4"/>
        <v>11640687</v>
      </c>
      <c r="S98" s="652"/>
      <c r="T98" s="652">
        <f t="shared" si="5"/>
        <v>1581775</v>
      </c>
      <c r="U98" s="652">
        <v>-110969</v>
      </c>
      <c r="V98" s="652">
        <v>1470806</v>
      </c>
      <c r="W98" s="654"/>
      <c r="X98" s="654"/>
      <c r="Y98" s="654"/>
      <c r="Z98" s="654"/>
      <c r="AA98" s="654"/>
      <c r="AB98" s="654"/>
      <c r="AC98" s="654"/>
      <c r="AD98" s="654"/>
      <c r="AE98" s="655"/>
      <c r="AF98" s="655"/>
      <c r="AG98" s="655"/>
      <c r="AH98" s="655"/>
      <c r="AI98" s="655"/>
      <c r="AJ98" s="655"/>
      <c r="AK98" s="655"/>
      <c r="AL98" s="655"/>
    </row>
    <row r="99" spans="1:38" hidden="1" x14ac:dyDescent="0.25">
      <c r="A99" s="653">
        <v>31810</v>
      </c>
      <c r="B99" s="651" t="s">
        <v>1312</v>
      </c>
      <c r="C99" s="675">
        <v>1.3240000000000001E-3</v>
      </c>
      <c r="D99" s="675">
        <v>1.3960000000000001E-3</v>
      </c>
      <c r="E99" s="680">
        <v>1236609</v>
      </c>
      <c r="F99" s="651">
        <v>57585964</v>
      </c>
      <c r="G99" s="652">
        <v>45773929</v>
      </c>
      <c r="H99" s="652">
        <v>0</v>
      </c>
      <c r="I99" s="652">
        <v>0</v>
      </c>
      <c r="J99" s="652">
        <v>0</v>
      </c>
      <c r="K99" s="652">
        <v>2550165</v>
      </c>
      <c r="L99" s="652">
        <f t="shared" si="3"/>
        <v>2550165</v>
      </c>
      <c r="M99" s="652"/>
      <c r="N99" s="652">
        <v>3282075</v>
      </c>
      <c r="O99" s="652">
        <v>17012</v>
      </c>
      <c r="P99" s="652">
        <v>12605931</v>
      </c>
      <c r="Q99" s="652">
        <v>0</v>
      </c>
      <c r="R99" s="652">
        <f t="shared" si="4"/>
        <v>15905018</v>
      </c>
      <c r="S99" s="652"/>
      <c r="T99" s="652">
        <f t="shared" si="5"/>
        <v>2269398</v>
      </c>
      <c r="U99" s="652">
        <v>510029</v>
      </c>
      <c r="V99" s="652">
        <v>2779427</v>
      </c>
      <c r="W99" s="654"/>
      <c r="X99" s="654"/>
      <c r="Y99" s="654"/>
      <c r="Z99" s="654"/>
      <c r="AA99" s="654"/>
      <c r="AB99" s="654"/>
      <c r="AC99" s="654"/>
      <c r="AD99" s="654"/>
      <c r="AE99" s="655"/>
      <c r="AF99" s="655"/>
      <c r="AG99" s="655"/>
      <c r="AH99" s="655"/>
      <c r="AI99" s="655"/>
      <c r="AJ99" s="655"/>
      <c r="AK99" s="655"/>
      <c r="AL99" s="655"/>
    </row>
    <row r="100" spans="1:38" hidden="1" x14ac:dyDescent="0.25">
      <c r="A100" s="653">
        <v>31820</v>
      </c>
      <c r="B100" s="651" t="s">
        <v>1313</v>
      </c>
      <c r="C100" s="675">
        <v>1.181E-3</v>
      </c>
      <c r="D100" s="675">
        <v>1.17E-3</v>
      </c>
      <c r="E100" s="680">
        <v>1016206</v>
      </c>
      <c r="F100" s="651">
        <v>51377674</v>
      </c>
      <c r="G100" s="652">
        <v>38366389</v>
      </c>
      <c r="H100" s="652">
        <v>0</v>
      </c>
      <c r="I100" s="652">
        <v>0</v>
      </c>
      <c r="J100" s="652">
        <v>0</v>
      </c>
      <c r="K100" s="652">
        <v>0</v>
      </c>
      <c r="L100" s="652">
        <f t="shared" si="3"/>
        <v>0</v>
      </c>
      <c r="M100" s="652"/>
      <c r="N100" s="652">
        <v>2750941</v>
      </c>
      <c r="O100" s="652">
        <v>14259</v>
      </c>
      <c r="P100" s="652">
        <v>10565928</v>
      </c>
      <c r="Q100" s="652">
        <v>471750</v>
      </c>
      <c r="R100" s="652">
        <f t="shared" si="4"/>
        <v>13802878</v>
      </c>
      <c r="S100" s="652"/>
      <c r="T100" s="652">
        <f t="shared" si="5"/>
        <v>1902144</v>
      </c>
      <c r="U100" s="652">
        <v>-94345</v>
      </c>
      <c r="V100" s="652">
        <v>1807799</v>
      </c>
      <c r="W100" s="654"/>
      <c r="X100" s="654"/>
      <c r="Y100" s="654"/>
      <c r="Z100" s="654"/>
      <c r="AA100" s="654"/>
      <c r="AB100" s="654"/>
      <c r="AC100" s="654"/>
      <c r="AD100" s="654"/>
      <c r="AE100" s="655"/>
      <c r="AF100" s="655"/>
      <c r="AG100" s="655"/>
      <c r="AH100" s="655"/>
      <c r="AI100" s="655"/>
      <c r="AJ100" s="655"/>
      <c r="AK100" s="655"/>
      <c r="AL100" s="655"/>
    </row>
    <row r="101" spans="1:38" hidden="1" x14ac:dyDescent="0.25">
      <c r="A101" s="653">
        <v>31900</v>
      </c>
      <c r="B101" s="651" t="s">
        <v>1314</v>
      </c>
      <c r="C101" s="675">
        <v>3.1099999999999999E-3</v>
      </c>
      <c r="D101" s="675">
        <v>3.2940000000000001E-3</v>
      </c>
      <c r="E101" s="680">
        <v>2898313</v>
      </c>
      <c r="F101" s="651">
        <v>135306096</v>
      </c>
      <c r="G101" s="652">
        <v>108008700</v>
      </c>
      <c r="H101" s="652">
        <v>0</v>
      </c>
      <c r="I101" s="652">
        <v>0</v>
      </c>
      <c r="J101" s="652">
        <v>0</v>
      </c>
      <c r="K101" s="652">
        <v>6479740</v>
      </c>
      <c r="L101" s="652">
        <f t="shared" si="3"/>
        <v>6479740</v>
      </c>
      <c r="M101" s="652"/>
      <c r="N101" s="652">
        <v>7744422</v>
      </c>
      <c r="O101" s="652">
        <v>40141</v>
      </c>
      <c r="P101" s="652">
        <v>29745103</v>
      </c>
      <c r="Q101" s="652">
        <v>0</v>
      </c>
      <c r="R101" s="652">
        <f t="shared" si="4"/>
        <v>37529666</v>
      </c>
      <c r="S101" s="652"/>
      <c r="T101" s="652">
        <f t="shared" si="5"/>
        <v>5354898</v>
      </c>
      <c r="U101" s="652">
        <v>1295944</v>
      </c>
      <c r="V101" s="652">
        <v>6650842</v>
      </c>
      <c r="W101" s="654"/>
      <c r="X101" s="654"/>
      <c r="Y101" s="654"/>
      <c r="Z101" s="654"/>
      <c r="AA101" s="654"/>
      <c r="AB101" s="654"/>
      <c r="AC101" s="654"/>
      <c r="AD101" s="654"/>
      <c r="AE101" s="655"/>
      <c r="AF101" s="655"/>
      <c r="AG101" s="655"/>
      <c r="AH101" s="655"/>
      <c r="AI101" s="655"/>
      <c r="AJ101" s="655"/>
      <c r="AK101" s="655"/>
      <c r="AL101" s="655"/>
    </row>
    <row r="102" spans="1:38" hidden="1" x14ac:dyDescent="0.25">
      <c r="A102" s="653">
        <v>32000</v>
      </c>
      <c r="B102" s="651" t="s">
        <v>1315</v>
      </c>
      <c r="C102" s="675">
        <v>1.25E-3</v>
      </c>
      <c r="D102" s="675">
        <v>1.3209999999999999E-3</v>
      </c>
      <c r="E102" s="680">
        <v>1191512</v>
      </c>
      <c r="F102" s="651">
        <v>54391589</v>
      </c>
      <c r="G102" s="652">
        <v>43299637</v>
      </c>
      <c r="H102" s="652">
        <v>0</v>
      </c>
      <c r="I102" s="652">
        <v>0</v>
      </c>
      <c r="J102" s="652">
        <v>0</v>
      </c>
      <c r="K102" s="652">
        <v>2498425</v>
      </c>
      <c r="L102" s="652">
        <f t="shared" si="3"/>
        <v>2498425</v>
      </c>
      <c r="M102" s="652"/>
      <c r="N102" s="652">
        <v>3104664</v>
      </c>
      <c r="O102" s="652">
        <v>16092</v>
      </c>
      <c r="P102" s="652">
        <v>11924522</v>
      </c>
      <c r="Q102" s="652">
        <v>0</v>
      </c>
      <c r="R102" s="652">
        <f t="shared" si="4"/>
        <v>15045278</v>
      </c>
      <c r="S102" s="652"/>
      <c r="T102" s="652">
        <f t="shared" si="5"/>
        <v>2146726</v>
      </c>
      <c r="U102" s="652">
        <v>499686</v>
      </c>
      <c r="V102" s="652">
        <v>2646412</v>
      </c>
      <c r="W102" s="654"/>
      <c r="X102" s="654"/>
      <c r="Y102" s="654"/>
      <c r="Z102" s="654"/>
      <c r="AA102" s="654"/>
      <c r="AB102" s="654"/>
      <c r="AC102" s="654"/>
      <c r="AD102" s="654"/>
      <c r="AE102" s="655"/>
      <c r="AF102" s="655"/>
      <c r="AG102" s="655"/>
      <c r="AH102" s="655"/>
      <c r="AI102" s="655"/>
      <c r="AJ102" s="655"/>
      <c r="AK102" s="655"/>
      <c r="AL102" s="655"/>
    </row>
    <row r="103" spans="1:38" hidden="1" x14ac:dyDescent="0.25">
      <c r="A103" s="653">
        <v>32005</v>
      </c>
      <c r="B103" s="651" t="s">
        <v>1316</v>
      </c>
      <c r="C103" s="675">
        <v>2.8200000000000002E-4</v>
      </c>
      <c r="D103" s="675">
        <v>2.72E-4</v>
      </c>
      <c r="E103" s="680">
        <v>296826</v>
      </c>
      <c r="F103" s="651">
        <v>12266312</v>
      </c>
      <c r="G103" s="652">
        <v>8916042</v>
      </c>
      <c r="H103" s="652">
        <v>0</v>
      </c>
      <c r="I103" s="652">
        <v>0</v>
      </c>
      <c r="J103" s="652">
        <v>0</v>
      </c>
      <c r="K103" s="652">
        <v>0</v>
      </c>
      <c r="L103" s="652">
        <f t="shared" si="3"/>
        <v>0</v>
      </c>
      <c r="M103" s="652"/>
      <c r="N103" s="652">
        <v>639297</v>
      </c>
      <c r="O103" s="652">
        <v>3314</v>
      </c>
      <c r="P103" s="652">
        <v>2455437</v>
      </c>
      <c r="Q103" s="652">
        <v>331200</v>
      </c>
      <c r="R103" s="652">
        <f t="shared" si="4"/>
        <v>3429248</v>
      </c>
      <c r="S103" s="652"/>
      <c r="T103" s="652">
        <f t="shared" si="5"/>
        <v>442043</v>
      </c>
      <c r="U103" s="652">
        <v>-66240</v>
      </c>
      <c r="V103" s="652">
        <v>375803</v>
      </c>
      <c r="W103" s="654"/>
      <c r="X103" s="654"/>
      <c r="Y103" s="654"/>
      <c r="Z103" s="654"/>
      <c r="AA103" s="654"/>
      <c r="AB103" s="654"/>
      <c r="AC103" s="654"/>
      <c r="AD103" s="654"/>
      <c r="AE103" s="655"/>
      <c r="AF103" s="655"/>
      <c r="AG103" s="655"/>
      <c r="AH103" s="655"/>
      <c r="AI103" s="655"/>
      <c r="AJ103" s="655"/>
      <c r="AK103" s="655"/>
      <c r="AL103" s="655"/>
    </row>
    <row r="104" spans="1:38" hidden="1" x14ac:dyDescent="0.25">
      <c r="A104" s="653">
        <v>32100</v>
      </c>
      <c r="B104" s="651" t="s">
        <v>1317</v>
      </c>
      <c r="C104" s="675">
        <v>7.7999999999999999E-4</v>
      </c>
      <c r="D104" s="675">
        <v>7.5900000000000002E-4</v>
      </c>
      <c r="E104" s="680">
        <v>725085</v>
      </c>
      <c r="F104" s="651">
        <v>33917452</v>
      </c>
      <c r="G104" s="652">
        <v>24876632</v>
      </c>
      <c r="H104" s="652">
        <v>0</v>
      </c>
      <c r="I104" s="652">
        <v>0</v>
      </c>
      <c r="J104" s="652">
        <v>0</v>
      </c>
      <c r="K104" s="652">
        <v>0</v>
      </c>
      <c r="L104" s="652">
        <f t="shared" si="3"/>
        <v>0</v>
      </c>
      <c r="M104" s="652"/>
      <c r="N104" s="652">
        <v>1783700</v>
      </c>
      <c r="O104" s="652">
        <v>9245</v>
      </c>
      <c r="P104" s="652">
        <v>6850911</v>
      </c>
      <c r="Q104" s="652">
        <v>754350</v>
      </c>
      <c r="R104" s="652">
        <f t="shared" si="4"/>
        <v>9398206</v>
      </c>
      <c r="S104" s="652"/>
      <c r="T104" s="652">
        <f t="shared" si="5"/>
        <v>1233343</v>
      </c>
      <c r="U104" s="652">
        <v>-150872</v>
      </c>
      <c r="V104" s="652">
        <v>1082471</v>
      </c>
      <c r="W104" s="654"/>
      <c r="X104" s="654"/>
      <c r="Y104" s="654"/>
      <c r="Z104" s="654"/>
      <c r="AA104" s="654"/>
      <c r="AB104" s="654"/>
      <c r="AC104" s="654"/>
      <c r="AD104" s="654"/>
      <c r="AE104" s="655"/>
      <c r="AF104" s="655"/>
      <c r="AG104" s="655"/>
      <c r="AH104" s="655"/>
      <c r="AI104" s="655"/>
      <c r="AJ104" s="655"/>
      <c r="AK104" s="655"/>
      <c r="AL104" s="655"/>
    </row>
    <row r="105" spans="1:38" hidden="1" x14ac:dyDescent="0.25">
      <c r="A105" s="653">
        <v>32200</v>
      </c>
      <c r="B105" s="651" t="s">
        <v>1318</v>
      </c>
      <c r="C105" s="675">
        <v>4.8000000000000001E-4</v>
      </c>
      <c r="D105" s="675">
        <v>4.8899999999999996E-4</v>
      </c>
      <c r="E105" s="680">
        <v>464194</v>
      </c>
      <c r="F105" s="651">
        <v>20880154</v>
      </c>
      <c r="G105" s="652">
        <v>16039045</v>
      </c>
      <c r="H105" s="652">
        <v>0</v>
      </c>
      <c r="I105" s="652">
        <v>0</v>
      </c>
      <c r="J105" s="652">
        <v>0</v>
      </c>
      <c r="K105" s="652">
        <v>334140</v>
      </c>
      <c r="L105" s="652">
        <f t="shared" si="3"/>
        <v>334140</v>
      </c>
      <c r="M105" s="652"/>
      <c r="N105" s="652">
        <v>1150029</v>
      </c>
      <c r="O105" s="652">
        <v>5961</v>
      </c>
      <c r="P105" s="652">
        <v>4417080</v>
      </c>
      <c r="Q105" s="652">
        <v>0</v>
      </c>
      <c r="R105" s="652">
        <f t="shared" si="4"/>
        <v>5573070</v>
      </c>
      <c r="S105" s="652"/>
      <c r="T105" s="652">
        <f t="shared" si="5"/>
        <v>795190</v>
      </c>
      <c r="U105" s="652">
        <v>66824</v>
      </c>
      <c r="V105" s="652">
        <v>862014</v>
      </c>
      <c r="W105" s="654"/>
      <c r="X105" s="654"/>
      <c r="Y105" s="654"/>
      <c r="Z105" s="654"/>
      <c r="AA105" s="654"/>
      <c r="AB105" s="654"/>
      <c r="AC105" s="654"/>
      <c r="AD105" s="654"/>
      <c r="AE105" s="655"/>
      <c r="AF105" s="655"/>
      <c r="AG105" s="655"/>
      <c r="AH105" s="655"/>
      <c r="AI105" s="655"/>
      <c r="AJ105" s="655"/>
      <c r="AK105" s="655"/>
      <c r="AL105" s="655"/>
    </row>
    <row r="106" spans="1:38" hidden="1" x14ac:dyDescent="0.25">
      <c r="A106" s="653">
        <v>32300</v>
      </c>
      <c r="B106" s="651" t="s">
        <v>1319</v>
      </c>
      <c r="C106" s="675">
        <v>5.4559999999999999E-3</v>
      </c>
      <c r="D106" s="675">
        <v>5.6290000000000003E-3</v>
      </c>
      <c r="E106" s="680">
        <v>4938539</v>
      </c>
      <c r="F106" s="651">
        <v>237332982</v>
      </c>
      <c r="G106" s="652">
        <v>184560641</v>
      </c>
      <c r="H106" s="652">
        <v>0</v>
      </c>
      <c r="I106" s="652">
        <v>0</v>
      </c>
      <c r="J106" s="652">
        <v>0</v>
      </c>
      <c r="K106" s="652">
        <v>5954220</v>
      </c>
      <c r="L106" s="652">
        <f t="shared" si="3"/>
        <v>5954220</v>
      </c>
      <c r="M106" s="652"/>
      <c r="N106" s="652">
        <v>13233337</v>
      </c>
      <c r="O106" s="652">
        <v>68591</v>
      </c>
      <c r="P106" s="652">
        <v>50827158</v>
      </c>
      <c r="Q106" s="652">
        <v>0</v>
      </c>
      <c r="R106" s="652">
        <f t="shared" si="4"/>
        <v>64129086</v>
      </c>
      <c r="S106" s="652"/>
      <c r="T106" s="652">
        <f t="shared" si="5"/>
        <v>9150220</v>
      </c>
      <c r="U106" s="652">
        <v>1190843</v>
      </c>
      <c r="V106" s="652">
        <v>10341063</v>
      </c>
      <c r="W106" s="654"/>
      <c r="X106" s="654"/>
      <c r="Y106" s="654"/>
      <c r="Z106" s="654"/>
      <c r="AA106" s="654"/>
      <c r="AB106" s="654"/>
      <c r="AC106" s="654"/>
      <c r="AD106" s="654"/>
      <c r="AE106" s="655"/>
      <c r="AF106" s="655"/>
      <c r="AG106" s="655"/>
      <c r="AH106" s="655"/>
      <c r="AI106" s="655"/>
      <c r="AJ106" s="655"/>
      <c r="AK106" s="655"/>
      <c r="AL106" s="655"/>
    </row>
    <row r="107" spans="1:38" hidden="1" x14ac:dyDescent="0.25">
      <c r="A107" s="653">
        <v>32305</v>
      </c>
      <c r="B107" s="651" t="s">
        <v>1320</v>
      </c>
      <c r="C107" s="675">
        <v>5.6099999999999998E-4</v>
      </c>
      <c r="D107" s="675">
        <v>5.5400000000000002E-4</v>
      </c>
      <c r="E107" s="680">
        <v>579445</v>
      </c>
      <c r="F107" s="651">
        <v>24387852</v>
      </c>
      <c r="G107" s="652">
        <v>18149963</v>
      </c>
      <c r="H107" s="652">
        <v>0</v>
      </c>
      <c r="I107" s="652">
        <v>0</v>
      </c>
      <c r="J107" s="652">
        <v>0</v>
      </c>
      <c r="K107" s="652">
        <v>0</v>
      </c>
      <c r="L107" s="652">
        <f t="shared" si="3"/>
        <v>0</v>
      </c>
      <c r="M107" s="652"/>
      <c r="N107" s="652">
        <v>1301386</v>
      </c>
      <c r="O107" s="652">
        <v>6745</v>
      </c>
      <c r="P107" s="652">
        <v>4998417</v>
      </c>
      <c r="Q107" s="652">
        <v>209785</v>
      </c>
      <c r="R107" s="652">
        <f t="shared" si="4"/>
        <v>6516333</v>
      </c>
      <c r="S107" s="652"/>
      <c r="T107" s="652">
        <f t="shared" si="5"/>
        <v>899846</v>
      </c>
      <c r="U107" s="652">
        <v>-41958</v>
      </c>
      <c r="V107" s="652">
        <v>857888</v>
      </c>
      <c r="W107" s="654"/>
      <c r="X107" s="654"/>
      <c r="Y107" s="654"/>
      <c r="Z107" s="654"/>
      <c r="AA107" s="654"/>
      <c r="AB107" s="654"/>
      <c r="AC107" s="654"/>
      <c r="AD107" s="654"/>
      <c r="AE107" s="655"/>
      <c r="AF107" s="655"/>
      <c r="AG107" s="655"/>
      <c r="AH107" s="655"/>
      <c r="AI107" s="655"/>
      <c r="AJ107" s="655"/>
      <c r="AK107" s="655"/>
      <c r="AL107" s="655"/>
    </row>
    <row r="108" spans="1:38" hidden="1" x14ac:dyDescent="0.25">
      <c r="A108" s="653">
        <v>32400</v>
      </c>
      <c r="B108" s="651" t="s">
        <v>1321</v>
      </c>
      <c r="C108" s="675">
        <v>1.9319999999999999E-3</v>
      </c>
      <c r="D108" s="675">
        <v>1.9940000000000001E-3</v>
      </c>
      <c r="E108" s="680">
        <v>1914887</v>
      </c>
      <c r="F108" s="651">
        <v>84064050</v>
      </c>
      <c r="G108" s="652">
        <v>65370641</v>
      </c>
      <c r="H108" s="652">
        <v>0</v>
      </c>
      <c r="I108" s="652">
        <v>0</v>
      </c>
      <c r="J108" s="652">
        <v>0</v>
      </c>
      <c r="K108" s="652">
        <v>2245645</v>
      </c>
      <c r="L108" s="652">
        <f t="shared" si="3"/>
        <v>2245645</v>
      </c>
      <c r="M108" s="652"/>
      <c r="N108" s="652">
        <v>4687195</v>
      </c>
      <c r="O108" s="652">
        <v>24295</v>
      </c>
      <c r="P108" s="652">
        <v>18002776</v>
      </c>
      <c r="Q108" s="652">
        <v>0</v>
      </c>
      <c r="R108" s="652">
        <f t="shared" si="4"/>
        <v>22714266</v>
      </c>
      <c r="S108" s="652"/>
      <c r="T108" s="652">
        <f t="shared" si="5"/>
        <v>3240971</v>
      </c>
      <c r="U108" s="652">
        <v>449128</v>
      </c>
      <c r="V108" s="652">
        <v>3690099</v>
      </c>
      <c r="W108" s="654"/>
      <c r="X108" s="654"/>
      <c r="Y108" s="654"/>
      <c r="Z108" s="654"/>
      <c r="AA108" s="654"/>
      <c r="AB108" s="654"/>
      <c r="AC108" s="654"/>
      <c r="AD108" s="654"/>
      <c r="AE108" s="655"/>
      <c r="AF108" s="655"/>
      <c r="AG108" s="655"/>
      <c r="AH108" s="655"/>
      <c r="AI108" s="655"/>
      <c r="AJ108" s="655"/>
      <c r="AK108" s="655"/>
      <c r="AL108" s="655"/>
    </row>
    <row r="109" spans="1:38" hidden="1" x14ac:dyDescent="0.25">
      <c r="A109" s="653">
        <v>32405</v>
      </c>
      <c r="B109" s="651" t="s">
        <v>1322</v>
      </c>
      <c r="C109" s="675">
        <v>4.8299999999999998E-4</v>
      </c>
      <c r="D109" s="675">
        <v>4.8299999999999998E-4</v>
      </c>
      <c r="E109" s="680">
        <v>518032</v>
      </c>
      <c r="F109" s="651">
        <v>21011016</v>
      </c>
      <c r="G109" s="652">
        <v>15832522</v>
      </c>
      <c r="H109" s="652">
        <v>0</v>
      </c>
      <c r="I109" s="652">
        <v>0</v>
      </c>
      <c r="J109" s="652">
        <v>0</v>
      </c>
      <c r="K109" s="652">
        <v>46580</v>
      </c>
      <c r="L109" s="652">
        <f t="shared" si="3"/>
        <v>46580</v>
      </c>
      <c r="M109" s="652"/>
      <c r="N109" s="652">
        <v>1135221</v>
      </c>
      <c r="O109" s="652">
        <v>5884</v>
      </c>
      <c r="P109" s="652">
        <v>4360204</v>
      </c>
      <c r="Q109" s="652">
        <v>0</v>
      </c>
      <c r="R109" s="652">
        <f t="shared" si="4"/>
        <v>5501309</v>
      </c>
      <c r="S109" s="652"/>
      <c r="T109" s="652">
        <f t="shared" si="5"/>
        <v>784951</v>
      </c>
      <c r="U109" s="652">
        <v>9316</v>
      </c>
      <c r="V109" s="652">
        <v>794267</v>
      </c>
      <c r="W109" s="654"/>
      <c r="X109" s="654"/>
      <c r="Y109" s="654"/>
      <c r="Z109" s="654"/>
      <c r="AA109" s="654"/>
      <c r="AB109" s="654"/>
      <c r="AC109" s="654"/>
      <c r="AD109" s="654"/>
      <c r="AE109" s="655"/>
      <c r="AF109" s="655"/>
      <c r="AG109" s="655"/>
      <c r="AH109" s="655"/>
      <c r="AI109" s="655"/>
      <c r="AJ109" s="655"/>
      <c r="AK109" s="655"/>
      <c r="AL109" s="655"/>
    </row>
    <row r="110" spans="1:38" hidden="1" x14ac:dyDescent="0.25">
      <c r="A110" s="653">
        <v>32410</v>
      </c>
      <c r="B110" s="651" t="s">
        <v>1323</v>
      </c>
      <c r="C110" s="675">
        <v>7.6999999999999996E-4</v>
      </c>
      <c r="D110" s="675">
        <v>7.7300000000000003E-4</v>
      </c>
      <c r="E110" s="680">
        <v>758316</v>
      </c>
      <c r="F110" s="651">
        <v>33480925</v>
      </c>
      <c r="G110" s="652">
        <v>25336229</v>
      </c>
      <c r="H110" s="652">
        <v>0</v>
      </c>
      <c r="I110" s="652">
        <v>0</v>
      </c>
      <c r="J110" s="652">
        <v>0</v>
      </c>
      <c r="K110" s="652">
        <v>134205</v>
      </c>
      <c r="L110" s="652">
        <f t="shared" si="3"/>
        <v>134205</v>
      </c>
      <c r="M110" s="652"/>
      <c r="N110" s="652">
        <v>1816654</v>
      </c>
      <c r="O110" s="652">
        <v>9416</v>
      </c>
      <c r="P110" s="652">
        <v>6977482</v>
      </c>
      <c r="Q110" s="652">
        <v>0</v>
      </c>
      <c r="R110" s="652">
        <f t="shared" si="4"/>
        <v>8803552</v>
      </c>
      <c r="S110" s="652"/>
      <c r="T110" s="652">
        <f t="shared" si="5"/>
        <v>1256130</v>
      </c>
      <c r="U110" s="652">
        <v>26837</v>
      </c>
      <c r="V110" s="652">
        <v>1282967</v>
      </c>
      <c r="W110" s="654"/>
      <c r="X110" s="654"/>
      <c r="Y110" s="654"/>
      <c r="Z110" s="654"/>
      <c r="AA110" s="654"/>
      <c r="AB110" s="654"/>
      <c r="AC110" s="654"/>
      <c r="AD110" s="654"/>
      <c r="AE110" s="655"/>
      <c r="AF110" s="655"/>
      <c r="AG110" s="655"/>
      <c r="AH110" s="655"/>
      <c r="AI110" s="655"/>
      <c r="AJ110" s="655"/>
      <c r="AK110" s="655"/>
      <c r="AL110" s="655"/>
    </row>
    <row r="111" spans="1:38" hidden="1" x14ac:dyDescent="0.25">
      <c r="A111" s="653">
        <v>32500</v>
      </c>
      <c r="B111" s="651" t="s">
        <v>1324</v>
      </c>
      <c r="C111" s="675">
        <v>4.4130000000000003E-3</v>
      </c>
      <c r="D111" s="675">
        <v>4.3759999999999997E-3</v>
      </c>
      <c r="E111" s="680">
        <v>3928750</v>
      </c>
      <c r="F111" s="651">
        <v>191972313</v>
      </c>
      <c r="G111" s="652">
        <v>143473565</v>
      </c>
      <c r="H111" s="652">
        <v>0</v>
      </c>
      <c r="I111" s="652">
        <v>0</v>
      </c>
      <c r="J111" s="652">
        <v>0</v>
      </c>
      <c r="K111" s="652">
        <v>0</v>
      </c>
      <c r="L111" s="652">
        <f t="shared" si="3"/>
        <v>0</v>
      </c>
      <c r="M111" s="652"/>
      <c r="N111" s="652">
        <v>10287319</v>
      </c>
      <c r="O111" s="652">
        <v>53321</v>
      </c>
      <c r="P111" s="652">
        <v>39511965</v>
      </c>
      <c r="Q111" s="652">
        <v>1525485</v>
      </c>
      <c r="R111" s="652">
        <f t="shared" si="4"/>
        <v>51378090</v>
      </c>
      <c r="S111" s="652"/>
      <c r="T111" s="652">
        <f t="shared" si="5"/>
        <v>7113189</v>
      </c>
      <c r="U111" s="652">
        <v>-305098</v>
      </c>
      <c r="V111" s="652">
        <v>6808091</v>
      </c>
      <c r="W111" s="654"/>
      <c r="X111" s="654"/>
      <c r="Y111" s="654"/>
      <c r="Z111" s="654"/>
      <c r="AA111" s="654"/>
      <c r="AB111" s="654"/>
      <c r="AC111" s="654"/>
      <c r="AD111" s="654"/>
      <c r="AE111" s="655"/>
      <c r="AF111" s="655"/>
      <c r="AG111" s="655"/>
      <c r="AH111" s="655"/>
      <c r="AI111" s="655"/>
      <c r="AJ111" s="655"/>
      <c r="AK111" s="655"/>
      <c r="AL111" s="655"/>
    </row>
    <row r="112" spans="1:38" hidden="1" x14ac:dyDescent="0.25">
      <c r="A112" s="653">
        <v>32505</v>
      </c>
      <c r="B112" s="651" t="s">
        <v>1325</v>
      </c>
      <c r="C112" s="675">
        <v>6.4400000000000004E-4</v>
      </c>
      <c r="D112" s="675">
        <v>6.0899999999999995E-4</v>
      </c>
      <c r="E112" s="680">
        <v>644808</v>
      </c>
      <c r="F112" s="651">
        <v>27995425</v>
      </c>
      <c r="G112" s="652">
        <v>19961169</v>
      </c>
      <c r="H112" s="652">
        <v>0</v>
      </c>
      <c r="I112" s="652">
        <v>0</v>
      </c>
      <c r="J112" s="652">
        <v>0</v>
      </c>
      <c r="K112" s="652">
        <v>0</v>
      </c>
      <c r="L112" s="652">
        <f t="shared" si="3"/>
        <v>0</v>
      </c>
      <c r="M112" s="652"/>
      <c r="N112" s="652">
        <v>1431253</v>
      </c>
      <c r="O112" s="652">
        <v>7418</v>
      </c>
      <c r="P112" s="652">
        <v>5497215</v>
      </c>
      <c r="Q112" s="652">
        <v>1202670</v>
      </c>
      <c r="R112" s="652">
        <f t="shared" si="4"/>
        <v>8138556</v>
      </c>
      <c r="S112" s="652"/>
      <c r="T112" s="652">
        <f t="shared" si="5"/>
        <v>989643</v>
      </c>
      <c r="U112" s="652">
        <v>-240535</v>
      </c>
      <c r="V112" s="652">
        <v>749108</v>
      </c>
      <c r="W112" s="654"/>
      <c r="X112" s="654"/>
      <c r="Y112" s="654"/>
      <c r="Z112" s="654"/>
      <c r="AA112" s="654"/>
      <c r="AB112" s="654"/>
      <c r="AC112" s="654"/>
      <c r="AD112" s="654"/>
      <c r="AE112" s="655"/>
      <c r="AF112" s="655"/>
      <c r="AG112" s="655"/>
      <c r="AH112" s="655"/>
      <c r="AI112" s="655"/>
      <c r="AJ112" s="655"/>
      <c r="AK112" s="655"/>
      <c r="AL112" s="655"/>
    </row>
    <row r="113" spans="1:38" hidden="1" x14ac:dyDescent="0.25">
      <c r="A113" s="653">
        <v>32600</v>
      </c>
      <c r="B113" s="651" t="s">
        <v>1326</v>
      </c>
      <c r="C113" s="675">
        <v>1.5847E-2</v>
      </c>
      <c r="D113" s="675">
        <v>1.5807999999999999E-2</v>
      </c>
      <c r="E113" s="680">
        <v>14227355</v>
      </c>
      <c r="F113" s="651">
        <v>689415246</v>
      </c>
      <c r="G113" s="652">
        <v>518296049</v>
      </c>
      <c r="H113" s="652">
        <v>0</v>
      </c>
      <c r="I113" s="652">
        <v>0</v>
      </c>
      <c r="J113" s="652">
        <v>0</v>
      </c>
      <c r="K113" s="652">
        <v>0</v>
      </c>
      <c r="L113" s="652">
        <f t="shared" si="3"/>
        <v>0</v>
      </c>
      <c r="M113" s="652"/>
      <c r="N113" s="652">
        <v>37162780</v>
      </c>
      <c r="O113" s="652">
        <v>192621</v>
      </c>
      <c r="P113" s="652">
        <v>142736366</v>
      </c>
      <c r="Q113" s="652">
        <v>2080300</v>
      </c>
      <c r="R113" s="652">
        <f t="shared" si="4"/>
        <v>182172067</v>
      </c>
      <c r="S113" s="652"/>
      <c r="T113" s="652">
        <f t="shared" si="5"/>
        <v>25696286</v>
      </c>
      <c r="U113" s="652">
        <v>-416061</v>
      </c>
      <c r="V113" s="652">
        <v>25280225</v>
      </c>
      <c r="W113" s="654"/>
      <c r="X113" s="654"/>
      <c r="Y113" s="654"/>
      <c r="Z113" s="654"/>
      <c r="AA113" s="654"/>
      <c r="AB113" s="654"/>
      <c r="AC113" s="654"/>
      <c r="AD113" s="654"/>
      <c r="AE113" s="655"/>
      <c r="AF113" s="655"/>
      <c r="AG113" s="655"/>
      <c r="AH113" s="655"/>
      <c r="AI113" s="655"/>
      <c r="AJ113" s="655"/>
      <c r="AK113" s="655"/>
      <c r="AL113" s="655"/>
    </row>
    <row r="114" spans="1:38" hidden="1" x14ac:dyDescent="0.25">
      <c r="A114" s="653">
        <v>32605</v>
      </c>
      <c r="B114" s="651" t="s">
        <v>1327</v>
      </c>
      <c r="C114" s="675">
        <v>2.2539999999999999E-3</v>
      </c>
      <c r="D114" s="675">
        <v>2.1129999999999999E-3</v>
      </c>
      <c r="E114" s="680">
        <v>2275560</v>
      </c>
      <c r="F114" s="651">
        <v>98040391</v>
      </c>
      <c r="G114" s="652">
        <v>69265469</v>
      </c>
      <c r="H114" s="652">
        <v>0</v>
      </c>
      <c r="I114" s="652">
        <v>0</v>
      </c>
      <c r="J114" s="652">
        <v>0</v>
      </c>
      <c r="K114" s="652">
        <v>0</v>
      </c>
      <c r="L114" s="652">
        <f t="shared" si="3"/>
        <v>0</v>
      </c>
      <c r="M114" s="652"/>
      <c r="N114" s="652">
        <v>4966462</v>
      </c>
      <c r="O114" s="652">
        <v>25742</v>
      </c>
      <c r="P114" s="652">
        <v>19075394</v>
      </c>
      <c r="Q114" s="652">
        <v>4888195</v>
      </c>
      <c r="R114" s="652">
        <f t="shared" si="4"/>
        <v>28955793</v>
      </c>
      <c r="S114" s="652"/>
      <c r="T114" s="652">
        <f t="shared" si="5"/>
        <v>3434071</v>
      </c>
      <c r="U114" s="652">
        <v>-977641</v>
      </c>
      <c r="V114" s="652">
        <v>2456430</v>
      </c>
      <c r="W114" s="654"/>
      <c r="X114" s="654"/>
      <c r="Y114" s="654"/>
      <c r="Z114" s="654"/>
      <c r="AA114" s="654"/>
      <c r="AB114" s="654"/>
      <c r="AC114" s="654"/>
      <c r="AD114" s="654"/>
      <c r="AE114" s="655"/>
      <c r="AF114" s="655"/>
      <c r="AG114" s="655"/>
      <c r="AH114" s="655"/>
      <c r="AI114" s="655"/>
      <c r="AJ114" s="655"/>
      <c r="AK114" s="655"/>
      <c r="AL114" s="655"/>
    </row>
    <row r="115" spans="1:38" hidden="1" x14ac:dyDescent="0.25">
      <c r="A115" s="653">
        <v>32700</v>
      </c>
      <c r="B115" s="651" t="s">
        <v>1328</v>
      </c>
      <c r="C115" s="675">
        <v>1.348E-3</v>
      </c>
      <c r="D115" s="675">
        <v>1.4300000000000001E-3</v>
      </c>
      <c r="E115" s="680">
        <v>1319508</v>
      </c>
      <c r="F115" s="651">
        <v>58639802</v>
      </c>
      <c r="G115" s="652">
        <v>46900827</v>
      </c>
      <c r="H115" s="652">
        <v>0</v>
      </c>
      <c r="I115" s="652">
        <v>0</v>
      </c>
      <c r="J115" s="652">
        <v>0</v>
      </c>
      <c r="K115" s="652">
        <v>2959870</v>
      </c>
      <c r="L115" s="652">
        <f t="shared" si="3"/>
        <v>2959870</v>
      </c>
      <c r="M115" s="652"/>
      <c r="N115" s="652">
        <v>3362876</v>
      </c>
      <c r="O115" s="652">
        <v>17430</v>
      </c>
      <c r="P115" s="652">
        <v>12916274</v>
      </c>
      <c r="Q115" s="652">
        <v>0</v>
      </c>
      <c r="R115" s="652">
        <f t="shared" si="4"/>
        <v>16296580</v>
      </c>
      <c r="S115" s="652"/>
      <c r="T115" s="652">
        <f t="shared" si="5"/>
        <v>2325268</v>
      </c>
      <c r="U115" s="652">
        <v>591975</v>
      </c>
      <c r="V115" s="652">
        <v>2917243</v>
      </c>
      <c r="W115" s="654"/>
      <c r="X115" s="654"/>
      <c r="Y115" s="654"/>
      <c r="Z115" s="654"/>
      <c r="AA115" s="654"/>
      <c r="AB115" s="654"/>
      <c r="AC115" s="654"/>
      <c r="AD115" s="654"/>
      <c r="AE115" s="655"/>
      <c r="AF115" s="655"/>
      <c r="AG115" s="655"/>
      <c r="AH115" s="655"/>
      <c r="AI115" s="655"/>
      <c r="AJ115" s="655"/>
      <c r="AK115" s="655"/>
      <c r="AL115" s="655"/>
    </row>
    <row r="116" spans="1:38" hidden="1" x14ac:dyDescent="0.25">
      <c r="A116" s="653">
        <v>32800</v>
      </c>
      <c r="B116" s="651" t="s">
        <v>1329</v>
      </c>
      <c r="C116" s="675">
        <v>1.807E-3</v>
      </c>
      <c r="D116" s="675">
        <v>1.8890000000000001E-3</v>
      </c>
      <c r="E116" s="680">
        <v>1940996</v>
      </c>
      <c r="F116" s="651">
        <v>78609531</v>
      </c>
      <c r="G116" s="652">
        <v>61923558</v>
      </c>
      <c r="H116" s="652">
        <v>0</v>
      </c>
      <c r="I116" s="652">
        <v>0</v>
      </c>
      <c r="J116" s="652">
        <v>0</v>
      </c>
      <c r="K116" s="652">
        <v>3084555</v>
      </c>
      <c r="L116" s="652">
        <f t="shared" si="3"/>
        <v>3084555</v>
      </c>
      <c r="M116" s="652"/>
      <c r="N116" s="652">
        <v>4440033</v>
      </c>
      <c r="O116" s="652">
        <v>23013</v>
      </c>
      <c r="P116" s="652">
        <v>17053465</v>
      </c>
      <c r="Q116" s="652">
        <v>0</v>
      </c>
      <c r="R116" s="652">
        <f t="shared" si="4"/>
        <v>21516511</v>
      </c>
      <c r="S116" s="652"/>
      <c r="T116" s="652">
        <f t="shared" si="5"/>
        <v>3070071</v>
      </c>
      <c r="U116" s="652">
        <v>616909</v>
      </c>
      <c r="V116" s="652">
        <v>3686980</v>
      </c>
      <c r="W116" s="654"/>
      <c r="X116" s="654"/>
      <c r="Y116" s="654"/>
      <c r="Z116" s="654"/>
      <c r="AA116" s="654"/>
      <c r="AB116" s="654"/>
      <c r="AC116" s="654"/>
      <c r="AD116" s="654"/>
      <c r="AE116" s="655"/>
      <c r="AF116" s="655"/>
      <c r="AG116" s="655"/>
      <c r="AH116" s="655"/>
      <c r="AI116" s="655"/>
      <c r="AJ116" s="655"/>
      <c r="AK116" s="655"/>
      <c r="AL116" s="655"/>
    </row>
    <row r="117" spans="1:38" hidden="1" x14ac:dyDescent="0.25">
      <c r="A117" s="653">
        <v>32900</v>
      </c>
      <c r="B117" s="651" t="s">
        <v>1330</v>
      </c>
      <c r="C117" s="675">
        <v>5.751E-3</v>
      </c>
      <c r="D117" s="675">
        <v>6.0000000000000001E-3</v>
      </c>
      <c r="E117" s="680">
        <v>5308245</v>
      </c>
      <c r="F117" s="651">
        <v>250186179</v>
      </c>
      <c r="G117" s="652">
        <v>196722370</v>
      </c>
      <c r="H117" s="652">
        <v>0</v>
      </c>
      <c r="I117" s="652">
        <v>0</v>
      </c>
      <c r="J117" s="652">
        <v>0</v>
      </c>
      <c r="K117" s="652">
        <v>8705140</v>
      </c>
      <c r="L117" s="652">
        <f t="shared" si="3"/>
        <v>8705140</v>
      </c>
      <c r="M117" s="652"/>
      <c r="N117" s="652">
        <v>14105356</v>
      </c>
      <c r="O117" s="652">
        <v>73111</v>
      </c>
      <c r="P117" s="652">
        <v>54176443</v>
      </c>
      <c r="Q117" s="652">
        <v>0</v>
      </c>
      <c r="R117" s="652">
        <f t="shared" si="4"/>
        <v>68354910</v>
      </c>
      <c r="S117" s="652"/>
      <c r="T117" s="652">
        <f t="shared" si="5"/>
        <v>9753179</v>
      </c>
      <c r="U117" s="652">
        <v>1741026</v>
      </c>
      <c r="V117" s="652">
        <v>11494205</v>
      </c>
      <c r="W117" s="654"/>
      <c r="X117" s="654"/>
      <c r="Y117" s="654"/>
      <c r="Z117" s="654"/>
      <c r="AA117" s="654"/>
      <c r="AB117" s="654"/>
      <c r="AC117" s="654"/>
      <c r="AD117" s="654"/>
      <c r="AE117" s="655"/>
      <c r="AF117" s="655"/>
      <c r="AG117" s="655"/>
      <c r="AH117" s="655"/>
      <c r="AI117" s="655"/>
      <c r="AJ117" s="655"/>
      <c r="AK117" s="655"/>
      <c r="AL117" s="655"/>
    </row>
    <row r="118" spans="1:38" hidden="1" x14ac:dyDescent="0.25">
      <c r="A118" s="653">
        <v>32901</v>
      </c>
      <c r="B118" s="651" t="s">
        <v>1331</v>
      </c>
      <c r="C118" s="675">
        <v>1.9799999999999999E-4</v>
      </c>
      <c r="D118" s="675">
        <v>1.5699999999999999E-4</v>
      </c>
      <c r="E118" s="680">
        <v>113778</v>
      </c>
      <c r="F118" s="651">
        <v>8597823</v>
      </c>
      <c r="G118" s="652">
        <v>5159836</v>
      </c>
      <c r="H118" s="652">
        <v>0</v>
      </c>
      <c r="I118" s="652">
        <v>0</v>
      </c>
      <c r="J118" s="652">
        <v>0</v>
      </c>
      <c r="K118" s="652">
        <v>0</v>
      </c>
      <c r="L118" s="652">
        <f t="shared" si="3"/>
        <v>0</v>
      </c>
      <c r="M118" s="652"/>
      <c r="N118" s="652">
        <v>369970</v>
      </c>
      <c r="O118" s="652">
        <v>1918</v>
      </c>
      <c r="P118" s="652">
        <v>1420995</v>
      </c>
      <c r="Q118" s="652">
        <v>1489290</v>
      </c>
      <c r="R118" s="652">
        <f t="shared" si="4"/>
        <v>3282173</v>
      </c>
      <c r="S118" s="652"/>
      <c r="T118" s="652">
        <f t="shared" si="5"/>
        <v>255816</v>
      </c>
      <c r="U118" s="652">
        <v>-297853</v>
      </c>
      <c r="V118" s="652">
        <v>-42037</v>
      </c>
      <c r="W118" s="654"/>
      <c r="X118" s="654"/>
      <c r="Y118" s="654"/>
      <c r="Z118" s="654"/>
      <c r="AA118" s="654"/>
      <c r="AB118" s="654"/>
      <c r="AC118" s="654"/>
      <c r="AD118" s="654"/>
      <c r="AE118" s="655"/>
      <c r="AF118" s="655"/>
      <c r="AG118" s="655"/>
      <c r="AH118" s="655"/>
      <c r="AI118" s="655"/>
      <c r="AJ118" s="655"/>
      <c r="AK118" s="655"/>
      <c r="AL118" s="655"/>
    </row>
    <row r="119" spans="1:38" hidden="1" x14ac:dyDescent="0.25">
      <c r="A119" s="653">
        <v>32905</v>
      </c>
      <c r="B119" s="651" t="s">
        <v>1332</v>
      </c>
      <c r="C119" s="675">
        <v>8.3100000000000003E-4</v>
      </c>
      <c r="D119" s="675">
        <v>7.8899999999999999E-4</v>
      </c>
      <c r="E119" s="680">
        <v>846743</v>
      </c>
      <c r="F119" s="651">
        <v>36155044</v>
      </c>
      <c r="G119" s="652">
        <v>25876396</v>
      </c>
      <c r="H119" s="652">
        <v>0</v>
      </c>
      <c r="I119" s="652">
        <v>0</v>
      </c>
      <c r="J119" s="652">
        <v>0</v>
      </c>
      <c r="K119" s="652">
        <v>0</v>
      </c>
      <c r="L119" s="652">
        <f t="shared" si="3"/>
        <v>0</v>
      </c>
      <c r="M119" s="652"/>
      <c r="N119" s="652">
        <v>1855385</v>
      </c>
      <c r="O119" s="652">
        <v>9617</v>
      </c>
      <c r="P119" s="652">
        <v>7126241</v>
      </c>
      <c r="Q119" s="652">
        <v>1436310</v>
      </c>
      <c r="R119" s="652">
        <f t="shared" si="4"/>
        <v>10427553</v>
      </c>
      <c r="S119" s="652"/>
      <c r="T119" s="652">
        <f t="shared" si="5"/>
        <v>1282910</v>
      </c>
      <c r="U119" s="652">
        <v>-287262</v>
      </c>
      <c r="V119" s="652">
        <v>995648</v>
      </c>
      <c r="W119" s="654"/>
      <c r="X119" s="654"/>
      <c r="Y119" s="654"/>
      <c r="Z119" s="654"/>
      <c r="AA119" s="654"/>
      <c r="AB119" s="654"/>
      <c r="AC119" s="654"/>
      <c r="AD119" s="654"/>
      <c r="AE119" s="655"/>
      <c r="AF119" s="655"/>
      <c r="AG119" s="655"/>
      <c r="AH119" s="655"/>
      <c r="AI119" s="655"/>
      <c r="AJ119" s="655"/>
      <c r="AK119" s="655"/>
      <c r="AL119" s="655"/>
    </row>
    <row r="120" spans="1:38" hidden="1" x14ac:dyDescent="0.25">
      <c r="A120" s="653">
        <v>32910</v>
      </c>
      <c r="B120" s="651" t="s">
        <v>1333</v>
      </c>
      <c r="C120" s="675">
        <v>1.047E-3</v>
      </c>
      <c r="D120" s="675">
        <v>1.1019999999999999E-3</v>
      </c>
      <c r="E120" s="680">
        <v>1035320</v>
      </c>
      <c r="F120" s="651">
        <v>45536024</v>
      </c>
      <c r="G120" s="652">
        <v>36132586</v>
      </c>
      <c r="H120" s="652">
        <v>0</v>
      </c>
      <c r="I120" s="652">
        <v>0</v>
      </c>
      <c r="J120" s="652">
        <v>0</v>
      </c>
      <c r="K120" s="652">
        <v>1996200</v>
      </c>
      <c r="L120" s="652">
        <f t="shared" si="3"/>
        <v>1996200</v>
      </c>
      <c r="M120" s="652"/>
      <c r="N120" s="652">
        <v>2590773</v>
      </c>
      <c r="O120" s="652">
        <v>13428</v>
      </c>
      <c r="P120" s="652">
        <v>9950749</v>
      </c>
      <c r="Q120" s="652">
        <v>0</v>
      </c>
      <c r="R120" s="652">
        <f t="shared" si="4"/>
        <v>12554950</v>
      </c>
      <c r="S120" s="652"/>
      <c r="T120" s="652">
        <f t="shared" si="5"/>
        <v>1791396</v>
      </c>
      <c r="U120" s="652">
        <v>399236</v>
      </c>
      <c r="V120" s="652">
        <v>2190632</v>
      </c>
      <c r="W120" s="654"/>
      <c r="X120" s="654"/>
      <c r="Y120" s="654"/>
      <c r="Z120" s="654"/>
      <c r="AA120" s="654"/>
      <c r="AB120" s="654"/>
      <c r="AC120" s="654"/>
      <c r="AD120" s="654"/>
      <c r="AE120" s="655"/>
      <c r="AF120" s="655"/>
      <c r="AG120" s="655"/>
      <c r="AH120" s="655"/>
      <c r="AI120" s="655"/>
      <c r="AJ120" s="655"/>
      <c r="AK120" s="655"/>
      <c r="AL120" s="655"/>
    </row>
    <row r="121" spans="1:38" hidden="1" x14ac:dyDescent="0.25">
      <c r="A121" s="653">
        <v>32920</v>
      </c>
      <c r="B121" s="651" t="s">
        <v>1334</v>
      </c>
      <c r="C121" s="675">
        <v>8.5899999999999995E-4</v>
      </c>
      <c r="D121" s="675">
        <v>9.2299999999999999E-4</v>
      </c>
      <c r="E121" s="680">
        <v>817991</v>
      </c>
      <c r="F121" s="651">
        <v>37359877</v>
      </c>
      <c r="G121" s="652">
        <v>30270973</v>
      </c>
      <c r="H121" s="652">
        <v>0</v>
      </c>
      <c r="I121" s="652">
        <v>0</v>
      </c>
      <c r="J121" s="652">
        <v>0</v>
      </c>
      <c r="K121" s="652">
        <v>2288770</v>
      </c>
      <c r="L121" s="652">
        <f t="shared" si="3"/>
        <v>2288770</v>
      </c>
      <c r="M121" s="652"/>
      <c r="N121" s="652">
        <v>2170484</v>
      </c>
      <c r="O121" s="652">
        <v>11250</v>
      </c>
      <c r="P121" s="652">
        <v>8336488</v>
      </c>
      <c r="Q121" s="652">
        <v>0</v>
      </c>
      <c r="R121" s="652">
        <f t="shared" si="4"/>
        <v>10518222</v>
      </c>
      <c r="S121" s="652"/>
      <c r="T121" s="652">
        <f t="shared" si="5"/>
        <v>1500786</v>
      </c>
      <c r="U121" s="652">
        <v>457753</v>
      </c>
      <c r="V121" s="652">
        <v>1958539</v>
      </c>
      <c r="W121" s="654"/>
      <c r="X121" s="654"/>
      <c r="Y121" s="654"/>
      <c r="Z121" s="654"/>
      <c r="AA121" s="654"/>
      <c r="AB121" s="654"/>
      <c r="AC121" s="654"/>
      <c r="AD121" s="654"/>
      <c r="AE121" s="655"/>
      <c r="AF121" s="655"/>
      <c r="AG121" s="655"/>
      <c r="AH121" s="655"/>
      <c r="AI121" s="655"/>
      <c r="AJ121" s="655"/>
      <c r="AK121" s="655"/>
      <c r="AL121" s="655"/>
    </row>
    <row r="122" spans="1:38" hidden="1" x14ac:dyDescent="0.25">
      <c r="A122" s="653">
        <v>33000</v>
      </c>
      <c r="B122" s="651" t="s">
        <v>1335</v>
      </c>
      <c r="C122" s="675">
        <v>2.2209999999999999E-3</v>
      </c>
      <c r="D122" s="675">
        <v>2.261E-3</v>
      </c>
      <c r="E122" s="680">
        <v>1951984</v>
      </c>
      <c r="F122" s="651">
        <v>96638459</v>
      </c>
      <c r="G122" s="652">
        <v>74143671</v>
      </c>
      <c r="H122" s="652">
        <v>0</v>
      </c>
      <c r="I122" s="652">
        <v>0</v>
      </c>
      <c r="J122" s="652">
        <v>0</v>
      </c>
      <c r="K122" s="652">
        <v>1286575</v>
      </c>
      <c r="L122" s="652">
        <f t="shared" si="3"/>
        <v>1286575</v>
      </c>
      <c r="M122" s="652"/>
      <c r="N122" s="652">
        <v>5316238</v>
      </c>
      <c r="O122" s="652">
        <v>27555</v>
      </c>
      <c r="P122" s="652">
        <v>20418828</v>
      </c>
      <c r="Q122" s="652">
        <v>0</v>
      </c>
      <c r="R122" s="652">
        <f t="shared" si="4"/>
        <v>25762621</v>
      </c>
      <c r="S122" s="652"/>
      <c r="T122" s="652">
        <f t="shared" si="5"/>
        <v>3675924</v>
      </c>
      <c r="U122" s="652">
        <v>257317</v>
      </c>
      <c r="V122" s="652">
        <v>3933241</v>
      </c>
      <c r="W122" s="654"/>
      <c r="X122" s="654"/>
      <c r="Y122" s="654"/>
      <c r="Z122" s="654"/>
      <c r="AA122" s="654"/>
      <c r="AB122" s="654"/>
      <c r="AC122" s="654"/>
      <c r="AD122" s="654"/>
      <c r="AE122" s="655"/>
      <c r="AF122" s="655"/>
      <c r="AG122" s="655"/>
      <c r="AH122" s="655"/>
      <c r="AI122" s="655"/>
      <c r="AJ122" s="655"/>
      <c r="AK122" s="655"/>
      <c r="AL122" s="655"/>
    </row>
    <row r="123" spans="1:38" hidden="1" x14ac:dyDescent="0.25">
      <c r="A123" s="653">
        <v>33001</v>
      </c>
      <c r="B123" s="651" t="s">
        <v>1336</v>
      </c>
      <c r="C123" s="675">
        <v>5.8999999999999998E-5</v>
      </c>
      <c r="D123" s="675">
        <v>6.4999999999999994E-5</v>
      </c>
      <c r="E123" s="680">
        <v>58316</v>
      </c>
      <c r="F123" s="651">
        <v>2571662</v>
      </c>
      <c r="G123" s="652">
        <v>2135878</v>
      </c>
      <c r="H123" s="652">
        <v>0</v>
      </c>
      <c r="I123" s="652">
        <v>0</v>
      </c>
      <c r="J123" s="652">
        <v>0</v>
      </c>
      <c r="K123" s="652">
        <v>215660</v>
      </c>
      <c r="L123" s="652">
        <f t="shared" si="3"/>
        <v>215660</v>
      </c>
      <c r="M123" s="652"/>
      <c r="N123" s="652">
        <v>153146</v>
      </c>
      <c r="O123" s="652">
        <v>794</v>
      </c>
      <c r="P123" s="652">
        <v>588211</v>
      </c>
      <c r="Q123" s="652">
        <v>0</v>
      </c>
      <c r="R123" s="652">
        <f t="shared" si="4"/>
        <v>742151</v>
      </c>
      <c r="S123" s="652"/>
      <c r="T123" s="652">
        <f t="shared" si="5"/>
        <v>105893</v>
      </c>
      <c r="U123" s="652">
        <v>43131</v>
      </c>
      <c r="V123" s="652">
        <v>149024</v>
      </c>
      <c r="W123" s="654"/>
      <c r="X123" s="654"/>
      <c r="Y123" s="654"/>
      <c r="Z123" s="654"/>
      <c r="AA123" s="654"/>
      <c r="AB123" s="654"/>
      <c r="AC123" s="654"/>
      <c r="AD123" s="654"/>
      <c r="AE123" s="655"/>
      <c r="AF123" s="655"/>
      <c r="AG123" s="655"/>
      <c r="AH123" s="655"/>
      <c r="AI123" s="655"/>
      <c r="AJ123" s="655"/>
      <c r="AK123" s="655"/>
      <c r="AL123" s="655"/>
    </row>
    <row r="124" spans="1:38" hidden="1" x14ac:dyDescent="0.25">
      <c r="A124" s="653">
        <v>33027</v>
      </c>
      <c r="B124" s="651" t="s">
        <v>1337</v>
      </c>
      <c r="C124" s="675">
        <v>2.2800000000000001E-4</v>
      </c>
      <c r="D124" s="675">
        <v>2.6400000000000002E-4</v>
      </c>
      <c r="E124" s="680">
        <v>187623</v>
      </c>
      <c r="F124" s="651">
        <v>9938112</v>
      </c>
      <c r="G124" s="652">
        <v>8646125</v>
      </c>
      <c r="H124" s="652">
        <v>0</v>
      </c>
      <c r="I124" s="652">
        <v>0</v>
      </c>
      <c r="J124" s="652">
        <v>0</v>
      </c>
      <c r="K124" s="652">
        <v>1226030</v>
      </c>
      <c r="L124" s="652">
        <f t="shared" si="3"/>
        <v>1226030</v>
      </c>
      <c r="M124" s="652"/>
      <c r="N124" s="652">
        <v>619943</v>
      </c>
      <c r="O124" s="652">
        <v>3213</v>
      </c>
      <c r="P124" s="652">
        <v>2381103</v>
      </c>
      <c r="Q124" s="652">
        <v>0</v>
      </c>
      <c r="R124" s="652">
        <f t="shared" si="4"/>
        <v>3004259</v>
      </c>
      <c r="S124" s="652"/>
      <c r="T124" s="652">
        <f t="shared" si="5"/>
        <v>428661</v>
      </c>
      <c r="U124" s="652">
        <v>245205</v>
      </c>
      <c r="V124" s="652">
        <v>673866</v>
      </c>
      <c r="W124" s="654"/>
      <c r="X124" s="654"/>
      <c r="Y124" s="654"/>
      <c r="Z124" s="654"/>
      <c r="AA124" s="654"/>
      <c r="AB124" s="654"/>
      <c r="AC124" s="654"/>
      <c r="AD124" s="654"/>
      <c r="AE124" s="655"/>
      <c r="AF124" s="655"/>
      <c r="AG124" s="655"/>
      <c r="AH124" s="655"/>
      <c r="AI124" s="655"/>
      <c r="AJ124" s="655"/>
      <c r="AK124" s="655"/>
      <c r="AL124" s="655"/>
    </row>
    <row r="125" spans="1:38" hidden="1" x14ac:dyDescent="0.25">
      <c r="A125" s="653">
        <v>33100</v>
      </c>
      <c r="B125" s="651" t="s">
        <v>1338</v>
      </c>
      <c r="C125" s="675">
        <v>3.176E-3</v>
      </c>
      <c r="D125" s="675">
        <v>3.2260000000000001E-3</v>
      </c>
      <c r="E125" s="680">
        <v>2913985</v>
      </c>
      <c r="F125" s="651">
        <v>138163312</v>
      </c>
      <c r="G125" s="652">
        <v>105778285</v>
      </c>
      <c r="H125" s="652">
        <v>0</v>
      </c>
      <c r="I125" s="652">
        <v>0</v>
      </c>
      <c r="J125" s="652">
        <v>0</v>
      </c>
      <c r="K125" s="652">
        <v>1699420</v>
      </c>
      <c r="L125" s="652">
        <f t="shared" si="3"/>
        <v>1699420</v>
      </c>
      <c r="M125" s="652"/>
      <c r="N125" s="652">
        <v>7584498</v>
      </c>
      <c r="O125" s="652">
        <v>39312</v>
      </c>
      <c r="P125" s="652">
        <v>29130857</v>
      </c>
      <c r="Q125" s="652">
        <v>0</v>
      </c>
      <c r="R125" s="652">
        <f t="shared" si="4"/>
        <v>36754667</v>
      </c>
      <c r="S125" s="652"/>
      <c r="T125" s="652">
        <f t="shared" si="5"/>
        <v>5244318</v>
      </c>
      <c r="U125" s="652">
        <v>339887</v>
      </c>
      <c r="V125" s="652">
        <v>5584205</v>
      </c>
      <c r="W125" s="654"/>
      <c r="X125" s="654"/>
      <c r="Y125" s="654"/>
      <c r="Z125" s="654"/>
      <c r="AA125" s="654"/>
      <c r="AB125" s="654"/>
      <c r="AC125" s="654"/>
      <c r="AD125" s="654"/>
      <c r="AE125" s="655"/>
      <c r="AF125" s="655"/>
      <c r="AG125" s="655"/>
      <c r="AH125" s="655"/>
      <c r="AI125" s="655"/>
      <c r="AJ125" s="655"/>
      <c r="AK125" s="655"/>
      <c r="AL125" s="655"/>
    </row>
    <row r="126" spans="1:38" hidden="1" x14ac:dyDescent="0.25">
      <c r="A126" s="653">
        <v>33105</v>
      </c>
      <c r="B126" s="651" t="s">
        <v>1339</v>
      </c>
      <c r="C126" s="675">
        <v>3.57E-4</v>
      </c>
      <c r="D126" s="675">
        <v>3.4299999999999999E-4</v>
      </c>
      <c r="E126" s="680">
        <v>349470</v>
      </c>
      <c r="F126" s="651">
        <v>15531174</v>
      </c>
      <c r="G126" s="652">
        <v>11246954</v>
      </c>
      <c r="H126" s="652">
        <v>0</v>
      </c>
      <c r="I126" s="652">
        <v>0</v>
      </c>
      <c r="J126" s="652">
        <v>0</v>
      </c>
      <c r="K126" s="652">
        <v>0</v>
      </c>
      <c r="L126" s="652">
        <f t="shared" si="3"/>
        <v>0</v>
      </c>
      <c r="M126" s="652"/>
      <c r="N126" s="652">
        <v>806427</v>
      </c>
      <c r="O126" s="652">
        <v>4180</v>
      </c>
      <c r="P126" s="652">
        <v>3097360</v>
      </c>
      <c r="Q126" s="652">
        <v>486990</v>
      </c>
      <c r="R126" s="652">
        <f t="shared" si="4"/>
        <v>4394957</v>
      </c>
      <c r="S126" s="652"/>
      <c r="T126" s="652">
        <f t="shared" si="5"/>
        <v>557606</v>
      </c>
      <c r="U126" s="652">
        <v>-97400</v>
      </c>
      <c r="V126" s="652">
        <v>460206</v>
      </c>
      <c r="W126" s="654"/>
      <c r="X126" s="654"/>
      <c r="Y126" s="654"/>
      <c r="Z126" s="654"/>
      <c r="AA126" s="654"/>
      <c r="AB126" s="654"/>
      <c r="AC126" s="654"/>
      <c r="AD126" s="654"/>
      <c r="AE126" s="655"/>
      <c r="AF126" s="655"/>
      <c r="AG126" s="655"/>
      <c r="AH126" s="655"/>
      <c r="AI126" s="655"/>
      <c r="AJ126" s="655"/>
      <c r="AK126" s="655"/>
      <c r="AL126" s="655"/>
    </row>
    <row r="127" spans="1:38" hidden="1" x14ac:dyDescent="0.25">
      <c r="A127" s="653">
        <v>33200</v>
      </c>
      <c r="B127" s="651" t="s">
        <v>1340</v>
      </c>
      <c r="C127" s="675">
        <v>1.3861E-2</v>
      </c>
      <c r="D127" s="675">
        <v>1.4274999999999999E-2</v>
      </c>
      <c r="E127" s="680">
        <v>12147277</v>
      </c>
      <c r="F127" s="651">
        <v>603001942</v>
      </c>
      <c r="G127" s="652">
        <v>468027345</v>
      </c>
      <c r="H127" s="652">
        <v>0</v>
      </c>
      <c r="I127" s="652">
        <v>0</v>
      </c>
      <c r="J127" s="652">
        <v>0</v>
      </c>
      <c r="K127" s="652">
        <v>13827995</v>
      </c>
      <c r="L127" s="652">
        <f t="shared" si="3"/>
        <v>13827995</v>
      </c>
      <c r="M127" s="652"/>
      <c r="N127" s="652">
        <v>33558422</v>
      </c>
      <c r="O127" s="652">
        <v>173939</v>
      </c>
      <c r="P127" s="652">
        <v>128892594</v>
      </c>
      <c r="Q127" s="652">
        <v>0</v>
      </c>
      <c r="R127" s="652">
        <f t="shared" si="4"/>
        <v>162624955</v>
      </c>
      <c r="S127" s="652"/>
      <c r="T127" s="652">
        <f t="shared" si="5"/>
        <v>23204045</v>
      </c>
      <c r="U127" s="652">
        <v>2765595</v>
      </c>
      <c r="V127" s="652">
        <v>25969640</v>
      </c>
      <c r="W127" s="654"/>
      <c r="X127" s="654"/>
      <c r="Y127" s="654"/>
      <c r="Z127" s="654"/>
      <c r="AA127" s="654"/>
      <c r="AB127" s="654"/>
      <c r="AC127" s="654"/>
      <c r="AD127" s="654"/>
      <c r="AE127" s="655"/>
      <c r="AF127" s="655"/>
      <c r="AG127" s="655"/>
      <c r="AH127" s="655"/>
      <c r="AI127" s="655"/>
      <c r="AJ127" s="655"/>
      <c r="AK127" s="655"/>
      <c r="AL127" s="655"/>
    </row>
    <row r="128" spans="1:38" hidden="1" x14ac:dyDescent="0.25">
      <c r="A128" s="653">
        <v>33202</v>
      </c>
      <c r="B128" s="651" t="s">
        <v>1341</v>
      </c>
      <c r="C128" s="675">
        <v>1.66E-4</v>
      </c>
      <c r="D128" s="675">
        <v>2.12E-4</v>
      </c>
      <c r="E128" s="680">
        <v>158030</v>
      </c>
      <c r="F128" s="651">
        <v>7214591</v>
      </c>
      <c r="G128" s="652">
        <v>6941474</v>
      </c>
      <c r="H128" s="652">
        <v>0</v>
      </c>
      <c r="I128" s="652">
        <v>0</v>
      </c>
      <c r="J128" s="652">
        <v>0</v>
      </c>
      <c r="K128" s="652">
        <v>1627260</v>
      </c>
      <c r="L128" s="652">
        <f t="shared" si="3"/>
        <v>1627260</v>
      </c>
      <c r="M128" s="652"/>
      <c r="N128" s="652">
        <v>497716</v>
      </c>
      <c r="O128" s="652">
        <v>2580</v>
      </c>
      <c r="P128" s="652">
        <v>1911650</v>
      </c>
      <c r="Q128" s="652">
        <v>0</v>
      </c>
      <c r="R128" s="652">
        <f t="shared" si="4"/>
        <v>2411946</v>
      </c>
      <c r="S128" s="652"/>
      <c r="T128" s="652">
        <f t="shared" si="5"/>
        <v>344147</v>
      </c>
      <c r="U128" s="652">
        <v>325452</v>
      </c>
      <c r="V128" s="652">
        <v>669599</v>
      </c>
      <c r="W128" s="654"/>
      <c r="X128" s="654"/>
      <c r="Y128" s="654"/>
      <c r="Z128" s="654"/>
      <c r="AA128" s="654"/>
      <c r="AB128" s="654"/>
      <c r="AC128" s="654"/>
      <c r="AD128" s="654"/>
      <c r="AE128" s="655"/>
      <c r="AF128" s="655"/>
      <c r="AG128" s="655"/>
      <c r="AH128" s="655"/>
      <c r="AI128" s="655"/>
      <c r="AJ128" s="655"/>
      <c r="AK128" s="655"/>
      <c r="AL128" s="655"/>
    </row>
    <row r="129" spans="1:38" hidden="1" x14ac:dyDescent="0.25">
      <c r="A129" s="653">
        <v>33203</v>
      </c>
      <c r="B129" s="651" t="s">
        <v>1342</v>
      </c>
      <c r="C129" s="675">
        <v>1.15E-4</v>
      </c>
      <c r="D129" s="675">
        <v>1.22E-4</v>
      </c>
      <c r="E129" s="680">
        <v>91892</v>
      </c>
      <c r="F129" s="651">
        <v>4992073</v>
      </c>
      <c r="G129" s="652">
        <v>4006932</v>
      </c>
      <c r="H129" s="652">
        <v>0</v>
      </c>
      <c r="I129" s="652">
        <v>0</v>
      </c>
      <c r="J129" s="652">
        <v>0</v>
      </c>
      <c r="K129" s="652">
        <v>250315</v>
      </c>
      <c r="L129" s="652">
        <f t="shared" si="3"/>
        <v>250315</v>
      </c>
      <c r="M129" s="652"/>
      <c r="N129" s="652">
        <v>287304</v>
      </c>
      <c r="O129" s="652">
        <v>1489</v>
      </c>
      <c r="P129" s="652">
        <v>1103491</v>
      </c>
      <c r="Q129" s="652">
        <v>0</v>
      </c>
      <c r="R129" s="652">
        <f t="shared" si="4"/>
        <v>1392284</v>
      </c>
      <c r="S129" s="652"/>
      <c r="T129" s="652">
        <f t="shared" si="5"/>
        <v>198657</v>
      </c>
      <c r="U129" s="652">
        <v>50063</v>
      </c>
      <c r="V129" s="652">
        <v>248720</v>
      </c>
      <c r="W129" s="654"/>
      <c r="X129" s="654"/>
      <c r="Y129" s="654"/>
      <c r="Z129" s="654"/>
      <c r="AA129" s="654"/>
      <c r="AB129" s="654"/>
      <c r="AC129" s="654"/>
      <c r="AD129" s="654"/>
      <c r="AE129" s="655"/>
      <c r="AF129" s="655"/>
      <c r="AG129" s="655"/>
      <c r="AH129" s="655"/>
      <c r="AI129" s="655"/>
      <c r="AJ129" s="655"/>
      <c r="AK129" s="655"/>
      <c r="AL129" s="655"/>
    </row>
    <row r="130" spans="1:38" hidden="1" x14ac:dyDescent="0.25">
      <c r="A130" s="653">
        <v>33204</v>
      </c>
      <c r="B130" s="651" t="s">
        <v>1343</v>
      </c>
      <c r="C130" s="675">
        <v>4.0499999999999998E-4</v>
      </c>
      <c r="D130" s="675">
        <v>4.4099999999999999E-4</v>
      </c>
      <c r="E130" s="680">
        <v>312411</v>
      </c>
      <c r="F130" s="651">
        <v>17614820</v>
      </c>
      <c r="G130" s="652">
        <v>14468414</v>
      </c>
      <c r="H130" s="652">
        <v>0</v>
      </c>
      <c r="I130" s="652">
        <v>0</v>
      </c>
      <c r="J130" s="652">
        <v>0</v>
      </c>
      <c r="K130" s="652">
        <v>1230005</v>
      </c>
      <c r="L130" s="652">
        <f t="shared" si="3"/>
        <v>1230005</v>
      </c>
      <c r="M130" s="652"/>
      <c r="N130" s="652">
        <v>1037412</v>
      </c>
      <c r="O130" s="652">
        <v>5377</v>
      </c>
      <c r="P130" s="652">
        <v>3984535</v>
      </c>
      <c r="Q130" s="652">
        <v>0</v>
      </c>
      <c r="R130" s="652">
        <f t="shared" si="4"/>
        <v>5027324</v>
      </c>
      <c r="S130" s="652"/>
      <c r="T130" s="652">
        <f t="shared" si="5"/>
        <v>717321</v>
      </c>
      <c r="U130" s="652">
        <v>246004</v>
      </c>
      <c r="V130" s="652">
        <v>963325</v>
      </c>
      <c r="W130" s="654"/>
      <c r="X130" s="654"/>
      <c r="Y130" s="654"/>
      <c r="Z130" s="654"/>
      <c r="AA130" s="654"/>
      <c r="AB130" s="654"/>
      <c r="AC130" s="654"/>
      <c r="AD130" s="654"/>
      <c r="AE130" s="655"/>
      <c r="AF130" s="655"/>
      <c r="AG130" s="655"/>
      <c r="AH130" s="655"/>
      <c r="AI130" s="655"/>
      <c r="AJ130" s="655"/>
      <c r="AK130" s="655"/>
      <c r="AL130" s="655"/>
    </row>
    <row r="131" spans="1:38" hidden="1" x14ac:dyDescent="0.25">
      <c r="A131" s="653">
        <v>33205</v>
      </c>
      <c r="B131" s="651" t="s">
        <v>1344</v>
      </c>
      <c r="C131" s="675">
        <v>1.1180000000000001E-3</v>
      </c>
      <c r="D131" s="675">
        <v>1.078E-3</v>
      </c>
      <c r="E131" s="680">
        <v>1128783</v>
      </c>
      <c r="F131" s="651">
        <v>48649784</v>
      </c>
      <c r="G131" s="652">
        <v>35343440</v>
      </c>
      <c r="H131" s="652">
        <v>0</v>
      </c>
      <c r="I131" s="652">
        <v>0</v>
      </c>
      <c r="J131" s="652">
        <v>0</v>
      </c>
      <c r="K131" s="652">
        <v>0</v>
      </c>
      <c r="L131" s="652">
        <f t="shared" si="3"/>
        <v>0</v>
      </c>
      <c r="M131" s="652"/>
      <c r="N131" s="652">
        <v>2534190</v>
      </c>
      <c r="O131" s="652">
        <v>13135</v>
      </c>
      <c r="P131" s="652">
        <v>9733422</v>
      </c>
      <c r="Q131" s="652">
        <v>1374235</v>
      </c>
      <c r="R131" s="652">
        <f t="shared" si="4"/>
        <v>13654982</v>
      </c>
      <c r="S131" s="652"/>
      <c r="T131" s="652">
        <f t="shared" si="5"/>
        <v>1752271</v>
      </c>
      <c r="U131" s="652">
        <v>-274850</v>
      </c>
      <c r="V131" s="652">
        <v>1477421</v>
      </c>
      <c r="W131" s="654"/>
      <c r="X131" s="654"/>
      <c r="Y131" s="654"/>
      <c r="Z131" s="654"/>
      <c r="AA131" s="654"/>
      <c r="AB131" s="654"/>
      <c r="AC131" s="654"/>
      <c r="AD131" s="654"/>
      <c r="AE131" s="655"/>
      <c r="AF131" s="655"/>
      <c r="AG131" s="655"/>
      <c r="AH131" s="655"/>
      <c r="AI131" s="655"/>
      <c r="AJ131" s="655"/>
      <c r="AK131" s="655"/>
      <c r="AL131" s="655"/>
    </row>
    <row r="132" spans="1:38" hidden="1" x14ac:dyDescent="0.25">
      <c r="A132" s="653">
        <v>33206</v>
      </c>
      <c r="B132" s="651" t="s">
        <v>1345</v>
      </c>
      <c r="C132" s="675">
        <v>9.1000000000000003E-5</v>
      </c>
      <c r="D132" s="675">
        <v>1.01E-4</v>
      </c>
      <c r="E132" s="680">
        <v>90603</v>
      </c>
      <c r="F132" s="651">
        <v>3975469</v>
      </c>
      <c r="G132" s="652">
        <v>3308308</v>
      </c>
      <c r="H132" s="652">
        <v>0</v>
      </c>
      <c r="I132" s="652">
        <v>0</v>
      </c>
      <c r="J132" s="652">
        <v>0</v>
      </c>
      <c r="K132" s="652">
        <v>340795</v>
      </c>
      <c r="L132" s="652">
        <f t="shared" si="3"/>
        <v>340795</v>
      </c>
      <c r="M132" s="652"/>
      <c r="N132" s="652">
        <v>237212</v>
      </c>
      <c r="O132" s="652">
        <v>1230</v>
      </c>
      <c r="P132" s="652">
        <v>911093</v>
      </c>
      <c r="Q132" s="652">
        <v>0</v>
      </c>
      <c r="R132" s="652">
        <f t="shared" si="4"/>
        <v>1149535</v>
      </c>
      <c r="S132" s="652"/>
      <c r="T132" s="652">
        <f t="shared" si="5"/>
        <v>164021</v>
      </c>
      <c r="U132" s="652">
        <v>68160</v>
      </c>
      <c r="V132" s="652">
        <v>232181</v>
      </c>
      <c r="W132" s="654"/>
      <c r="X132" s="654"/>
      <c r="Y132" s="654"/>
      <c r="Z132" s="654"/>
      <c r="AA132" s="654"/>
      <c r="AB132" s="654"/>
      <c r="AC132" s="654"/>
      <c r="AD132" s="654"/>
      <c r="AE132" s="655"/>
      <c r="AF132" s="655"/>
      <c r="AG132" s="655"/>
      <c r="AH132" s="655"/>
      <c r="AI132" s="655"/>
      <c r="AJ132" s="655"/>
      <c r="AK132" s="655"/>
      <c r="AL132" s="655"/>
    </row>
    <row r="133" spans="1:38" hidden="1" x14ac:dyDescent="0.25">
      <c r="A133" s="653">
        <v>33207</v>
      </c>
      <c r="B133" s="651" t="s">
        <v>1346</v>
      </c>
      <c r="C133" s="675">
        <v>1.8799999999999999E-4</v>
      </c>
      <c r="D133" s="675">
        <v>2.8899999999999998E-4</v>
      </c>
      <c r="E133" s="680">
        <v>180973</v>
      </c>
      <c r="F133" s="651">
        <v>8157012</v>
      </c>
      <c r="G133" s="652">
        <v>9486827</v>
      </c>
      <c r="H133" s="652">
        <v>0</v>
      </c>
      <c r="I133" s="652">
        <v>0</v>
      </c>
      <c r="J133" s="652">
        <v>0</v>
      </c>
      <c r="K133" s="652">
        <v>3614020</v>
      </c>
      <c r="L133" s="652">
        <f t="shared" si="3"/>
        <v>3614020</v>
      </c>
      <c r="M133" s="652"/>
      <c r="N133" s="652">
        <v>680223</v>
      </c>
      <c r="O133" s="652">
        <v>3526</v>
      </c>
      <c r="P133" s="652">
        <v>2612629</v>
      </c>
      <c r="Q133" s="652">
        <v>0</v>
      </c>
      <c r="R133" s="652">
        <f t="shared" si="4"/>
        <v>3296378</v>
      </c>
      <c r="S133" s="652"/>
      <c r="T133" s="652">
        <f t="shared" si="5"/>
        <v>470342</v>
      </c>
      <c r="U133" s="652">
        <v>722804</v>
      </c>
      <c r="V133" s="652">
        <v>1193146</v>
      </c>
      <c r="W133" s="654"/>
      <c r="X133" s="654"/>
      <c r="Y133" s="654"/>
      <c r="Z133" s="654"/>
      <c r="AA133" s="654"/>
      <c r="AB133" s="654"/>
      <c r="AC133" s="654"/>
      <c r="AD133" s="654"/>
      <c r="AE133" s="655"/>
      <c r="AF133" s="655"/>
      <c r="AG133" s="655"/>
      <c r="AH133" s="655"/>
      <c r="AI133" s="655"/>
      <c r="AJ133" s="655"/>
      <c r="AK133" s="655"/>
      <c r="AL133" s="655"/>
    </row>
    <row r="134" spans="1:38" hidden="1" x14ac:dyDescent="0.25">
      <c r="A134" s="653">
        <v>33208</v>
      </c>
      <c r="B134" s="651" t="s">
        <v>1347</v>
      </c>
      <c r="C134" s="675">
        <v>3.0000000000000001E-5</v>
      </c>
      <c r="D134" s="675">
        <v>2.6999999999999999E-5</v>
      </c>
      <c r="E134" s="680">
        <v>6304</v>
      </c>
      <c r="F134" s="651">
        <v>1303837</v>
      </c>
      <c r="G134" s="652">
        <v>895903</v>
      </c>
      <c r="H134" s="652">
        <v>0</v>
      </c>
      <c r="I134" s="652">
        <v>0</v>
      </c>
      <c r="J134" s="652">
        <v>0</v>
      </c>
      <c r="K134" s="652">
        <v>0</v>
      </c>
      <c r="L134" s="652">
        <f t="shared" si="3"/>
        <v>0</v>
      </c>
      <c r="M134" s="652"/>
      <c r="N134" s="652">
        <v>64238</v>
      </c>
      <c r="O134" s="652">
        <v>333</v>
      </c>
      <c r="P134" s="652">
        <v>246728</v>
      </c>
      <c r="Q134" s="652">
        <v>112295</v>
      </c>
      <c r="R134" s="652">
        <f t="shared" si="4"/>
        <v>423594</v>
      </c>
      <c r="S134" s="652"/>
      <c r="T134" s="652">
        <f t="shared" si="5"/>
        <v>44417</v>
      </c>
      <c r="U134" s="652">
        <v>-22454</v>
      </c>
      <c r="V134" s="652">
        <v>21963</v>
      </c>
      <c r="W134" s="654"/>
      <c r="X134" s="654"/>
      <c r="Y134" s="654"/>
      <c r="Z134" s="654"/>
      <c r="AA134" s="654"/>
      <c r="AB134" s="654"/>
      <c r="AC134" s="654"/>
      <c r="AD134" s="654"/>
      <c r="AE134" s="655"/>
      <c r="AF134" s="655"/>
      <c r="AG134" s="655"/>
      <c r="AH134" s="655"/>
      <c r="AI134" s="655"/>
      <c r="AJ134" s="655"/>
      <c r="AK134" s="655"/>
      <c r="AL134" s="655"/>
    </row>
    <row r="135" spans="1:38" hidden="1" x14ac:dyDescent="0.25">
      <c r="A135" s="653">
        <v>33209</v>
      </c>
      <c r="B135" s="651" t="s">
        <v>1348</v>
      </c>
      <c r="C135" s="675">
        <v>6.8999999999999997E-5</v>
      </c>
      <c r="D135" s="675">
        <v>7.4999999999999993E-5</v>
      </c>
      <c r="E135" s="680">
        <v>56671</v>
      </c>
      <c r="F135" s="651">
        <v>3006485</v>
      </c>
      <c r="G135" s="652">
        <v>2453128</v>
      </c>
      <c r="H135" s="652">
        <v>0</v>
      </c>
      <c r="I135" s="652">
        <v>0</v>
      </c>
      <c r="J135" s="652">
        <v>0</v>
      </c>
      <c r="K135" s="652">
        <v>195065</v>
      </c>
      <c r="L135" s="652">
        <f t="shared" si="3"/>
        <v>195065</v>
      </c>
      <c r="M135" s="652"/>
      <c r="N135" s="652">
        <v>175894</v>
      </c>
      <c r="O135" s="652">
        <v>912</v>
      </c>
      <c r="P135" s="652">
        <v>675580</v>
      </c>
      <c r="Q135" s="652">
        <v>0</v>
      </c>
      <c r="R135" s="652">
        <f t="shared" si="4"/>
        <v>852386</v>
      </c>
      <c r="S135" s="652"/>
      <c r="T135" s="652">
        <f t="shared" si="5"/>
        <v>121622</v>
      </c>
      <c r="U135" s="652">
        <v>39013</v>
      </c>
      <c r="V135" s="652">
        <v>160635</v>
      </c>
      <c r="W135" s="654"/>
      <c r="X135" s="654"/>
      <c r="Y135" s="654"/>
      <c r="Z135" s="654"/>
      <c r="AA135" s="654"/>
      <c r="AB135" s="654"/>
      <c r="AC135" s="654"/>
      <c r="AD135" s="654"/>
      <c r="AE135" s="655"/>
      <c r="AF135" s="655"/>
      <c r="AG135" s="655"/>
      <c r="AH135" s="655"/>
      <c r="AI135" s="655"/>
      <c r="AJ135" s="655"/>
      <c r="AK135" s="655"/>
      <c r="AL135" s="655"/>
    </row>
    <row r="136" spans="1:38" hidden="1" x14ac:dyDescent="0.25">
      <c r="A136" s="653">
        <v>33300</v>
      </c>
      <c r="B136" s="651" t="s">
        <v>1349</v>
      </c>
      <c r="C136" s="675">
        <v>1.9980000000000002E-3</v>
      </c>
      <c r="D136" s="675">
        <v>2.0630000000000002E-3</v>
      </c>
      <c r="E136" s="680">
        <v>1895180</v>
      </c>
      <c r="F136" s="651">
        <v>86919463</v>
      </c>
      <c r="G136" s="652">
        <v>67632801</v>
      </c>
      <c r="H136" s="652">
        <v>0</v>
      </c>
      <c r="I136" s="652">
        <v>0</v>
      </c>
      <c r="J136" s="652">
        <v>0</v>
      </c>
      <c r="K136" s="652">
        <v>2296410</v>
      </c>
      <c r="L136" s="652">
        <f t="shared" ref="L136:L199" si="6">SUM(H136:K136)</f>
        <v>2296410</v>
      </c>
      <c r="M136" s="652"/>
      <c r="N136" s="652">
        <v>4849396</v>
      </c>
      <c r="O136" s="652">
        <v>25135</v>
      </c>
      <c r="P136" s="652">
        <v>18625765</v>
      </c>
      <c r="Q136" s="652">
        <v>0</v>
      </c>
      <c r="R136" s="652">
        <f t="shared" ref="R136:R199" si="7">SUM(N136:Q136)</f>
        <v>23500296</v>
      </c>
      <c r="S136" s="652"/>
      <c r="T136" s="652">
        <f t="shared" ref="T136:T199" si="8">V136-U136</f>
        <v>3353126</v>
      </c>
      <c r="U136" s="652">
        <v>459278</v>
      </c>
      <c r="V136" s="652">
        <v>3812404</v>
      </c>
      <c r="W136" s="654"/>
      <c r="X136" s="654"/>
      <c r="Y136" s="654"/>
      <c r="Z136" s="654"/>
      <c r="AA136" s="654"/>
      <c r="AB136" s="654"/>
      <c r="AC136" s="654"/>
      <c r="AD136" s="654"/>
      <c r="AE136" s="655"/>
      <c r="AF136" s="655"/>
      <c r="AG136" s="655"/>
      <c r="AH136" s="655"/>
      <c r="AI136" s="655"/>
      <c r="AJ136" s="655"/>
      <c r="AK136" s="655"/>
      <c r="AL136" s="655"/>
    </row>
    <row r="137" spans="1:38" hidden="1" x14ac:dyDescent="0.25">
      <c r="A137" s="653">
        <v>33305</v>
      </c>
      <c r="B137" s="651" t="s">
        <v>1350</v>
      </c>
      <c r="C137" s="675">
        <v>5.1000000000000004E-4</v>
      </c>
      <c r="D137" s="675">
        <v>4.9299999999999995E-4</v>
      </c>
      <c r="E137" s="680">
        <v>556456</v>
      </c>
      <c r="F137" s="651">
        <v>22163784</v>
      </c>
      <c r="G137" s="652">
        <v>16162132</v>
      </c>
      <c r="H137" s="652">
        <v>0</v>
      </c>
      <c r="I137" s="652">
        <v>0</v>
      </c>
      <c r="J137" s="652">
        <v>0</v>
      </c>
      <c r="K137" s="652">
        <v>0</v>
      </c>
      <c r="L137" s="652">
        <f t="shared" si="6"/>
        <v>0</v>
      </c>
      <c r="M137" s="652"/>
      <c r="N137" s="652">
        <v>1158855</v>
      </c>
      <c r="O137" s="652">
        <v>6007</v>
      </c>
      <c r="P137" s="652">
        <v>4450977</v>
      </c>
      <c r="Q137" s="652">
        <v>525545</v>
      </c>
      <c r="R137" s="652">
        <f t="shared" si="7"/>
        <v>6141384</v>
      </c>
      <c r="S137" s="652"/>
      <c r="T137" s="652">
        <f t="shared" si="8"/>
        <v>801293</v>
      </c>
      <c r="U137" s="652">
        <v>-105105</v>
      </c>
      <c r="V137" s="652">
        <v>696188</v>
      </c>
      <c r="W137" s="654"/>
      <c r="X137" s="654"/>
      <c r="Y137" s="654"/>
      <c r="Z137" s="654"/>
      <c r="AA137" s="654"/>
      <c r="AB137" s="654"/>
      <c r="AC137" s="654"/>
      <c r="AD137" s="654"/>
      <c r="AE137" s="655"/>
      <c r="AF137" s="655"/>
      <c r="AG137" s="655"/>
      <c r="AH137" s="655"/>
      <c r="AI137" s="655"/>
      <c r="AJ137" s="655"/>
      <c r="AK137" s="655"/>
      <c r="AL137" s="655"/>
    </row>
    <row r="138" spans="1:38" hidden="1" x14ac:dyDescent="0.25">
      <c r="A138" s="653">
        <v>33400</v>
      </c>
      <c r="B138" s="651" t="s">
        <v>1351</v>
      </c>
      <c r="C138" s="675">
        <v>1.7769E-2</v>
      </c>
      <c r="D138" s="675">
        <v>1.8637000000000001E-2</v>
      </c>
      <c r="E138" s="680">
        <v>16946432</v>
      </c>
      <c r="F138" s="651">
        <v>773027436</v>
      </c>
      <c r="G138" s="652">
        <v>611031994</v>
      </c>
      <c r="H138" s="652">
        <v>0</v>
      </c>
      <c r="I138" s="652">
        <v>0</v>
      </c>
      <c r="J138" s="652">
        <v>0</v>
      </c>
      <c r="K138" s="652">
        <v>30809690</v>
      </c>
      <c r="L138" s="652">
        <f t="shared" si="6"/>
        <v>30809690</v>
      </c>
      <c r="M138" s="652"/>
      <c r="N138" s="652">
        <v>43812118</v>
      </c>
      <c r="O138" s="652">
        <v>227086</v>
      </c>
      <c r="P138" s="652">
        <v>168275421</v>
      </c>
      <c r="Q138" s="652">
        <v>0</v>
      </c>
      <c r="R138" s="652">
        <f t="shared" si="7"/>
        <v>212314625</v>
      </c>
      <c r="S138" s="652"/>
      <c r="T138" s="652">
        <f t="shared" si="8"/>
        <v>30293985</v>
      </c>
      <c r="U138" s="652">
        <v>6161940</v>
      </c>
      <c r="V138" s="652">
        <v>36455925</v>
      </c>
      <c r="W138" s="654"/>
      <c r="X138" s="654"/>
      <c r="Y138" s="654"/>
      <c r="Z138" s="654"/>
      <c r="AA138" s="654"/>
      <c r="AB138" s="654"/>
      <c r="AC138" s="654"/>
      <c r="AD138" s="654"/>
      <c r="AE138" s="655"/>
      <c r="AF138" s="655"/>
      <c r="AG138" s="655"/>
      <c r="AH138" s="655"/>
      <c r="AI138" s="655"/>
      <c r="AJ138" s="655"/>
      <c r="AK138" s="655"/>
      <c r="AL138" s="655"/>
    </row>
    <row r="139" spans="1:38" hidden="1" x14ac:dyDescent="0.25">
      <c r="A139" s="653">
        <v>33402</v>
      </c>
      <c r="B139" s="651" t="s">
        <v>1352</v>
      </c>
      <c r="C139" s="675">
        <v>1.4100000000000001E-4</v>
      </c>
      <c r="D139" s="675">
        <v>1.5100000000000001E-4</v>
      </c>
      <c r="E139" s="680">
        <v>121377</v>
      </c>
      <c r="F139" s="651">
        <v>6115074</v>
      </c>
      <c r="G139" s="652">
        <v>4960057</v>
      </c>
      <c r="H139" s="652">
        <v>0</v>
      </c>
      <c r="I139" s="652">
        <v>0</v>
      </c>
      <c r="J139" s="652">
        <v>0</v>
      </c>
      <c r="K139" s="652">
        <v>369930</v>
      </c>
      <c r="L139" s="652">
        <f t="shared" si="6"/>
        <v>369930</v>
      </c>
      <c r="M139" s="652"/>
      <c r="N139" s="652">
        <v>355645</v>
      </c>
      <c r="O139" s="652">
        <v>1843</v>
      </c>
      <c r="P139" s="652">
        <v>1365977</v>
      </c>
      <c r="Q139" s="652">
        <v>0</v>
      </c>
      <c r="R139" s="652">
        <f t="shared" si="7"/>
        <v>1723465</v>
      </c>
      <c r="S139" s="652"/>
      <c r="T139" s="652">
        <f t="shared" si="8"/>
        <v>245912</v>
      </c>
      <c r="U139" s="652">
        <v>73985</v>
      </c>
      <c r="V139" s="652">
        <v>319897</v>
      </c>
      <c r="W139" s="654"/>
      <c r="X139" s="654"/>
      <c r="Y139" s="654"/>
      <c r="Z139" s="654"/>
      <c r="AA139" s="654"/>
      <c r="AB139" s="654"/>
      <c r="AC139" s="654"/>
      <c r="AD139" s="654"/>
      <c r="AE139" s="655"/>
      <c r="AF139" s="655"/>
      <c r="AG139" s="655"/>
      <c r="AH139" s="655"/>
      <c r="AI139" s="655"/>
      <c r="AJ139" s="655"/>
      <c r="AK139" s="655"/>
      <c r="AL139" s="655"/>
    </row>
    <row r="140" spans="1:38" hidden="1" x14ac:dyDescent="0.25">
      <c r="A140" s="653">
        <v>33405</v>
      </c>
      <c r="B140" s="651" t="s">
        <v>1353</v>
      </c>
      <c r="C140" s="675">
        <v>1.786E-3</v>
      </c>
      <c r="D140" s="675">
        <v>1.663E-3</v>
      </c>
      <c r="E140" s="680">
        <v>1764451</v>
      </c>
      <c r="F140" s="651">
        <v>77698256</v>
      </c>
      <c r="G140" s="652">
        <v>54530162</v>
      </c>
      <c r="H140" s="652">
        <v>0</v>
      </c>
      <c r="I140" s="652">
        <v>0</v>
      </c>
      <c r="J140" s="652">
        <v>0</v>
      </c>
      <c r="K140" s="652">
        <v>0</v>
      </c>
      <c r="L140" s="652">
        <f t="shared" si="6"/>
        <v>0</v>
      </c>
      <c r="M140" s="652"/>
      <c r="N140" s="652">
        <v>3909913</v>
      </c>
      <c r="O140" s="652">
        <v>20266</v>
      </c>
      <c r="P140" s="652">
        <v>15017358</v>
      </c>
      <c r="Q140" s="652">
        <v>4299685</v>
      </c>
      <c r="R140" s="652">
        <f t="shared" si="7"/>
        <v>23247222</v>
      </c>
      <c r="S140" s="652"/>
      <c r="T140" s="652">
        <f t="shared" si="8"/>
        <v>2703518</v>
      </c>
      <c r="U140" s="652">
        <v>-859940</v>
      </c>
      <c r="V140" s="652">
        <v>1843578</v>
      </c>
      <c r="W140" s="654"/>
      <c r="X140" s="654"/>
      <c r="Y140" s="654"/>
      <c r="Z140" s="654"/>
      <c r="AA140" s="654"/>
      <c r="AB140" s="654"/>
      <c r="AC140" s="654"/>
      <c r="AD140" s="654"/>
      <c r="AE140" s="655"/>
      <c r="AF140" s="655"/>
      <c r="AG140" s="655"/>
      <c r="AH140" s="655"/>
      <c r="AI140" s="655"/>
      <c r="AJ140" s="655"/>
      <c r="AK140" s="655"/>
      <c r="AL140" s="655"/>
    </row>
    <row r="141" spans="1:38" hidden="1" x14ac:dyDescent="0.25">
      <c r="A141" s="653">
        <v>33500</v>
      </c>
      <c r="B141" s="651" t="s">
        <v>1354</v>
      </c>
      <c r="C141" s="675">
        <v>2.9710000000000001E-3</v>
      </c>
      <c r="D141" s="675">
        <v>2.9740000000000001E-3</v>
      </c>
      <c r="E141" s="680">
        <v>2527287</v>
      </c>
      <c r="F141" s="651">
        <v>129225268</v>
      </c>
      <c r="G141" s="652">
        <v>97501426</v>
      </c>
      <c r="H141" s="652">
        <v>0</v>
      </c>
      <c r="I141" s="652">
        <v>0</v>
      </c>
      <c r="J141" s="652">
        <v>0</v>
      </c>
      <c r="K141" s="652">
        <v>0</v>
      </c>
      <c r="L141" s="652">
        <f t="shared" si="6"/>
        <v>0</v>
      </c>
      <c r="M141" s="652"/>
      <c r="N141" s="652">
        <v>6991032</v>
      </c>
      <c r="O141" s="652">
        <v>36236</v>
      </c>
      <c r="P141" s="652">
        <v>26851448</v>
      </c>
      <c r="Q141" s="652">
        <v>126505</v>
      </c>
      <c r="R141" s="652">
        <f t="shared" si="7"/>
        <v>34005221</v>
      </c>
      <c r="S141" s="652"/>
      <c r="T141" s="652">
        <f t="shared" si="8"/>
        <v>4833964</v>
      </c>
      <c r="U141" s="652">
        <v>-25299</v>
      </c>
      <c r="V141" s="652">
        <v>4808665</v>
      </c>
      <c r="W141" s="654"/>
      <c r="X141" s="654"/>
      <c r="Y141" s="654"/>
      <c r="Z141" s="654"/>
      <c r="AA141" s="654"/>
      <c r="AB141" s="654"/>
      <c r="AC141" s="654"/>
      <c r="AD141" s="654"/>
      <c r="AE141" s="655"/>
      <c r="AF141" s="655"/>
      <c r="AG141" s="655"/>
      <c r="AH141" s="655"/>
      <c r="AI141" s="655"/>
      <c r="AJ141" s="655"/>
      <c r="AK141" s="655"/>
      <c r="AL141" s="655"/>
    </row>
    <row r="142" spans="1:38" hidden="1" x14ac:dyDescent="0.25">
      <c r="A142" s="653">
        <v>33501</v>
      </c>
      <c r="B142" s="651" t="s">
        <v>1355</v>
      </c>
      <c r="C142" s="675">
        <v>6.2000000000000003E-5</v>
      </c>
      <c r="D142" s="675">
        <v>7.2000000000000002E-5</v>
      </c>
      <c r="E142" s="680">
        <v>55955</v>
      </c>
      <c r="F142" s="651">
        <v>2683493</v>
      </c>
      <c r="G142" s="652">
        <v>2363943</v>
      </c>
      <c r="H142" s="652">
        <v>0</v>
      </c>
      <c r="I142" s="652">
        <v>0</v>
      </c>
      <c r="J142" s="652">
        <v>0</v>
      </c>
      <c r="K142" s="652">
        <v>367165</v>
      </c>
      <c r="L142" s="652">
        <f t="shared" si="6"/>
        <v>367165</v>
      </c>
      <c r="M142" s="652"/>
      <c r="N142" s="652">
        <v>169499</v>
      </c>
      <c r="O142" s="652">
        <v>879</v>
      </c>
      <c r="P142" s="652">
        <v>651019</v>
      </c>
      <c r="Q142" s="652">
        <v>0</v>
      </c>
      <c r="R142" s="652">
        <f t="shared" si="7"/>
        <v>821397</v>
      </c>
      <c r="S142" s="652"/>
      <c r="T142" s="652">
        <f t="shared" si="8"/>
        <v>117201</v>
      </c>
      <c r="U142" s="652">
        <v>73437</v>
      </c>
      <c r="V142" s="652">
        <v>190638</v>
      </c>
      <c r="W142" s="654"/>
      <c r="X142" s="654"/>
      <c r="Y142" s="654"/>
      <c r="Z142" s="654"/>
      <c r="AA142" s="654"/>
      <c r="AB142" s="654"/>
      <c r="AC142" s="654"/>
      <c r="AD142" s="654"/>
      <c r="AE142" s="655"/>
      <c r="AF142" s="655"/>
      <c r="AG142" s="655"/>
      <c r="AH142" s="655"/>
      <c r="AI142" s="655"/>
      <c r="AJ142" s="655"/>
      <c r="AK142" s="655"/>
      <c r="AL142" s="655"/>
    </row>
    <row r="143" spans="1:38" hidden="1" x14ac:dyDescent="0.25">
      <c r="A143" s="653">
        <v>33600</v>
      </c>
      <c r="B143" s="651" t="s">
        <v>1356</v>
      </c>
      <c r="C143" s="675">
        <v>9.4149999999999998E-3</v>
      </c>
      <c r="D143" s="675">
        <v>9.9699999999999997E-3</v>
      </c>
      <c r="E143" s="680">
        <v>8723375</v>
      </c>
      <c r="F143" s="651">
        <v>409571482</v>
      </c>
      <c r="G143" s="652">
        <v>326892034</v>
      </c>
      <c r="H143" s="652">
        <v>0</v>
      </c>
      <c r="I143" s="652">
        <v>0</v>
      </c>
      <c r="J143" s="652">
        <v>0</v>
      </c>
      <c r="K143" s="652">
        <v>19518310</v>
      </c>
      <c r="L143" s="652">
        <f t="shared" si="6"/>
        <v>19518310</v>
      </c>
      <c r="M143" s="652"/>
      <c r="N143" s="652">
        <v>23438760</v>
      </c>
      <c r="O143" s="652">
        <v>121487</v>
      </c>
      <c r="P143" s="652">
        <v>90024574</v>
      </c>
      <c r="Q143" s="652">
        <v>0</v>
      </c>
      <c r="R143" s="652">
        <f t="shared" si="7"/>
        <v>113584821</v>
      </c>
      <c r="S143" s="652"/>
      <c r="T143" s="652">
        <f t="shared" si="8"/>
        <v>16206782</v>
      </c>
      <c r="U143" s="652">
        <v>3903656</v>
      </c>
      <c r="V143" s="652">
        <v>20110438</v>
      </c>
      <c r="W143" s="654"/>
      <c r="X143" s="654"/>
      <c r="Y143" s="654"/>
      <c r="Z143" s="654"/>
      <c r="AA143" s="654"/>
      <c r="AB143" s="654"/>
      <c r="AC143" s="654"/>
      <c r="AD143" s="654"/>
      <c r="AE143" s="655"/>
      <c r="AF143" s="655"/>
      <c r="AG143" s="655"/>
      <c r="AH143" s="655"/>
      <c r="AI143" s="655"/>
      <c r="AJ143" s="655"/>
      <c r="AK143" s="655"/>
      <c r="AL143" s="655"/>
    </row>
    <row r="144" spans="1:38" hidden="1" x14ac:dyDescent="0.25">
      <c r="A144" s="653">
        <v>33605</v>
      </c>
      <c r="B144" s="651" t="s">
        <v>1357</v>
      </c>
      <c r="C144" s="675">
        <v>1.253E-3</v>
      </c>
      <c r="D144" s="675">
        <v>1.2149999999999999E-3</v>
      </c>
      <c r="E144" s="680">
        <v>1339219</v>
      </c>
      <c r="F144" s="651">
        <v>54527233</v>
      </c>
      <c r="G144" s="652">
        <v>39838354</v>
      </c>
      <c r="H144" s="652">
        <v>0</v>
      </c>
      <c r="I144" s="652">
        <v>0</v>
      </c>
      <c r="J144" s="652">
        <v>0</v>
      </c>
      <c r="K144" s="652">
        <v>0</v>
      </c>
      <c r="L144" s="652">
        <f t="shared" si="6"/>
        <v>0</v>
      </c>
      <c r="M144" s="652"/>
      <c r="N144" s="652">
        <v>2856483</v>
      </c>
      <c r="O144" s="652">
        <v>14806</v>
      </c>
      <c r="P144" s="652">
        <v>10971301</v>
      </c>
      <c r="Q144" s="652">
        <v>1235160</v>
      </c>
      <c r="R144" s="652">
        <f t="shared" si="7"/>
        <v>15077750</v>
      </c>
      <c r="S144" s="652"/>
      <c r="T144" s="652">
        <f t="shared" si="8"/>
        <v>1975122</v>
      </c>
      <c r="U144" s="652">
        <v>-247032</v>
      </c>
      <c r="V144" s="652">
        <v>1728090</v>
      </c>
      <c r="W144" s="654"/>
      <c r="X144" s="654"/>
      <c r="Y144" s="654"/>
      <c r="Z144" s="654"/>
      <c r="AA144" s="654"/>
      <c r="AB144" s="654"/>
      <c r="AC144" s="654"/>
      <c r="AD144" s="654"/>
      <c r="AE144" s="655"/>
      <c r="AF144" s="655"/>
      <c r="AG144" s="655"/>
      <c r="AH144" s="655"/>
      <c r="AI144" s="655"/>
      <c r="AJ144" s="655"/>
      <c r="AK144" s="655"/>
      <c r="AL144" s="655"/>
    </row>
    <row r="145" spans="1:38" hidden="1" x14ac:dyDescent="0.25">
      <c r="A145" s="653">
        <v>33700</v>
      </c>
      <c r="B145" s="651" t="s">
        <v>1358</v>
      </c>
      <c r="C145" s="675">
        <v>6.6799999999999997E-4</v>
      </c>
      <c r="D145" s="675">
        <v>6.7199999999999996E-4</v>
      </c>
      <c r="E145" s="680">
        <v>630168</v>
      </c>
      <c r="F145" s="651">
        <v>29058318</v>
      </c>
      <c r="G145" s="652">
        <v>22044368</v>
      </c>
      <c r="H145" s="652">
        <v>0</v>
      </c>
      <c r="I145" s="652">
        <v>0</v>
      </c>
      <c r="J145" s="652">
        <v>0</v>
      </c>
      <c r="K145" s="652">
        <v>152525</v>
      </c>
      <c r="L145" s="652">
        <f t="shared" si="6"/>
        <v>152525</v>
      </c>
      <c r="M145" s="652"/>
      <c r="N145" s="652">
        <v>1580622</v>
      </c>
      <c r="O145" s="652">
        <v>8193</v>
      </c>
      <c r="P145" s="652">
        <v>6070918</v>
      </c>
      <c r="Q145" s="652">
        <v>0</v>
      </c>
      <c r="R145" s="652">
        <f t="shared" si="7"/>
        <v>7659733</v>
      </c>
      <c r="S145" s="652"/>
      <c r="T145" s="652">
        <f t="shared" si="8"/>
        <v>1092924</v>
      </c>
      <c r="U145" s="652">
        <v>30502</v>
      </c>
      <c r="V145" s="652">
        <v>1123426</v>
      </c>
      <c r="W145" s="654"/>
      <c r="X145" s="654"/>
      <c r="Y145" s="654"/>
      <c r="Z145" s="654"/>
      <c r="AA145" s="654"/>
      <c r="AB145" s="654"/>
      <c r="AC145" s="654"/>
      <c r="AD145" s="654"/>
      <c r="AE145" s="655"/>
      <c r="AF145" s="655"/>
      <c r="AG145" s="655"/>
      <c r="AH145" s="655"/>
      <c r="AI145" s="655"/>
      <c r="AJ145" s="655"/>
      <c r="AK145" s="655"/>
      <c r="AL145" s="655"/>
    </row>
    <row r="146" spans="1:38" hidden="1" x14ac:dyDescent="0.25">
      <c r="A146" s="653">
        <v>33800</v>
      </c>
      <c r="B146" s="651" t="s">
        <v>1359</v>
      </c>
      <c r="C146" s="675">
        <v>5.0500000000000002E-4</v>
      </c>
      <c r="D146" s="675">
        <v>5.2599999999999999E-4</v>
      </c>
      <c r="E146" s="680">
        <v>476289</v>
      </c>
      <c r="F146" s="651">
        <v>21971080</v>
      </c>
      <c r="G146" s="652">
        <v>17257472</v>
      </c>
      <c r="H146" s="652">
        <v>0</v>
      </c>
      <c r="I146" s="652">
        <v>0</v>
      </c>
      <c r="J146" s="652">
        <v>0</v>
      </c>
      <c r="K146" s="652">
        <v>752930</v>
      </c>
      <c r="L146" s="652">
        <f t="shared" si="6"/>
        <v>752930</v>
      </c>
      <c r="M146" s="652"/>
      <c r="N146" s="652">
        <v>1237392</v>
      </c>
      <c r="O146" s="652">
        <v>6414</v>
      </c>
      <c r="P146" s="652">
        <v>4752629</v>
      </c>
      <c r="Q146" s="652">
        <v>0</v>
      </c>
      <c r="R146" s="652">
        <f t="shared" si="7"/>
        <v>5996435</v>
      </c>
      <c r="S146" s="652"/>
      <c r="T146" s="652">
        <f t="shared" si="8"/>
        <v>855598</v>
      </c>
      <c r="U146" s="652">
        <v>150588</v>
      </c>
      <c r="V146" s="652">
        <v>1006186</v>
      </c>
      <c r="W146" s="654"/>
      <c r="X146" s="654"/>
      <c r="Y146" s="654"/>
      <c r="Z146" s="654"/>
      <c r="AA146" s="654"/>
      <c r="AB146" s="654"/>
      <c r="AC146" s="654"/>
      <c r="AD146" s="654"/>
      <c r="AE146" s="655"/>
      <c r="AF146" s="655"/>
      <c r="AG146" s="655"/>
      <c r="AH146" s="655"/>
      <c r="AI146" s="655"/>
      <c r="AJ146" s="655"/>
      <c r="AK146" s="655"/>
      <c r="AL146" s="655"/>
    </row>
    <row r="147" spans="1:38" hidden="1" x14ac:dyDescent="0.25">
      <c r="A147" s="653">
        <v>33900</v>
      </c>
      <c r="B147" s="651" t="s">
        <v>1360</v>
      </c>
      <c r="C147" s="675">
        <v>2.6350000000000002E-3</v>
      </c>
      <c r="D147" s="675">
        <v>2.6440000000000001E-3</v>
      </c>
      <c r="E147" s="680">
        <v>2458409</v>
      </c>
      <c r="F147" s="651">
        <v>114626821</v>
      </c>
      <c r="G147" s="652">
        <v>86700782</v>
      </c>
      <c r="H147" s="652">
        <v>0</v>
      </c>
      <c r="I147" s="652">
        <v>0</v>
      </c>
      <c r="J147" s="652">
        <v>0</v>
      </c>
      <c r="K147" s="652">
        <v>299760</v>
      </c>
      <c r="L147" s="652">
        <f t="shared" si="6"/>
        <v>299760</v>
      </c>
      <c r="M147" s="652"/>
      <c r="N147" s="652">
        <v>6216606</v>
      </c>
      <c r="O147" s="652">
        <v>32222</v>
      </c>
      <c r="P147" s="652">
        <v>23877000</v>
      </c>
      <c r="Q147" s="652">
        <v>0</v>
      </c>
      <c r="R147" s="652">
        <f t="shared" si="7"/>
        <v>30125828</v>
      </c>
      <c r="S147" s="652"/>
      <c r="T147" s="652">
        <f t="shared" si="8"/>
        <v>4298486</v>
      </c>
      <c r="U147" s="652">
        <v>59951</v>
      </c>
      <c r="V147" s="652">
        <v>4358437</v>
      </c>
      <c r="W147" s="654"/>
      <c r="X147" s="654"/>
      <c r="Y147" s="654"/>
      <c r="Z147" s="654"/>
      <c r="AA147" s="654"/>
      <c r="AB147" s="654"/>
      <c r="AC147" s="654"/>
      <c r="AD147" s="654"/>
      <c r="AE147" s="655"/>
      <c r="AF147" s="655"/>
      <c r="AG147" s="655"/>
      <c r="AH147" s="655"/>
      <c r="AI147" s="655"/>
      <c r="AJ147" s="655"/>
      <c r="AK147" s="655"/>
      <c r="AL147" s="655"/>
    </row>
    <row r="148" spans="1:38" hidden="1" x14ac:dyDescent="0.25">
      <c r="A148" s="653">
        <v>34000</v>
      </c>
      <c r="B148" s="651" t="s">
        <v>1361</v>
      </c>
      <c r="C148" s="675">
        <v>1.1490000000000001E-3</v>
      </c>
      <c r="D148" s="675">
        <v>1.1969999999999999E-3</v>
      </c>
      <c r="E148" s="680">
        <v>1035624</v>
      </c>
      <c r="F148" s="651">
        <v>50003563</v>
      </c>
      <c r="G148" s="652">
        <v>39260073</v>
      </c>
      <c r="H148" s="652">
        <v>0</v>
      </c>
      <c r="I148" s="652">
        <v>0</v>
      </c>
      <c r="J148" s="652">
        <v>0</v>
      </c>
      <c r="K148" s="652">
        <v>1656115</v>
      </c>
      <c r="L148" s="652">
        <f t="shared" si="6"/>
        <v>1656115</v>
      </c>
      <c r="M148" s="652"/>
      <c r="N148" s="652">
        <v>2815019</v>
      </c>
      <c r="O148" s="652">
        <v>14591</v>
      </c>
      <c r="P148" s="652">
        <v>10812045</v>
      </c>
      <c r="Q148" s="652">
        <v>0</v>
      </c>
      <c r="R148" s="652">
        <f t="shared" si="7"/>
        <v>13641655</v>
      </c>
      <c r="S148" s="652"/>
      <c r="T148" s="652">
        <f t="shared" si="8"/>
        <v>1946451</v>
      </c>
      <c r="U148" s="652">
        <v>331223</v>
      </c>
      <c r="V148" s="652">
        <v>2277674</v>
      </c>
      <c r="W148" s="654"/>
      <c r="X148" s="654"/>
      <c r="Y148" s="654"/>
      <c r="Z148" s="654"/>
      <c r="AA148" s="654"/>
      <c r="AB148" s="654"/>
      <c r="AC148" s="654"/>
      <c r="AD148" s="654"/>
      <c r="AE148" s="655"/>
      <c r="AF148" s="655"/>
      <c r="AG148" s="655"/>
      <c r="AH148" s="655"/>
      <c r="AI148" s="655"/>
      <c r="AJ148" s="655"/>
      <c r="AK148" s="655"/>
      <c r="AL148" s="655"/>
    </row>
    <row r="149" spans="1:38" hidden="1" x14ac:dyDescent="0.25">
      <c r="A149" s="653">
        <v>34100</v>
      </c>
      <c r="B149" s="651" t="s">
        <v>1362</v>
      </c>
      <c r="C149" s="675">
        <v>2.6079000000000001E-2</v>
      </c>
      <c r="D149" s="675">
        <v>2.6720000000000001E-2</v>
      </c>
      <c r="E149" s="680">
        <v>23151311</v>
      </c>
      <c r="F149" s="651">
        <v>1134540199</v>
      </c>
      <c r="G149" s="652">
        <v>876058743</v>
      </c>
      <c r="H149" s="652">
        <v>0</v>
      </c>
      <c r="I149" s="652">
        <v>0</v>
      </c>
      <c r="J149" s="652">
        <v>0</v>
      </c>
      <c r="K149" s="652">
        <v>21366210</v>
      </c>
      <c r="L149" s="652">
        <f t="shared" si="6"/>
        <v>21366210</v>
      </c>
      <c r="M149" s="652"/>
      <c r="N149" s="652">
        <v>62815023</v>
      </c>
      <c r="O149" s="652">
        <v>325581</v>
      </c>
      <c r="P149" s="652">
        <v>241262578</v>
      </c>
      <c r="Q149" s="652">
        <v>0</v>
      </c>
      <c r="R149" s="652">
        <f t="shared" si="7"/>
        <v>304403182</v>
      </c>
      <c r="S149" s="652"/>
      <c r="T149" s="652">
        <f t="shared" si="8"/>
        <v>43433586</v>
      </c>
      <c r="U149" s="652">
        <v>4273242</v>
      </c>
      <c r="V149" s="652">
        <v>47706828</v>
      </c>
      <c r="W149" s="654"/>
      <c r="X149" s="654"/>
      <c r="Y149" s="654"/>
      <c r="Z149" s="654"/>
      <c r="AA149" s="654"/>
      <c r="AB149" s="654"/>
      <c r="AC149" s="654"/>
      <c r="AD149" s="654"/>
      <c r="AE149" s="655"/>
      <c r="AF149" s="655"/>
      <c r="AG149" s="655"/>
      <c r="AH149" s="655"/>
      <c r="AI149" s="655"/>
      <c r="AJ149" s="655"/>
      <c r="AK149" s="655"/>
      <c r="AL149" s="655"/>
    </row>
    <row r="150" spans="1:38" hidden="1" x14ac:dyDescent="0.25">
      <c r="A150" s="653">
        <v>34105</v>
      </c>
      <c r="B150" s="651" t="s">
        <v>1363</v>
      </c>
      <c r="C150" s="675">
        <v>2.1879999999999998E-3</v>
      </c>
      <c r="D150" s="675">
        <v>2.1159999999999998E-3</v>
      </c>
      <c r="E150" s="680">
        <v>2246887</v>
      </c>
      <c r="F150" s="651">
        <v>95182394</v>
      </c>
      <c r="G150" s="652">
        <v>69371212</v>
      </c>
      <c r="H150" s="652">
        <v>0</v>
      </c>
      <c r="I150" s="652">
        <v>0</v>
      </c>
      <c r="J150" s="652">
        <v>0</v>
      </c>
      <c r="K150" s="652">
        <v>0</v>
      </c>
      <c r="L150" s="652">
        <f t="shared" si="6"/>
        <v>0</v>
      </c>
      <c r="M150" s="652"/>
      <c r="N150" s="652">
        <v>4974044</v>
      </c>
      <c r="O150" s="652">
        <v>25781</v>
      </c>
      <c r="P150" s="652">
        <v>19104515</v>
      </c>
      <c r="Q150" s="652">
        <v>2416060</v>
      </c>
      <c r="R150" s="652">
        <f t="shared" si="7"/>
        <v>26520400</v>
      </c>
      <c r="S150" s="652"/>
      <c r="T150" s="652">
        <f t="shared" si="8"/>
        <v>3439313</v>
      </c>
      <c r="U150" s="652">
        <v>-483209</v>
      </c>
      <c r="V150" s="652">
        <v>2956104</v>
      </c>
      <c r="W150" s="654"/>
      <c r="X150" s="654"/>
      <c r="Y150" s="654"/>
      <c r="Z150" s="654"/>
      <c r="AA150" s="654"/>
      <c r="AB150" s="654"/>
      <c r="AC150" s="654"/>
      <c r="AD150" s="654"/>
      <c r="AE150" s="655"/>
      <c r="AF150" s="655"/>
      <c r="AG150" s="655"/>
      <c r="AH150" s="655"/>
      <c r="AI150" s="655"/>
      <c r="AJ150" s="655"/>
      <c r="AK150" s="655"/>
      <c r="AL150" s="655"/>
    </row>
    <row r="151" spans="1:38" hidden="1" x14ac:dyDescent="0.25">
      <c r="A151" s="653">
        <v>34200</v>
      </c>
      <c r="B151" s="651" t="s">
        <v>1364</v>
      </c>
      <c r="C151" s="675">
        <v>1.0020000000000001E-3</v>
      </c>
      <c r="D151" s="675">
        <v>8.7600000000000004E-4</v>
      </c>
      <c r="E151" s="680">
        <v>863918</v>
      </c>
      <c r="F151" s="651">
        <v>43578570</v>
      </c>
      <c r="G151" s="652">
        <v>28706578</v>
      </c>
      <c r="H151" s="652">
        <v>0</v>
      </c>
      <c r="I151" s="652">
        <v>0</v>
      </c>
      <c r="J151" s="652">
        <v>0</v>
      </c>
      <c r="K151" s="652">
        <v>0</v>
      </c>
      <c r="L151" s="652">
        <f t="shared" si="6"/>
        <v>0</v>
      </c>
      <c r="M151" s="652"/>
      <c r="N151" s="652">
        <v>2058314</v>
      </c>
      <c r="O151" s="652">
        <v>10669</v>
      </c>
      <c r="P151" s="652">
        <v>7905661</v>
      </c>
      <c r="Q151" s="652">
        <v>4547215</v>
      </c>
      <c r="R151" s="652">
        <f t="shared" si="7"/>
        <v>14521859</v>
      </c>
      <c r="S151" s="652"/>
      <c r="T151" s="652">
        <f t="shared" si="8"/>
        <v>1423226</v>
      </c>
      <c r="U151" s="652">
        <v>-909442</v>
      </c>
      <c r="V151" s="652">
        <v>513784</v>
      </c>
      <c r="W151" s="654"/>
      <c r="X151" s="654"/>
      <c r="Y151" s="654"/>
      <c r="Z151" s="654"/>
      <c r="AA151" s="654"/>
      <c r="AB151" s="654"/>
      <c r="AC151" s="654"/>
      <c r="AD151" s="654"/>
      <c r="AE151" s="655"/>
      <c r="AF151" s="655"/>
      <c r="AG151" s="655"/>
      <c r="AH151" s="655"/>
      <c r="AI151" s="655"/>
      <c r="AJ151" s="655"/>
      <c r="AK151" s="655"/>
      <c r="AL151" s="655"/>
    </row>
    <row r="152" spans="1:38" hidden="1" x14ac:dyDescent="0.25">
      <c r="A152" s="653">
        <v>34205</v>
      </c>
      <c r="B152" s="651" t="s">
        <v>1365</v>
      </c>
      <c r="C152" s="675">
        <v>4.0900000000000002E-4</v>
      </c>
      <c r="D152" s="675">
        <v>3.79E-4</v>
      </c>
      <c r="E152" s="680">
        <v>424109</v>
      </c>
      <c r="F152" s="651">
        <v>17780134</v>
      </c>
      <c r="G152" s="652">
        <v>12437938</v>
      </c>
      <c r="H152" s="652">
        <v>0</v>
      </c>
      <c r="I152" s="652">
        <v>0</v>
      </c>
      <c r="J152" s="652">
        <v>0</v>
      </c>
      <c r="K152" s="652">
        <v>0</v>
      </c>
      <c r="L152" s="652">
        <f t="shared" si="6"/>
        <v>0</v>
      </c>
      <c r="M152" s="652"/>
      <c r="N152" s="652">
        <v>891823</v>
      </c>
      <c r="O152" s="652">
        <v>4622</v>
      </c>
      <c r="P152" s="652">
        <v>3425351</v>
      </c>
      <c r="Q152" s="652">
        <v>1010785</v>
      </c>
      <c r="R152" s="652">
        <f t="shared" si="7"/>
        <v>5332581</v>
      </c>
      <c r="S152" s="652"/>
      <c r="T152" s="652">
        <f t="shared" si="8"/>
        <v>616653</v>
      </c>
      <c r="U152" s="652">
        <v>-202158</v>
      </c>
      <c r="V152" s="652">
        <v>414495</v>
      </c>
      <c r="W152" s="654"/>
      <c r="X152" s="654"/>
      <c r="Y152" s="654"/>
      <c r="Z152" s="654"/>
      <c r="AA152" s="654"/>
      <c r="AB152" s="654"/>
      <c r="AC152" s="654"/>
      <c r="AD152" s="654"/>
      <c r="AE152" s="655"/>
      <c r="AF152" s="655"/>
      <c r="AG152" s="655"/>
      <c r="AH152" s="655"/>
      <c r="AI152" s="655"/>
      <c r="AJ152" s="655"/>
      <c r="AK152" s="655"/>
      <c r="AL152" s="655"/>
    </row>
    <row r="153" spans="1:38" hidden="1" x14ac:dyDescent="0.25">
      <c r="A153" s="653">
        <v>34220</v>
      </c>
      <c r="B153" s="651" t="s">
        <v>1366</v>
      </c>
      <c r="C153" s="675">
        <v>9.1100000000000003E-4</v>
      </c>
      <c r="D153" s="675">
        <v>9.8700000000000003E-4</v>
      </c>
      <c r="E153" s="680">
        <v>942468</v>
      </c>
      <c r="F153" s="651">
        <v>39649767</v>
      </c>
      <c r="G153" s="652">
        <v>32355349</v>
      </c>
      <c r="H153" s="652">
        <v>0</v>
      </c>
      <c r="I153" s="652">
        <v>0</v>
      </c>
      <c r="J153" s="652">
        <v>0</v>
      </c>
      <c r="K153" s="652">
        <v>2738670</v>
      </c>
      <c r="L153" s="652">
        <f t="shared" si="6"/>
        <v>2738670</v>
      </c>
      <c r="M153" s="652"/>
      <c r="N153" s="652">
        <v>2319938</v>
      </c>
      <c r="O153" s="652">
        <v>12025</v>
      </c>
      <c r="P153" s="652">
        <v>8910515</v>
      </c>
      <c r="Q153" s="652">
        <v>0</v>
      </c>
      <c r="R153" s="652">
        <f t="shared" si="7"/>
        <v>11242478</v>
      </c>
      <c r="S153" s="652"/>
      <c r="T153" s="652">
        <f t="shared" si="8"/>
        <v>1604126</v>
      </c>
      <c r="U153" s="652">
        <v>547732</v>
      </c>
      <c r="V153" s="652">
        <v>2151858</v>
      </c>
      <c r="W153" s="654"/>
      <c r="X153" s="654"/>
      <c r="Y153" s="654"/>
      <c r="Z153" s="654"/>
      <c r="AA153" s="654"/>
      <c r="AB153" s="654"/>
      <c r="AC153" s="654"/>
      <c r="AD153" s="654"/>
      <c r="AE153" s="655"/>
      <c r="AF153" s="655"/>
      <c r="AG153" s="655"/>
      <c r="AH153" s="655"/>
      <c r="AI153" s="655"/>
      <c r="AJ153" s="655"/>
      <c r="AK153" s="655"/>
      <c r="AL153" s="655"/>
    </row>
    <row r="154" spans="1:38" hidden="1" x14ac:dyDescent="0.25">
      <c r="A154" s="653">
        <v>34230</v>
      </c>
      <c r="B154" s="651" t="s">
        <v>1367</v>
      </c>
      <c r="C154" s="675">
        <v>4.2900000000000002E-4</v>
      </c>
      <c r="D154" s="675">
        <v>4.1399999999999998E-4</v>
      </c>
      <c r="E154" s="680">
        <v>367062</v>
      </c>
      <c r="F154" s="651">
        <v>18668457</v>
      </c>
      <c r="G154" s="652">
        <v>13559150</v>
      </c>
      <c r="H154" s="652">
        <v>0</v>
      </c>
      <c r="I154" s="652">
        <v>0</v>
      </c>
      <c r="J154" s="652">
        <v>0</v>
      </c>
      <c r="K154" s="652">
        <v>0</v>
      </c>
      <c r="L154" s="652">
        <f t="shared" si="6"/>
        <v>0</v>
      </c>
      <c r="M154" s="652"/>
      <c r="N154" s="652">
        <v>972216</v>
      </c>
      <c r="O154" s="652">
        <v>5039</v>
      </c>
      <c r="P154" s="652">
        <v>3734128</v>
      </c>
      <c r="Q154" s="652">
        <v>585915</v>
      </c>
      <c r="R154" s="652">
        <f t="shared" si="7"/>
        <v>5297298</v>
      </c>
      <c r="S154" s="652"/>
      <c r="T154" s="652">
        <f t="shared" si="8"/>
        <v>672241</v>
      </c>
      <c r="U154" s="652">
        <v>-117188</v>
      </c>
      <c r="V154" s="652">
        <v>555053</v>
      </c>
      <c r="W154" s="654"/>
      <c r="X154" s="654"/>
      <c r="Y154" s="654"/>
      <c r="Z154" s="654"/>
      <c r="AA154" s="654"/>
      <c r="AB154" s="654"/>
      <c r="AC154" s="654"/>
      <c r="AD154" s="654"/>
      <c r="AE154" s="655"/>
      <c r="AF154" s="655"/>
      <c r="AG154" s="655"/>
      <c r="AH154" s="655"/>
      <c r="AI154" s="655"/>
      <c r="AJ154" s="655"/>
      <c r="AK154" s="655"/>
      <c r="AL154" s="655"/>
    </row>
    <row r="155" spans="1:38" hidden="1" x14ac:dyDescent="0.25">
      <c r="A155" s="653">
        <v>34300</v>
      </c>
      <c r="B155" s="651" t="s">
        <v>1368</v>
      </c>
      <c r="C155" s="675">
        <v>6.1609999999999998E-3</v>
      </c>
      <c r="D155" s="675">
        <v>6.4949999999999999E-3</v>
      </c>
      <c r="E155" s="680">
        <v>5565956</v>
      </c>
      <c r="F155" s="651">
        <v>268000753</v>
      </c>
      <c r="G155" s="652">
        <v>212961815</v>
      </c>
      <c r="H155" s="652">
        <v>0</v>
      </c>
      <c r="I155" s="652">
        <v>0</v>
      </c>
      <c r="J155" s="652">
        <v>0</v>
      </c>
      <c r="K155" s="652">
        <v>11638600</v>
      </c>
      <c r="L155" s="652">
        <f t="shared" si="6"/>
        <v>11638600</v>
      </c>
      <c r="M155" s="652"/>
      <c r="N155" s="652">
        <v>15269754</v>
      </c>
      <c r="O155" s="652">
        <v>79146</v>
      </c>
      <c r="P155" s="652">
        <v>58648712</v>
      </c>
      <c r="Q155" s="652">
        <v>0</v>
      </c>
      <c r="R155" s="652">
        <f t="shared" si="7"/>
        <v>73997612</v>
      </c>
      <c r="S155" s="652"/>
      <c r="T155" s="652">
        <f t="shared" si="8"/>
        <v>10558305</v>
      </c>
      <c r="U155" s="652">
        <v>2327724</v>
      </c>
      <c r="V155" s="652">
        <v>12886029</v>
      </c>
      <c r="W155" s="654"/>
      <c r="X155" s="654"/>
      <c r="Y155" s="654"/>
      <c r="Z155" s="654"/>
      <c r="AA155" s="654"/>
      <c r="AB155" s="654"/>
      <c r="AC155" s="654"/>
      <c r="AD155" s="654"/>
      <c r="AE155" s="655"/>
      <c r="AF155" s="655"/>
      <c r="AG155" s="655"/>
      <c r="AH155" s="655"/>
      <c r="AI155" s="655"/>
      <c r="AJ155" s="655"/>
      <c r="AK155" s="655"/>
      <c r="AL155" s="655"/>
    </row>
    <row r="156" spans="1:38" hidden="1" x14ac:dyDescent="0.25">
      <c r="A156" s="653">
        <v>34400</v>
      </c>
      <c r="B156" s="651" t="s">
        <v>1369</v>
      </c>
      <c r="C156" s="675">
        <v>2.6150000000000001E-3</v>
      </c>
      <c r="D156" s="675">
        <v>2.5990000000000002E-3</v>
      </c>
      <c r="E156" s="680">
        <v>2256446</v>
      </c>
      <c r="F156" s="651">
        <v>113763955</v>
      </c>
      <c r="G156" s="652">
        <v>85206053</v>
      </c>
      <c r="H156" s="652">
        <v>0</v>
      </c>
      <c r="I156" s="652">
        <v>0</v>
      </c>
      <c r="J156" s="652">
        <v>0</v>
      </c>
      <c r="K156" s="652">
        <v>0</v>
      </c>
      <c r="L156" s="652">
        <f t="shared" si="6"/>
        <v>0</v>
      </c>
      <c r="M156" s="652"/>
      <c r="N156" s="652">
        <v>6109431</v>
      </c>
      <c r="O156" s="652">
        <v>31666</v>
      </c>
      <c r="P156" s="652">
        <v>23465358</v>
      </c>
      <c r="Q156" s="652">
        <v>766155</v>
      </c>
      <c r="R156" s="652">
        <f t="shared" si="7"/>
        <v>30372610</v>
      </c>
      <c r="S156" s="652"/>
      <c r="T156" s="652">
        <f t="shared" si="8"/>
        <v>4224379</v>
      </c>
      <c r="U156" s="652">
        <v>-153226</v>
      </c>
      <c r="V156" s="652">
        <v>4071153</v>
      </c>
      <c r="W156" s="654"/>
      <c r="X156" s="654"/>
      <c r="Y156" s="654"/>
      <c r="Z156" s="654"/>
      <c r="AA156" s="654"/>
      <c r="AB156" s="654"/>
      <c r="AC156" s="654"/>
      <c r="AD156" s="654"/>
      <c r="AE156" s="655"/>
      <c r="AF156" s="655"/>
      <c r="AG156" s="655"/>
      <c r="AH156" s="655"/>
      <c r="AI156" s="655"/>
      <c r="AJ156" s="655"/>
      <c r="AK156" s="655"/>
      <c r="AL156" s="655"/>
    </row>
    <row r="157" spans="1:38" hidden="1" x14ac:dyDescent="0.25">
      <c r="A157" s="653">
        <v>34405</v>
      </c>
      <c r="B157" s="651" t="s">
        <v>1370</v>
      </c>
      <c r="C157" s="675">
        <v>5.4799999999999998E-4</v>
      </c>
      <c r="D157" s="675">
        <v>4.9299999999999995E-4</v>
      </c>
      <c r="E157" s="680">
        <v>478050</v>
      </c>
      <c r="F157" s="651">
        <v>23837773</v>
      </c>
      <c r="G157" s="652">
        <v>16164449</v>
      </c>
      <c r="H157" s="652">
        <v>0</v>
      </c>
      <c r="I157" s="652">
        <v>0</v>
      </c>
      <c r="J157" s="652">
        <v>0</v>
      </c>
      <c r="K157" s="652">
        <v>0</v>
      </c>
      <c r="L157" s="652">
        <f t="shared" si="6"/>
        <v>0</v>
      </c>
      <c r="M157" s="652"/>
      <c r="N157" s="652">
        <v>1159021</v>
      </c>
      <c r="O157" s="652">
        <v>6007</v>
      </c>
      <c r="P157" s="652">
        <v>4451615</v>
      </c>
      <c r="Q157" s="652">
        <v>1983365</v>
      </c>
      <c r="R157" s="652">
        <f t="shared" si="7"/>
        <v>7600008</v>
      </c>
      <c r="S157" s="652"/>
      <c r="T157" s="652">
        <f t="shared" si="8"/>
        <v>801407</v>
      </c>
      <c r="U157" s="652">
        <v>-396673</v>
      </c>
      <c r="V157" s="652">
        <v>404734</v>
      </c>
      <c r="W157" s="654"/>
      <c r="X157" s="654"/>
      <c r="Y157" s="654"/>
      <c r="Z157" s="654"/>
      <c r="AA157" s="654"/>
      <c r="AB157" s="654"/>
      <c r="AC157" s="654"/>
      <c r="AD157" s="654"/>
      <c r="AE157" s="655"/>
      <c r="AF157" s="655"/>
      <c r="AG157" s="655"/>
      <c r="AH157" s="655"/>
      <c r="AI157" s="655"/>
      <c r="AJ157" s="655"/>
      <c r="AK157" s="655"/>
      <c r="AL157" s="655"/>
    </row>
    <row r="158" spans="1:38" hidden="1" x14ac:dyDescent="0.25">
      <c r="A158" s="653">
        <v>34500</v>
      </c>
      <c r="B158" s="651" t="s">
        <v>1371</v>
      </c>
      <c r="C158" s="675">
        <v>4.4939999999999997E-3</v>
      </c>
      <c r="D158" s="675">
        <v>4.5880000000000001E-3</v>
      </c>
      <c r="E158" s="680">
        <v>4080408</v>
      </c>
      <c r="F158" s="651">
        <v>195497193</v>
      </c>
      <c r="G158" s="652">
        <v>150412119</v>
      </c>
      <c r="H158" s="652">
        <v>0</v>
      </c>
      <c r="I158" s="652">
        <v>0</v>
      </c>
      <c r="J158" s="652">
        <v>0</v>
      </c>
      <c r="K158" s="652">
        <v>3168065</v>
      </c>
      <c r="L158" s="652">
        <f t="shared" si="6"/>
        <v>3168065</v>
      </c>
      <c r="M158" s="652"/>
      <c r="N158" s="652">
        <v>10784826</v>
      </c>
      <c r="O158" s="652">
        <v>55900</v>
      </c>
      <c r="P158" s="652">
        <v>41422811</v>
      </c>
      <c r="Q158" s="652">
        <v>0</v>
      </c>
      <c r="R158" s="652">
        <f t="shared" si="7"/>
        <v>52263537</v>
      </c>
      <c r="S158" s="652"/>
      <c r="T158" s="652">
        <f t="shared" si="8"/>
        <v>7457191</v>
      </c>
      <c r="U158" s="652">
        <v>633614</v>
      </c>
      <c r="V158" s="652">
        <v>8090805</v>
      </c>
      <c r="W158" s="654"/>
      <c r="X158" s="654"/>
      <c r="Y158" s="654"/>
      <c r="Z158" s="654"/>
      <c r="AA158" s="654"/>
      <c r="AB158" s="654"/>
      <c r="AC158" s="654"/>
      <c r="AD158" s="654"/>
      <c r="AE158" s="655"/>
      <c r="AF158" s="655"/>
      <c r="AG158" s="655"/>
      <c r="AH158" s="655"/>
      <c r="AI158" s="655"/>
      <c r="AJ158" s="655"/>
      <c r="AK158" s="655"/>
      <c r="AL158" s="655"/>
    </row>
    <row r="159" spans="1:38" hidden="1" x14ac:dyDescent="0.25">
      <c r="A159" s="653">
        <v>34501</v>
      </c>
      <c r="B159" s="651" t="s">
        <v>1372</v>
      </c>
      <c r="C159" s="675">
        <v>5.1999999999999997E-5</v>
      </c>
      <c r="D159" s="675">
        <v>5.5999999999999999E-5</v>
      </c>
      <c r="E159" s="680">
        <v>46810</v>
      </c>
      <c r="F159" s="651">
        <v>2244297</v>
      </c>
      <c r="G159" s="652">
        <v>1850632</v>
      </c>
      <c r="H159" s="652">
        <v>0</v>
      </c>
      <c r="I159" s="652">
        <v>0</v>
      </c>
      <c r="J159" s="652">
        <v>0</v>
      </c>
      <c r="K159" s="652">
        <v>170360</v>
      </c>
      <c r="L159" s="652">
        <f t="shared" si="6"/>
        <v>170360</v>
      </c>
      <c r="M159" s="652"/>
      <c r="N159" s="652">
        <v>132694</v>
      </c>
      <c r="O159" s="652">
        <v>688</v>
      </c>
      <c r="P159" s="652">
        <v>509656</v>
      </c>
      <c r="Q159" s="652">
        <v>0</v>
      </c>
      <c r="R159" s="652">
        <f t="shared" si="7"/>
        <v>643038</v>
      </c>
      <c r="S159" s="652"/>
      <c r="T159" s="652">
        <f t="shared" si="8"/>
        <v>91751</v>
      </c>
      <c r="U159" s="652">
        <v>34070</v>
      </c>
      <c r="V159" s="652">
        <v>125821</v>
      </c>
      <c r="W159" s="654"/>
      <c r="X159" s="654"/>
      <c r="Y159" s="654"/>
      <c r="Z159" s="654"/>
      <c r="AA159" s="654"/>
      <c r="AB159" s="654"/>
      <c r="AC159" s="654"/>
      <c r="AD159" s="654"/>
      <c r="AE159" s="655"/>
      <c r="AF159" s="655"/>
      <c r="AG159" s="655"/>
      <c r="AH159" s="655"/>
      <c r="AI159" s="655"/>
      <c r="AJ159" s="655"/>
      <c r="AK159" s="655"/>
      <c r="AL159" s="655"/>
    </row>
    <row r="160" spans="1:38" hidden="1" x14ac:dyDescent="0.25">
      <c r="A160" s="653">
        <v>34505</v>
      </c>
      <c r="B160" s="651" t="s">
        <v>1373</v>
      </c>
      <c r="C160" s="675">
        <v>5.5599999999999996E-4</v>
      </c>
      <c r="D160" s="675">
        <v>5.2599999999999999E-4</v>
      </c>
      <c r="E160" s="680">
        <v>601287</v>
      </c>
      <c r="F160" s="651">
        <v>24164245</v>
      </c>
      <c r="G160" s="652">
        <v>17236632</v>
      </c>
      <c r="H160" s="652">
        <v>0</v>
      </c>
      <c r="I160" s="652">
        <v>0</v>
      </c>
      <c r="J160" s="652">
        <v>0</v>
      </c>
      <c r="K160" s="652">
        <v>0</v>
      </c>
      <c r="L160" s="652">
        <f t="shared" si="6"/>
        <v>0</v>
      </c>
      <c r="M160" s="652"/>
      <c r="N160" s="652">
        <v>1235898</v>
      </c>
      <c r="O160" s="652">
        <v>6406</v>
      </c>
      <c r="P160" s="652">
        <v>4746890</v>
      </c>
      <c r="Q160" s="652">
        <v>993080</v>
      </c>
      <c r="R160" s="652">
        <f t="shared" si="7"/>
        <v>6982274</v>
      </c>
      <c r="S160" s="652"/>
      <c r="T160" s="652">
        <f t="shared" si="8"/>
        <v>854565</v>
      </c>
      <c r="U160" s="652">
        <v>-198617</v>
      </c>
      <c r="V160" s="652">
        <v>655948</v>
      </c>
      <c r="W160" s="654"/>
      <c r="X160" s="654"/>
      <c r="Y160" s="654"/>
      <c r="Z160" s="654"/>
      <c r="AA160" s="654"/>
      <c r="AB160" s="654"/>
      <c r="AC160" s="654"/>
      <c r="AD160" s="654"/>
      <c r="AE160" s="655"/>
      <c r="AF160" s="655"/>
      <c r="AG160" s="655"/>
      <c r="AH160" s="655"/>
      <c r="AI160" s="655"/>
      <c r="AJ160" s="655"/>
      <c r="AK160" s="655"/>
      <c r="AL160" s="655"/>
    </row>
    <row r="161" spans="1:38" hidden="1" x14ac:dyDescent="0.25">
      <c r="A161" s="653">
        <v>34600</v>
      </c>
      <c r="B161" s="651" t="s">
        <v>1374</v>
      </c>
      <c r="C161" s="675">
        <v>1.0579999999999999E-3</v>
      </c>
      <c r="D161" s="675">
        <v>1.0640000000000001E-3</v>
      </c>
      <c r="E161" s="680">
        <v>1038647</v>
      </c>
      <c r="F161" s="651">
        <v>46045142</v>
      </c>
      <c r="G161" s="652">
        <v>34897842</v>
      </c>
      <c r="H161" s="652">
        <v>0</v>
      </c>
      <c r="I161" s="652">
        <v>0</v>
      </c>
      <c r="J161" s="652">
        <v>0</v>
      </c>
      <c r="K161" s="652">
        <v>239235</v>
      </c>
      <c r="L161" s="652">
        <f t="shared" si="6"/>
        <v>239235</v>
      </c>
      <c r="M161" s="652"/>
      <c r="N161" s="652">
        <v>2502239</v>
      </c>
      <c r="O161" s="652">
        <v>12970</v>
      </c>
      <c r="P161" s="652">
        <v>9610706</v>
      </c>
      <c r="Q161" s="652">
        <v>0</v>
      </c>
      <c r="R161" s="652">
        <f t="shared" si="7"/>
        <v>12125915</v>
      </c>
      <c r="S161" s="652"/>
      <c r="T161" s="652">
        <f t="shared" si="8"/>
        <v>1730179</v>
      </c>
      <c r="U161" s="652">
        <v>47848</v>
      </c>
      <c r="V161" s="652">
        <v>1778027</v>
      </c>
      <c r="W161" s="654"/>
      <c r="X161" s="654"/>
      <c r="Y161" s="654"/>
      <c r="Z161" s="654"/>
      <c r="AA161" s="654"/>
      <c r="AB161" s="654"/>
      <c r="AC161" s="654"/>
      <c r="AD161" s="654"/>
      <c r="AE161" s="655"/>
      <c r="AF161" s="655"/>
      <c r="AG161" s="655"/>
      <c r="AH161" s="655"/>
      <c r="AI161" s="655"/>
      <c r="AJ161" s="655"/>
      <c r="AK161" s="655"/>
      <c r="AL161" s="655"/>
    </row>
    <row r="162" spans="1:38" hidden="1" x14ac:dyDescent="0.25">
      <c r="A162" s="653">
        <v>34605</v>
      </c>
      <c r="B162" s="651" t="s">
        <v>1375</v>
      </c>
      <c r="C162" s="675">
        <v>2.4800000000000001E-4</v>
      </c>
      <c r="D162" s="675">
        <v>2.2699999999999999E-4</v>
      </c>
      <c r="E162" s="680">
        <v>222915</v>
      </c>
      <c r="F162" s="651">
        <v>10773365</v>
      </c>
      <c r="G162" s="652">
        <v>7453292</v>
      </c>
      <c r="H162" s="652">
        <v>0</v>
      </c>
      <c r="I162" s="652">
        <v>0</v>
      </c>
      <c r="J162" s="652">
        <v>0</v>
      </c>
      <c r="K162" s="652">
        <v>0</v>
      </c>
      <c r="L162" s="652">
        <f t="shared" si="6"/>
        <v>0</v>
      </c>
      <c r="M162" s="652"/>
      <c r="N162" s="652">
        <v>534415</v>
      </c>
      <c r="O162" s="652">
        <v>2770</v>
      </c>
      <c r="P162" s="652">
        <v>2052603</v>
      </c>
      <c r="Q162" s="652">
        <v>730745</v>
      </c>
      <c r="R162" s="652">
        <f t="shared" si="7"/>
        <v>3320533</v>
      </c>
      <c r="S162" s="652"/>
      <c r="T162" s="652">
        <f t="shared" si="8"/>
        <v>369522</v>
      </c>
      <c r="U162" s="652">
        <v>-146148</v>
      </c>
      <c r="V162" s="652">
        <v>223374</v>
      </c>
      <c r="W162" s="654"/>
      <c r="X162" s="654"/>
      <c r="Y162" s="654"/>
      <c r="Z162" s="654"/>
      <c r="AA162" s="654"/>
      <c r="AB162" s="654"/>
      <c r="AC162" s="654"/>
      <c r="AD162" s="654"/>
      <c r="AE162" s="655"/>
      <c r="AF162" s="655"/>
      <c r="AG162" s="655"/>
      <c r="AH162" s="655"/>
      <c r="AI162" s="655"/>
      <c r="AJ162" s="655"/>
      <c r="AK162" s="655"/>
      <c r="AL162" s="655"/>
    </row>
    <row r="163" spans="1:38" hidden="1" x14ac:dyDescent="0.25">
      <c r="A163" s="653">
        <v>34700</v>
      </c>
      <c r="B163" s="651" t="s">
        <v>1376</v>
      </c>
      <c r="C163" s="675">
        <v>2.9499999999999999E-3</v>
      </c>
      <c r="D163" s="675">
        <v>2.9970000000000001E-3</v>
      </c>
      <c r="E163" s="680">
        <v>2472898</v>
      </c>
      <c r="F163" s="651">
        <v>128331914</v>
      </c>
      <c r="G163" s="652">
        <v>98246008</v>
      </c>
      <c r="H163" s="652">
        <v>0</v>
      </c>
      <c r="I163" s="652">
        <v>0</v>
      </c>
      <c r="J163" s="652">
        <v>0</v>
      </c>
      <c r="K163" s="652">
        <v>1377960</v>
      </c>
      <c r="L163" s="652">
        <f t="shared" si="6"/>
        <v>1377960</v>
      </c>
      <c r="M163" s="652"/>
      <c r="N163" s="652">
        <v>7044420</v>
      </c>
      <c r="O163" s="652">
        <v>36512</v>
      </c>
      <c r="P163" s="652">
        <v>27056502</v>
      </c>
      <c r="Q163" s="652">
        <v>0</v>
      </c>
      <c r="R163" s="652">
        <f t="shared" si="7"/>
        <v>34137434</v>
      </c>
      <c r="S163" s="652"/>
      <c r="T163" s="652">
        <f t="shared" si="8"/>
        <v>4870879</v>
      </c>
      <c r="U163" s="652">
        <v>275588</v>
      </c>
      <c r="V163" s="652">
        <v>5146467</v>
      </c>
      <c r="W163" s="654"/>
      <c r="X163" s="654"/>
      <c r="Y163" s="654"/>
      <c r="Z163" s="654"/>
      <c r="AA163" s="654"/>
      <c r="AB163" s="654"/>
      <c r="AC163" s="654"/>
      <c r="AD163" s="654"/>
      <c r="AE163" s="655"/>
      <c r="AF163" s="655"/>
      <c r="AG163" s="655"/>
      <c r="AH163" s="655"/>
      <c r="AI163" s="655"/>
      <c r="AJ163" s="655"/>
      <c r="AK163" s="655"/>
      <c r="AL163" s="655"/>
    </row>
    <row r="164" spans="1:38" hidden="1" x14ac:dyDescent="0.25">
      <c r="A164" s="653">
        <v>34800</v>
      </c>
      <c r="B164" s="651" t="s">
        <v>1377</v>
      </c>
      <c r="C164" s="675">
        <v>3.0200000000000002E-4</v>
      </c>
      <c r="D164" s="675">
        <v>3.3300000000000002E-4</v>
      </c>
      <c r="E164" s="680">
        <v>334142</v>
      </c>
      <c r="F164" s="651">
        <v>13136765</v>
      </c>
      <c r="G164" s="652">
        <v>10908167</v>
      </c>
      <c r="H164" s="652">
        <v>0</v>
      </c>
      <c r="I164" s="652">
        <v>0</v>
      </c>
      <c r="J164" s="652">
        <v>0</v>
      </c>
      <c r="K164" s="652">
        <v>1129150</v>
      </c>
      <c r="L164" s="652">
        <f t="shared" si="6"/>
        <v>1129150</v>
      </c>
      <c r="M164" s="652"/>
      <c r="N164" s="652">
        <v>782136</v>
      </c>
      <c r="O164" s="652">
        <v>4054</v>
      </c>
      <c r="P164" s="652">
        <v>3004059</v>
      </c>
      <c r="Q164" s="652">
        <v>0</v>
      </c>
      <c r="R164" s="652">
        <f t="shared" si="7"/>
        <v>3790249</v>
      </c>
      <c r="S164" s="652"/>
      <c r="T164" s="652">
        <f t="shared" si="8"/>
        <v>540809</v>
      </c>
      <c r="U164" s="652">
        <v>225833</v>
      </c>
      <c r="V164" s="652">
        <v>766642</v>
      </c>
      <c r="W164" s="654"/>
      <c r="X164" s="654"/>
      <c r="Y164" s="654"/>
      <c r="Z164" s="654"/>
      <c r="AA164" s="654"/>
      <c r="AB164" s="654"/>
      <c r="AC164" s="654"/>
      <c r="AD164" s="654"/>
      <c r="AE164" s="655"/>
      <c r="AF164" s="655"/>
      <c r="AG164" s="655"/>
      <c r="AH164" s="655"/>
      <c r="AI164" s="655"/>
      <c r="AJ164" s="655"/>
      <c r="AK164" s="655"/>
      <c r="AL164" s="655"/>
    </row>
    <row r="165" spans="1:38" hidden="1" x14ac:dyDescent="0.25">
      <c r="A165" s="653">
        <v>34900</v>
      </c>
      <c r="B165" s="651" t="s">
        <v>1378</v>
      </c>
      <c r="C165" s="675">
        <v>6.4270000000000004E-3</v>
      </c>
      <c r="D165" s="675">
        <v>6.6309999999999997E-3</v>
      </c>
      <c r="E165" s="680">
        <v>5966256</v>
      </c>
      <c r="F165" s="651">
        <v>279591436</v>
      </c>
      <c r="G165" s="652">
        <v>217402149</v>
      </c>
      <c r="H165" s="652">
        <v>0</v>
      </c>
      <c r="I165" s="652">
        <v>0</v>
      </c>
      <c r="J165" s="652">
        <v>0</v>
      </c>
      <c r="K165" s="652">
        <v>7115840</v>
      </c>
      <c r="L165" s="652">
        <f t="shared" si="6"/>
        <v>7115840</v>
      </c>
      <c r="M165" s="652"/>
      <c r="N165" s="652">
        <v>15588134</v>
      </c>
      <c r="O165" s="652">
        <v>80796</v>
      </c>
      <c r="P165" s="652">
        <v>59871559</v>
      </c>
      <c r="Q165" s="652">
        <v>0</v>
      </c>
      <c r="R165" s="652">
        <f t="shared" si="7"/>
        <v>75540489</v>
      </c>
      <c r="S165" s="652"/>
      <c r="T165" s="652">
        <f t="shared" si="8"/>
        <v>10778450</v>
      </c>
      <c r="U165" s="652">
        <v>1423169</v>
      </c>
      <c r="V165" s="652">
        <v>12201619</v>
      </c>
      <c r="W165" s="654"/>
      <c r="X165" s="654"/>
      <c r="Y165" s="654"/>
      <c r="Z165" s="654"/>
      <c r="AA165" s="654"/>
      <c r="AB165" s="654"/>
      <c r="AC165" s="654"/>
      <c r="AD165" s="654"/>
      <c r="AE165" s="655"/>
      <c r="AF165" s="655"/>
      <c r="AG165" s="655"/>
      <c r="AH165" s="655"/>
      <c r="AI165" s="655"/>
      <c r="AJ165" s="655"/>
      <c r="AK165" s="655"/>
      <c r="AL165" s="655"/>
    </row>
    <row r="166" spans="1:38" hidden="1" x14ac:dyDescent="0.25">
      <c r="A166" s="653">
        <v>34901</v>
      </c>
      <c r="B166" s="651" t="s">
        <v>1379</v>
      </c>
      <c r="C166" s="675">
        <v>1.64E-4</v>
      </c>
      <c r="D166" s="675">
        <v>1.74E-4</v>
      </c>
      <c r="E166" s="680">
        <v>127599</v>
      </c>
      <c r="F166" s="651">
        <v>7129812</v>
      </c>
      <c r="G166" s="652">
        <v>5693757</v>
      </c>
      <c r="H166" s="652">
        <v>0</v>
      </c>
      <c r="I166" s="652">
        <v>0</v>
      </c>
      <c r="J166" s="652">
        <v>0</v>
      </c>
      <c r="K166" s="652">
        <v>323055</v>
      </c>
      <c r="L166" s="652">
        <f t="shared" si="6"/>
        <v>323055</v>
      </c>
      <c r="M166" s="652"/>
      <c r="N166" s="652">
        <v>408253</v>
      </c>
      <c r="O166" s="652">
        <v>2116</v>
      </c>
      <c r="P166" s="652">
        <v>1568035</v>
      </c>
      <c r="Q166" s="652">
        <v>0</v>
      </c>
      <c r="R166" s="652">
        <f t="shared" si="7"/>
        <v>1978404</v>
      </c>
      <c r="S166" s="652"/>
      <c r="T166" s="652">
        <f t="shared" si="8"/>
        <v>282287</v>
      </c>
      <c r="U166" s="652">
        <v>64606</v>
      </c>
      <c r="V166" s="652">
        <v>346893</v>
      </c>
      <c r="W166" s="654"/>
      <c r="X166" s="654"/>
      <c r="Y166" s="654"/>
      <c r="Z166" s="654"/>
      <c r="AA166" s="654"/>
      <c r="AB166" s="654"/>
      <c r="AC166" s="654"/>
      <c r="AD166" s="654"/>
      <c r="AE166" s="655"/>
      <c r="AF166" s="655"/>
      <c r="AG166" s="655"/>
      <c r="AH166" s="655"/>
      <c r="AI166" s="655"/>
      <c r="AJ166" s="655"/>
      <c r="AK166" s="655"/>
      <c r="AL166" s="655"/>
    </row>
    <row r="167" spans="1:38" hidden="1" x14ac:dyDescent="0.25">
      <c r="A167" s="653">
        <v>34903</v>
      </c>
      <c r="B167" s="651" t="s">
        <v>1380</v>
      </c>
      <c r="C167" s="675">
        <v>1.0000000000000001E-5</v>
      </c>
      <c r="D167" s="675">
        <v>1.0000000000000001E-5</v>
      </c>
      <c r="E167" s="680">
        <v>15019</v>
      </c>
      <c r="F167" s="651">
        <v>447119</v>
      </c>
      <c r="G167" s="652">
        <v>343966</v>
      </c>
      <c r="H167" s="652">
        <v>0</v>
      </c>
      <c r="I167" s="652">
        <v>0</v>
      </c>
      <c r="J167" s="652">
        <v>0</v>
      </c>
      <c r="K167" s="652">
        <v>11940</v>
      </c>
      <c r="L167" s="652">
        <f t="shared" si="6"/>
        <v>11940</v>
      </c>
      <c r="M167" s="652"/>
      <c r="N167" s="652">
        <v>24663</v>
      </c>
      <c r="O167" s="652">
        <v>128</v>
      </c>
      <c r="P167" s="652">
        <v>94727</v>
      </c>
      <c r="Q167" s="652">
        <v>0</v>
      </c>
      <c r="R167" s="652">
        <f t="shared" si="7"/>
        <v>119518</v>
      </c>
      <c r="S167" s="652"/>
      <c r="T167" s="652">
        <f t="shared" si="8"/>
        <v>17053</v>
      </c>
      <c r="U167" s="652">
        <v>2391</v>
      </c>
      <c r="V167" s="652">
        <v>19444</v>
      </c>
      <c r="W167" s="654"/>
      <c r="X167" s="654"/>
      <c r="Y167" s="654"/>
      <c r="Z167" s="654"/>
      <c r="AA167" s="654"/>
      <c r="AB167" s="654"/>
      <c r="AC167" s="654"/>
      <c r="AD167" s="654"/>
      <c r="AE167" s="655"/>
      <c r="AF167" s="655"/>
      <c r="AG167" s="655"/>
      <c r="AH167" s="655"/>
      <c r="AI167" s="655"/>
      <c r="AJ167" s="655"/>
      <c r="AK167" s="655"/>
      <c r="AL167" s="655"/>
    </row>
    <row r="168" spans="1:38" hidden="1" x14ac:dyDescent="0.25">
      <c r="A168" s="653">
        <v>34905</v>
      </c>
      <c r="B168" s="651" t="s">
        <v>1381</v>
      </c>
      <c r="C168" s="675">
        <v>6.4700000000000001E-4</v>
      </c>
      <c r="D168" s="675">
        <v>5.9299999999999999E-4</v>
      </c>
      <c r="E168" s="680">
        <v>606345</v>
      </c>
      <c r="F168" s="651">
        <v>28138198</v>
      </c>
      <c r="G168" s="652">
        <v>19446808</v>
      </c>
      <c r="H168" s="652">
        <v>0</v>
      </c>
      <c r="I168" s="652">
        <v>0</v>
      </c>
      <c r="J168" s="652">
        <v>0</v>
      </c>
      <c r="K168" s="652">
        <v>0</v>
      </c>
      <c r="L168" s="652">
        <f t="shared" si="6"/>
        <v>0</v>
      </c>
      <c r="M168" s="652"/>
      <c r="N168" s="652">
        <v>1394372</v>
      </c>
      <c r="O168" s="652">
        <v>7227</v>
      </c>
      <c r="P168" s="652">
        <v>5355562</v>
      </c>
      <c r="Q168" s="652">
        <v>1910020</v>
      </c>
      <c r="R168" s="652">
        <f t="shared" si="7"/>
        <v>8667181</v>
      </c>
      <c r="S168" s="652"/>
      <c r="T168" s="652">
        <f t="shared" si="8"/>
        <v>964142</v>
      </c>
      <c r="U168" s="652">
        <v>-382005</v>
      </c>
      <c r="V168" s="652">
        <v>582137</v>
      </c>
      <c r="W168" s="654"/>
      <c r="X168" s="654"/>
      <c r="Y168" s="654"/>
      <c r="Z168" s="654"/>
      <c r="AA168" s="654"/>
      <c r="AB168" s="654"/>
      <c r="AC168" s="654"/>
      <c r="AD168" s="654"/>
      <c r="AE168" s="655"/>
      <c r="AF168" s="655"/>
      <c r="AG168" s="655"/>
      <c r="AH168" s="655"/>
      <c r="AI168" s="655"/>
      <c r="AJ168" s="655"/>
      <c r="AK168" s="655"/>
      <c r="AL168" s="655"/>
    </row>
    <row r="169" spans="1:38" hidden="1" x14ac:dyDescent="0.25">
      <c r="A169" s="653">
        <v>34910</v>
      </c>
      <c r="B169" s="651" t="s">
        <v>1382</v>
      </c>
      <c r="C169" s="675">
        <v>2.0249999999999999E-3</v>
      </c>
      <c r="D169" s="675">
        <v>2.0699999999999998E-3</v>
      </c>
      <c r="E169" s="680">
        <v>1758368</v>
      </c>
      <c r="F169" s="651">
        <v>88090955</v>
      </c>
      <c r="G169" s="652">
        <v>67882513</v>
      </c>
      <c r="H169" s="652">
        <v>0</v>
      </c>
      <c r="I169" s="652">
        <v>0</v>
      </c>
      <c r="J169" s="652">
        <v>0</v>
      </c>
      <c r="K169" s="652">
        <v>1476235</v>
      </c>
      <c r="L169" s="652">
        <f t="shared" si="6"/>
        <v>1476235</v>
      </c>
      <c r="M169" s="652"/>
      <c r="N169" s="652">
        <v>4867301</v>
      </c>
      <c r="O169" s="652">
        <v>25228</v>
      </c>
      <c r="P169" s="652">
        <v>18694534</v>
      </c>
      <c r="Q169" s="652">
        <v>0</v>
      </c>
      <c r="R169" s="652">
        <f t="shared" si="7"/>
        <v>23587063</v>
      </c>
      <c r="S169" s="652"/>
      <c r="T169" s="652">
        <f t="shared" si="8"/>
        <v>3365506</v>
      </c>
      <c r="U169" s="652">
        <v>295248</v>
      </c>
      <c r="V169" s="652">
        <v>3660754</v>
      </c>
      <c r="W169" s="654"/>
      <c r="X169" s="654"/>
      <c r="Y169" s="654"/>
      <c r="Z169" s="654"/>
      <c r="AA169" s="654"/>
      <c r="AB169" s="654"/>
      <c r="AC169" s="654"/>
      <c r="AD169" s="654"/>
      <c r="AE169" s="655"/>
      <c r="AF169" s="655"/>
      <c r="AG169" s="655"/>
      <c r="AH169" s="655"/>
      <c r="AI169" s="655"/>
      <c r="AJ169" s="655"/>
      <c r="AK169" s="655"/>
      <c r="AL169" s="655"/>
    </row>
    <row r="170" spans="1:38" hidden="1" x14ac:dyDescent="0.25">
      <c r="A170" s="653">
        <v>35000</v>
      </c>
      <c r="B170" s="651" t="s">
        <v>1383</v>
      </c>
      <c r="C170" s="675">
        <v>1.3010000000000001E-3</v>
      </c>
      <c r="D170" s="675">
        <v>1.361E-3</v>
      </c>
      <c r="E170" s="680">
        <v>1191995</v>
      </c>
      <c r="F170" s="651">
        <v>56612103</v>
      </c>
      <c r="G170" s="652">
        <v>44635464</v>
      </c>
      <c r="H170" s="652">
        <v>0</v>
      </c>
      <c r="I170" s="652">
        <v>0</v>
      </c>
      <c r="J170" s="652">
        <v>0</v>
      </c>
      <c r="K170" s="652">
        <v>2093195</v>
      </c>
      <c r="L170" s="652">
        <f t="shared" si="6"/>
        <v>2093195</v>
      </c>
      <c r="M170" s="652"/>
      <c r="N170" s="652">
        <v>3200445</v>
      </c>
      <c r="O170" s="652">
        <v>16588</v>
      </c>
      <c r="P170" s="652">
        <v>12292403</v>
      </c>
      <c r="Q170" s="652">
        <v>0</v>
      </c>
      <c r="R170" s="652">
        <f t="shared" si="7"/>
        <v>15509436</v>
      </c>
      <c r="S170" s="652"/>
      <c r="T170" s="652">
        <f t="shared" si="8"/>
        <v>2212955</v>
      </c>
      <c r="U170" s="652">
        <v>418642</v>
      </c>
      <c r="V170" s="652">
        <v>2631597</v>
      </c>
      <c r="W170" s="654"/>
      <c r="X170" s="654"/>
      <c r="Y170" s="654"/>
      <c r="Z170" s="654"/>
      <c r="AA170" s="654"/>
      <c r="AB170" s="654"/>
      <c r="AC170" s="654"/>
      <c r="AD170" s="654"/>
      <c r="AE170" s="655"/>
      <c r="AF170" s="655"/>
      <c r="AG170" s="655"/>
      <c r="AH170" s="655"/>
      <c r="AI170" s="655"/>
      <c r="AJ170" s="655"/>
      <c r="AK170" s="655"/>
      <c r="AL170" s="655"/>
    </row>
    <row r="171" spans="1:38" hidden="1" x14ac:dyDescent="0.25">
      <c r="A171" s="653">
        <v>35005</v>
      </c>
      <c r="B171" s="651" t="s">
        <v>1384</v>
      </c>
      <c r="C171" s="675">
        <v>6.1300000000000005E-4</v>
      </c>
      <c r="D171" s="675">
        <v>5.8500000000000002E-4</v>
      </c>
      <c r="E171" s="680">
        <v>600536</v>
      </c>
      <c r="F171" s="651">
        <v>26682465</v>
      </c>
      <c r="G171" s="652">
        <v>19180331</v>
      </c>
      <c r="H171" s="652">
        <v>0</v>
      </c>
      <c r="I171" s="652">
        <v>0</v>
      </c>
      <c r="J171" s="652">
        <v>0</v>
      </c>
      <c r="K171" s="652">
        <v>0</v>
      </c>
      <c r="L171" s="652">
        <f t="shared" si="6"/>
        <v>0</v>
      </c>
      <c r="M171" s="652"/>
      <c r="N171" s="652">
        <v>1375265</v>
      </c>
      <c r="O171" s="652">
        <v>7128</v>
      </c>
      <c r="P171" s="652">
        <v>5282176</v>
      </c>
      <c r="Q171" s="652">
        <v>989965</v>
      </c>
      <c r="R171" s="652">
        <f t="shared" si="7"/>
        <v>7654534</v>
      </c>
      <c r="S171" s="652"/>
      <c r="T171" s="652">
        <f t="shared" si="8"/>
        <v>950930</v>
      </c>
      <c r="U171" s="652">
        <v>-197994</v>
      </c>
      <c r="V171" s="652">
        <v>752936</v>
      </c>
      <c r="W171" s="654"/>
      <c r="X171" s="654"/>
      <c r="Y171" s="654"/>
      <c r="Z171" s="654"/>
      <c r="AA171" s="654"/>
      <c r="AB171" s="654"/>
      <c r="AC171" s="654"/>
      <c r="AD171" s="654"/>
      <c r="AE171" s="655"/>
      <c r="AF171" s="655"/>
      <c r="AG171" s="655"/>
      <c r="AH171" s="655"/>
      <c r="AI171" s="655"/>
      <c r="AJ171" s="655"/>
      <c r="AK171" s="655"/>
      <c r="AL171" s="655"/>
    </row>
    <row r="172" spans="1:38" hidden="1" x14ac:dyDescent="0.25">
      <c r="A172" s="653">
        <v>35100</v>
      </c>
      <c r="B172" s="651" t="s">
        <v>1385</v>
      </c>
      <c r="C172" s="675">
        <v>1.1413E-2</v>
      </c>
      <c r="D172" s="675">
        <v>1.2086E-2</v>
      </c>
      <c r="E172" s="680">
        <v>10152274</v>
      </c>
      <c r="F172" s="651">
        <v>496523474</v>
      </c>
      <c r="G172" s="652">
        <v>396255480</v>
      </c>
      <c r="H172" s="652">
        <v>0</v>
      </c>
      <c r="I172" s="652">
        <v>0</v>
      </c>
      <c r="J172" s="652">
        <v>0</v>
      </c>
      <c r="K172" s="652">
        <v>23270860</v>
      </c>
      <c r="L172" s="652">
        <f t="shared" si="6"/>
        <v>23270860</v>
      </c>
      <c r="M172" s="652"/>
      <c r="N172" s="652">
        <v>28412247</v>
      </c>
      <c r="O172" s="652">
        <v>147266</v>
      </c>
      <c r="P172" s="652">
        <v>109126950</v>
      </c>
      <c r="Q172" s="652">
        <v>0</v>
      </c>
      <c r="R172" s="652">
        <f t="shared" si="7"/>
        <v>137686463</v>
      </c>
      <c r="S172" s="652"/>
      <c r="T172" s="652">
        <f t="shared" si="8"/>
        <v>19645711</v>
      </c>
      <c r="U172" s="652">
        <v>4654171</v>
      </c>
      <c r="V172" s="652">
        <v>24299882</v>
      </c>
      <c r="W172" s="654"/>
      <c r="X172" s="654"/>
      <c r="Y172" s="654"/>
      <c r="Z172" s="654"/>
      <c r="AA172" s="654"/>
      <c r="AB172" s="654"/>
      <c r="AC172" s="654"/>
      <c r="AD172" s="654"/>
      <c r="AE172" s="655"/>
      <c r="AF172" s="655"/>
      <c r="AG172" s="655"/>
      <c r="AH172" s="655"/>
      <c r="AI172" s="655"/>
      <c r="AJ172" s="655"/>
      <c r="AK172" s="655"/>
      <c r="AL172" s="655"/>
    </row>
    <row r="173" spans="1:38" hidden="1" x14ac:dyDescent="0.25">
      <c r="A173" s="653">
        <v>35105</v>
      </c>
      <c r="B173" s="651" t="s">
        <v>1386</v>
      </c>
      <c r="C173" s="675">
        <v>1.062E-3</v>
      </c>
      <c r="D173" s="675">
        <v>9.8799999999999995E-4</v>
      </c>
      <c r="E173" s="680">
        <v>934987</v>
      </c>
      <c r="F173" s="651">
        <v>46217033</v>
      </c>
      <c r="G173" s="652">
        <v>32385407</v>
      </c>
      <c r="H173" s="652">
        <v>0</v>
      </c>
      <c r="I173" s="652">
        <v>0</v>
      </c>
      <c r="J173" s="652">
        <v>0</v>
      </c>
      <c r="K173" s="652">
        <v>0</v>
      </c>
      <c r="L173" s="652">
        <f t="shared" si="6"/>
        <v>0</v>
      </c>
      <c r="M173" s="652"/>
      <c r="N173" s="652">
        <v>2322093</v>
      </c>
      <c r="O173" s="652">
        <v>12036</v>
      </c>
      <c r="P173" s="652">
        <v>8918793</v>
      </c>
      <c r="Q173" s="652">
        <v>2707775</v>
      </c>
      <c r="R173" s="652">
        <f t="shared" si="7"/>
        <v>13960697</v>
      </c>
      <c r="S173" s="652"/>
      <c r="T173" s="652">
        <f t="shared" si="8"/>
        <v>1605617</v>
      </c>
      <c r="U173" s="652">
        <v>-541558</v>
      </c>
      <c r="V173" s="652">
        <v>1064059</v>
      </c>
      <c r="W173" s="654"/>
      <c r="X173" s="654"/>
      <c r="Y173" s="654"/>
      <c r="Z173" s="654"/>
      <c r="AA173" s="654"/>
      <c r="AB173" s="654"/>
      <c r="AC173" s="654"/>
      <c r="AD173" s="654"/>
      <c r="AE173" s="655"/>
      <c r="AF173" s="655"/>
      <c r="AG173" s="655"/>
      <c r="AH173" s="655"/>
      <c r="AI173" s="655"/>
      <c r="AJ173" s="655"/>
      <c r="AK173" s="655"/>
      <c r="AL173" s="655"/>
    </row>
    <row r="174" spans="1:38" hidden="1" x14ac:dyDescent="0.25">
      <c r="A174" s="653">
        <v>35106</v>
      </c>
      <c r="B174" s="651" t="s">
        <v>1387</v>
      </c>
      <c r="C174" s="675">
        <v>2.6600000000000001E-4</v>
      </c>
      <c r="D174" s="675">
        <v>2.7099999999999997E-4</v>
      </c>
      <c r="E174" s="680">
        <v>200464</v>
      </c>
      <c r="F174" s="651">
        <v>11584607</v>
      </c>
      <c r="G174" s="652">
        <v>8870821</v>
      </c>
      <c r="H174" s="652">
        <v>0</v>
      </c>
      <c r="I174" s="652">
        <v>0</v>
      </c>
      <c r="J174" s="652">
        <v>0</v>
      </c>
      <c r="K174" s="652">
        <v>107675</v>
      </c>
      <c r="L174" s="652">
        <f t="shared" si="6"/>
        <v>107675</v>
      </c>
      <c r="M174" s="652"/>
      <c r="N174" s="652">
        <v>636054</v>
      </c>
      <c r="O174" s="652">
        <v>3297</v>
      </c>
      <c r="P174" s="652">
        <v>2442984</v>
      </c>
      <c r="Q174" s="652">
        <v>0</v>
      </c>
      <c r="R174" s="652">
        <f t="shared" si="7"/>
        <v>3082335</v>
      </c>
      <c r="S174" s="652"/>
      <c r="T174" s="652">
        <f t="shared" si="8"/>
        <v>439801</v>
      </c>
      <c r="U174" s="652">
        <v>21536</v>
      </c>
      <c r="V174" s="652">
        <v>461337</v>
      </c>
      <c r="W174" s="654"/>
      <c r="X174" s="654"/>
      <c r="Y174" s="654"/>
      <c r="Z174" s="654"/>
      <c r="AA174" s="654"/>
      <c r="AB174" s="654"/>
      <c r="AC174" s="654"/>
      <c r="AD174" s="654"/>
      <c r="AE174" s="655"/>
      <c r="AF174" s="655"/>
      <c r="AG174" s="655"/>
      <c r="AH174" s="655"/>
      <c r="AI174" s="655"/>
      <c r="AJ174" s="655"/>
      <c r="AK174" s="655"/>
      <c r="AL174" s="655"/>
    </row>
    <row r="175" spans="1:38" hidden="1" x14ac:dyDescent="0.25">
      <c r="A175" s="653">
        <v>35200</v>
      </c>
      <c r="B175" s="651" t="s">
        <v>1388</v>
      </c>
      <c r="C175" s="675">
        <v>4.9100000000000001E-4</v>
      </c>
      <c r="D175" s="675">
        <v>5.04E-4</v>
      </c>
      <c r="E175" s="680">
        <v>497265</v>
      </c>
      <c r="F175" s="651">
        <v>21344841</v>
      </c>
      <c r="G175" s="652">
        <v>16532303</v>
      </c>
      <c r="H175" s="652">
        <v>0</v>
      </c>
      <c r="I175" s="652">
        <v>0</v>
      </c>
      <c r="J175" s="652">
        <v>0</v>
      </c>
      <c r="K175" s="652">
        <v>507955</v>
      </c>
      <c r="L175" s="652">
        <f t="shared" si="6"/>
        <v>507955</v>
      </c>
      <c r="M175" s="652"/>
      <c r="N175" s="652">
        <v>1185397</v>
      </c>
      <c r="O175" s="652">
        <v>6144</v>
      </c>
      <c r="P175" s="652">
        <v>4552921</v>
      </c>
      <c r="Q175" s="652">
        <v>0</v>
      </c>
      <c r="R175" s="652">
        <f t="shared" si="7"/>
        <v>5744462</v>
      </c>
      <c r="S175" s="652"/>
      <c r="T175" s="652">
        <f t="shared" si="8"/>
        <v>819645</v>
      </c>
      <c r="U175" s="652">
        <v>101588</v>
      </c>
      <c r="V175" s="652">
        <v>921233</v>
      </c>
      <c r="W175" s="654"/>
      <c r="X175" s="654"/>
      <c r="Y175" s="654"/>
      <c r="Z175" s="654"/>
      <c r="AA175" s="654"/>
      <c r="AB175" s="654"/>
      <c r="AC175" s="654"/>
      <c r="AD175" s="654"/>
      <c r="AE175" s="655"/>
      <c r="AF175" s="655"/>
      <c r="AG175" s="655"/>
      <c r="AH175" s="655"/>
      <c r="AI175" s="655"/>
      <c r="AJ175" s="655"/>
      <c r="AK175" s="655"/>
      <c r="AL175" s="655"/>
    </row>
    <row r="176" spans="1:38" hidden="1" x14ac:dyDescent="0.25">
      <c r="A176" s="653">
        <v>35300</v>
      </c>
      <c r="B176" s="651" t="s">
        <v>1389</v>
      </c>
      <c r="C176" s="675">
        <v>3.346E-3</v>
      </c>
      <c r="D176" s="675">
        <v>3.6540000000000001E-3</v>
      </c>
      <c r="E176" s="680">
        <v>3113992</v>
      </c>
      <c r="F176" s="651">
        <v>145543449</v>
      </c>
      <c r="G176" s="652">
        <v>119790962</v>
      </c>
      <c r="H176" s="652">
        <v>0</v>
      </c>
      <c r="I176" s="652">
        <v>0</v>
      </c>
      <c r="J176" s="652">
        <v>0</v>
      </c>
      <c r="K176" s="652">
        <v>10871745</v>
      </c>
      <c r="L176" s="652">
        <f t="shared" si="6"/>
        <v>10871745</v>
      </c>
      <c r="M176" s="652"/>
      <c r="N176" s="652">
        <v>8589232</v>
      </c>
      <c r="O176" s="652">
        <v>44520</v>
      </c>
      <c r="P176" s="652">
        <v>32989884</v>
      </c>
      <c r="Q176" s="652">
        <v>0</v>
      </c>
      <c r="R176" s="652">
        <f t="shared" si="7"/>
        <v>41623636</v>
      </c>
      <c r="S176" s="652"/>
      <c r="T176" s="652">
        <f t="shared" si="8"/>
        <v>5939044</v>
      </c>
      <c r="U176" s="652">
        <v>2174352</v>
      </c>
      <c r="V176" s="652">
        <v>8113396</v>
      </c>
      <c r="W176" s="654"/>
      <c r="X176" s="654"/>
      <c r="Y176" s="654"/>
      <c r="Z176" s="654"/>
      <c r="AA176" s="654"/>
      <c r="AB176" s="654"/>
      <c r="AC176" s="654"/>
      <c r="AD176" s="654"/>
      <c r="AE176" s="655"/>
      <c r="AF176" s="655"/>
      <c r="AG176" s="655"/>
      <c r="AH176" s="655"/>
      <c r="AI176" s="655"/>
      <c r="AJ176" s="655"/>
      <c r="AK176" s="655"/>
      <c r="AL176" s="655"/>
    </row>
    <row r="177" spans="1:38" hidden="1" x14ac:dyDescent="0.25">
      <c r="A177" s="653">
        <v>35305</v>
      </c>
      <c r="B177" s="651" t="s">
        <v>1390</v>
      </c>
      <c r="C177" s="675">
        <v>1.2600000000000001E-3</v>
      </c>
      <c r="D177" s="675">
        <v>1.2199999999999999E-3</v>
      </c>
      <c r="E177" s="680">
        <v>1204395</v>
      </c>
      <c r="F177" s="651">
        <v>54801298</v>
      </c>
      <c r="G177" s="652">
        <v>39998236</v>
      </c>
      <c r="H177" s="652">
        <v>0</v>
      </c>
      <c r="I177" s="652">
        <v>0</v>
      </c>
      <c r="J177" s="652">
        <v>0</v>
      </c>
      <c r="K177" s="652">
        <v>0</v>
      </c>
      <c r="L177" s="652">
        <f t="shared" si="6"/>
        <v>0</v>
      </c>
      <c r="M177" s="652"/>
      <c r="N177" s="652">
        <v>2867947</v>
      </c>
      <c r="O177" s="652">
        <v>14865</v>
      </c>
      <c r="P177" s="652">
        <v>11015331</v>
      </c>
      <c r="Q177" s="652">
        <v>1402975</v>
      </c>
      <c r="R177" s="652">
        <f t="shared" si="7"/>
        <v>15301118</v>
      </c>
      <c r="S177" s="652"/>
      <c r="T177" s="652">
        <f t="shared" si="8"/>
        <v>1983048</v>
      </c>
      <c r="U177" s="652">
        <v>-280597</v>
      </c>
      <c r="V177" s="652">
        <v>1702451</v>
      </c>
      <c r="W177" s="654"/>
      <c r="X177" s="654"/>
      <c r="Y177" s="654"/>
      <c r="Z177" s="654"/>
      <c r="AA177" s="654"/>
      <c r="AB177" s="654"/>
      <c r="AC177" s="654"/>
      <c r="AD177" s="654"/>
      <c r="AE177" s="655"/>
      <c r="AF177" s="655"/>
      <c r="AG177" s="655"/>
      <c r="AH177" s="655"/>
      <c r="AI177" s="655"/>
      <c r="AJ177" s="655"/>
      <c r="AK177" s="655"/>
      <c r="AL177" s="655"/>
    </row>
    <row r="178" spans="1:38" hidden="1" x14ac:dyDescent="0.25">
      <c r="A178" s="653">
        <v>35400</v>
      </c>
      <c r="B178" s="651" t="s">
        <v>1391</v>
      </c>
      <c r="C178" s="675">
        <v>2.6770000000000001E-3</v>
      </c>
      <c r="D178" s="675">
        <v>2.7009999999999998E-3</v>
      </c>
      <c r="E178" s="680">
        <v>2510858</v>
      </c>
      <c r="F178" s="651">
        <v>116451377</v>
      </c>
      <c r="G178" s="652">
        <v>88553112</v>
      </c>
      <c r="H178" s="652">
        <v>0</v>
      </c>
      <c r="I178" s="652">
        <v>0</v>
      </c>
      <c r="J178" s="652">
        <v>0</v>
      </c>
      <c r="K178" s="652">
        <v>826440</v>
      </c>
      <c r="L178" s="652">
        <f t="shared" si="6"/>
        <v>826440</v>
      </c>
      <c r="M178" s="652"/>
      <c r="N178" s="652">
        <v>6349421</v>
      </c>
      <c r="O178" s="652">
        <v>32910</v>
      </c>
      <c r="P178" s="652">
        <v>24387123</v>
      </c>
      <c r="Q178" s="652">
        <v>0</v>
      </c>
      <c r="R178" s="652">
        <f t="shared" si="7"/>
        <v>30769454</v>
      </c>
      <c r="S178" s="652"/>
      <c r="T178" s="652">
        <f t="shared" si="8"/>
        <v>4390321</v>
      </c>
      <c r="U178" s="652">
        <v>165286</v>
      </c>
      <c r="V178" s="652">
        <v>4555607</v>
      </c>
      <c r="W178" s="654"/>
      <c r="X178" s="654"/>
      <c r="Y178" s="654"/>
      <c r="Z178" s="654"/>
      <c r="AA178" s="654"/>
      <c r="AB178" s="654"/>
      <c r="AC178" s="654"/>
      <c r="AD178" s="654"/>
      <c r="AE178" s="655"/>
      <c r="AF178" s="655"/>
      <c r="AG178" s="655"/>
      <c r="AH178" s="655"/>
      <c r="AI178" s="655"/>
      <c r="AJ178" s="655"/>
      <c r="AK178" s="655"/>
      <c r="AL178" s="655"/>
    </row>
    <row r="179" spans="1:38" hidden="1" x14ac:dyDescent="0.25">
      <c r="A179" s="653">
        <v>35401</v>
      </c>
      <c r="B179" s="651" t="s">
        <v>1392</v>
      </c>
      <c r="C179" s="675">
        <v>2.5000000000000001E-5</v>
      </c>
      <c r="D179" s="675">
        <v>3.3000000000000003E-5</v>
      </c>
      <c r="E179" s="680">
        <v>26319</v>
      </c>
      <c r="F179" s="651">
        <v>1072414</v>
      </c>
      <c r="G179" s="652">
        <v>1088886</v>
      </c>
      <c r="H179" s="652">
        <v>0</v>
      </c>
      <c r="I179" s="652">
        <v>0</v>
      </c>
      <c r="J179" s="652">
        <v>0</v>
      </c>
      <c r="K179" s="652">
        <v>305965</v>
      </c>
      <c r="L179" s="652">
        <f t="shared" si="6"/>
        <v>305965</v>
      </c>
      <c r="M179" s="652"/>
      <c r="N179" s="652">
        <v>78075</v>
      </c>
      <c r="O179" s="652">
        <v>405</v>
      </c>
      <c r="P179" s="652">
        <v>299874</v>
      </c>
      <c r="Q179" s="652">
        <v>0</v>
      </c>
      <c r="R179" s="652">
        <f t="shared" si="7"/>
        <v>378354</v>
      </c>
      <c r="S179" s="652"/>
      <c r="T179" s="652">
        <f t="shared" si="8"/>
        <v>53985</v>
      </c>
      <c r="U179" s="652">
        <v>61195</v>
      </c>
      <c r="V179" s="652">
        <v>115180</v>
      </c>
      <c r="W179" s="654"/>
      <c r="X179" s="654"/>
      <c r="Y179" s="654"/>
      <c r="Z179" s="654"/>
      <c r="AA179" s="654"/>
      <c r="AB179" s="654"/>
      <c r="AC179" s="654"/>
      <c r="AD179" s="654"/>
      <c r="AE179" s="655"/>
      <c r="AF179" s="655"/>
      <c r="AG179" s="655"/>
      <c r="AH179" s="655"/>
      <c r="AI179" s="655"/>
      <c r="AJ179" s="655"/>
      <c r="AK179" s="655"/>
      <c r="AL179" s="655"/>
    </row>
    <row r="180" spans="1:38" hidden="1" x14ac:dyDescent="0.25">
      <c r="A180" s="653">
        <v>35405</v>
      </c>
      <c r="B180" s="651" t="s">
        <v>1393</v>
      </c>
      <c r="C180" s="675">
        <v>9.2800000000000001E-4</v>
      </c>
      <c r="D180" s="675">
        <v>8.7699999999999996E-4</v>
      </c>
      <c r="E180" s="680">
        <v>842764</v>
      </c>
      <c r="F180" s="651">
        <v>40384454</v>
      </c>
      <c r="G180" s="652">
        <v>28754914</v>
      </c>
      <c r="H180" s="652">
        <v>0</v>
      </c>
      <c r="I180" s="652">
        <v>0</v>
      </c>
      <c r="J180" s="652">
        <v>0</v>
      </c>
      <c r="K180" s="652">
        <v>0</v>
      </c>
      <c r="L180" s="652">
        <f t="shared" si="6"/>
        <v>0</v>
      </c>
      <c r="M180" s="652"/>
      <c r="N180" s="652">
        <v>2061780</v>
      </c>
      <c r="O180" s="652">
        <v>10687</v>
      </c>
      <c r="P180" s="652">
        <v>7918972</v>
      </c>
      <c r="Q180" s="652">
        <v>1850800</v>
      </c>
      <c r="R180" s="652">
        <f t="shared" si="7"/>
        <v>11842239</v>
      </c>
      <c r="S180" s="652"/>
      <c r="T180" s="652">
        <f t="shared" si="8"/>
        <v>1425622</v>
      </c>
      <c r="U180" s="652">
        <v>-370159</v>
      </c>
      <c r="V180" s="652">
        <v>1055463</v>
      </c>
      <c r="W180" s="654"/>
      <c r="X180" s="654"/>
      <c r="Y180" s="654"/>
      <c r="Z180" s="654"/>
      <c r="AA180" s="654"/>
      <c r="AB180" s="654"/>
      <c r="AC180" s="654"/>
      <c r="AD180" s="654"/>
      <c r="AE180" s="655"/>
      <c r="AF180" s="655"/>
      <c r="AG180" s="655"/>
      <c r="AH180" s="655"/>
      <c r="AI180" s="655"/>
      <c r="AJ180" s="655"/>
      <c r="AK180" s="655"/>
      <c r="AL180" s="655"/>
    </row>
    <row r="181" spans="1:38" hidden="1" x14ac:dyDescent="0.25">
      <c r="A181" s="653">
        <v>35500</v>
      </c>
      <c r="B181" s="651" t="s">
        <v>1394</v>
      </c>
      <c r="C181" s="675">
        <v>3.8159999999999999E-3</v>
      </c>
      <c r="D181" s="675">
        <v>3.7720000000000002E-3</v>
      </c>
      <c r="E181" s="680">
        <v>3283379</v>
      </c>
      <c r="F181" s="651">
        <v>166017067</v>
      </c>
      <c r="G181" s="652">
        <v>123670043</v>
      </c>
      <c r="H181" s="652">
        <v>0</v>
      </c>
      <c r="I181" s="652">
        <v>0</v>
      </c>
      <c r="J181" s="652">
        <v>0</v>
      </c>
      <c r="K181" s="652">
        <v>0</v>
      </c>
      <c r="L181" s="652">
        <f t="shared" si="6"/>
        <v>0</v>
      </c>
      <c r="M181" s="652"/>
      <c r="N181" s="652">
        <v>8867370</v>
      </c>
      <c r="O181" s="652">
        <v>45961</v>
      </c>
      <c r="P181" s="652">
        <v>34058165</v>
      </c>
      <c r="Q181" s="652">
        <v>1852930</v>
      </c>
      <c r="R181" s="652">
        <f t="shared" si="7"/>
        <v>44824426</v>
      </c>
      <c r="S181" s="652"/>
      <c r="T181" s="652">
        <f t="shared" si="8"/>
        <v>6131362</v>
      </c>
      <c r="U181" s="652">
        <v>-370582</v>
      </c>
      <c r="V181" s="652">
        <v>5760780</v>
      </c>
      <c r="W181" s="654"/>
      <c r="X181" s="654"/>
      <c r="Y181" s="654"/>
      <c r="Z181" s="654"/>
      <c r="AA181" s="654"/>
      <c r="AB181" s="654"/>
      <c r="AC181" s="654"/>
      <c r="AD181" s="654"/>
      <c r="AE181" s="655"/>
      <c r="AF181" s="655"/>
      <c r="AG181" s="655"/>
      <c r="AH181" s="655"/>
      <c r="AI181" s="655"/>
      <c r="AJ181" s="655"/>
      <c r="AK181" s="655"/>
      <c r="AL181" s="655"/>
    </row>
    <row r="182" spans="1:38" hidden="1" x14ac:dyDescent="0.25">
      <c r="A182" s="653">
        <v>35600</v>
      </c>
      <c r="B182" s="651" t="s">
        <v>1395</v>
      </c>
      <c r="C182" s="675">
        <v>1.462E-3</v>
      </c>
      <c r="D182" s="675">
        <v>1.557E-3</v>
      </c>
      <c r="E182" s="680">
        <v>1416457</v>
      </c>
      <c r="F182" s="651">
        <v>63620881</v>
      </c>
      <c r="G182" s="652">
        <v>51057671</v>
      </c>
      <c r="H182" s="652">
        <v>0</v>
      </c>
      <c r="I182" s="652">
        <v>0</v>
      </c>
      <c r="J182" s="652">
        <v>0</v>
      </c>
      <c r="K182" s="652">
        <v>3385700</v>
      </c>
      <c r="L182" s="652">
        <f t="shared" si="6"/>
        <v>3385700</v>
      </c>
      <c r="M182" s="652"/>
      <c r="N182" s="652">
        <v>3660929</v>
      </c>
      <c r="O182" s="652">
        <v>18975</v>
      </c>
      <c r="P182" s="652">
        <v>14061049</v>
      </c>
      <c r="Q182" s="652">
        <v>0</v>
      </c>
      <c r="R182" s="652">
        <f t="shared" si="7"/>
        <v>17740953</v>
      </c>
      <c r="S182" s="652"/>
      <c r="T182" s="652">
        <f t="shared" si="8"/>
        <v>2531357</v>
      </c>
      <c r="U182" s="652">
        <v>677143</v>
      </c>
      <c r="V182" s="652">
        <v>3208500</v>
      </c>
      <c r="W182" s="654"/>
      <c r="X182" s="654"/>
      <c r="Y182" s="654"/>
      <c r="Z182" s="654"/>
      <c r="AA182" s="654"/>
      <c r="AB182" s="654"/>
      <c r="AC182" s="654"/>
      <c r="AD182" s="654"/>
      <c r="AE182" s="655"/>
      <c r="AF182" s="655"/>
      <c r="AG182" s="655"/>
      <c r="AH182" s="655"/>
      <c r="AI182" s="655"/>
      <c r="AJ182" s="655"/>
      <c r="AK182" s="655"/>
      <c r="AL182" s="655"/>
    </row>
    <row r="183" spans="1:38" hidden="1" x14ac:dyDescent="0.25">
      <c r="A183" s="653">
        <v>35700</v>
      </c>
      <c r="B183" s="651" t="s">
        <v>1396</v>
      </c>
      <c r="C183" s="675">
        <v>8.2399999999999997E-4</v>
      </c>
      <c r="D183" s="675">
        <v>8.7100000000000003E-4</v>
      </c>
      <c r="E183" s="680">
        <v>782615</v>
      </c>
      <c r="F183" s="651">
        <v>35840380</v>
      </c>
      <c r="G183" s="652">
        <v>28553119</v>
      </c>
      <c r="H183" s="652">
        <v>0</v>
      </c>
      <c r="I183" s="652">
        <v>0</v>
      </c>
      <c r="J183" s="652">
        <v>0</v>
      </c>
      <c r="K183" s="652">
        <v>1667545</v>
      </c>
      <c r="L183" s="652">
        <f t="shared" si="6"/>
        <v>1667545</v>
      </c>
      <c r="M183" s="652"/>
      <c r="N183" s="652">
        <v>2047311</v>
      </c>
      <c r="O183" s="652">
        <v>10612</v>
      </c>
      <c r="P183" s="652">
        <v>7863399</v>
      </c>
      <c r="Q183" s="652">
        <v>0</v>
      </c>
      <c r="R183" s="652">
        <f t="shared" si="7"/>
        <v>9921322</v>
      </c>
      <c r="S183" s="652"/>
      <c r="T183" s="652">
        <f t="shared" si="8"/>
        <v>1415618</v>
      </c>
      <c r="U183" s="652">
        <v>333512</v>
      </c>
      <c r="V183" s="652">
        <v>1749130</v>
      </c>
      <c r="W183" s="654"/>
      <c r="X183" s="654"/>
      <c r="Y183" s="654"/>
      <c r="Z183" s="654"/>
      <c r="AA183" s="654"/>
      <c r="AB183" s="654"/>
      <c r="AC183" s="654"/>
      <c r="AD183" s="654"/>
      <c r="AE183" s="655"/>
      <c r="AF183" s="655"/>
      <c r="AG183" s="655"/>
      <c r="AH183" s="655"/>
      <c r="AI183" s="655"/>
      <c r="AJ183" s="655"/>
      <c r="AK183" s="655"/>
      <c r="AL183" s="655"/>
    </row>
    <row r="184" spans="1:38" hidden="1" x14ac:dyDescent="0.25">
      <c r="A184" s="653">
        <v>35800</v>
      </c>
      <c r="B184" s="651" t="s">
        <v>1397</v>
      </c>
      <c r="C184" s="675">
        <v>1.1869999999999999E-3</v>
      </c>
      <c r="D184" s="675">
        <v>1.2019999999999999E-3</v>
      </c>
      <c r="E184" s="680">
        <v>1186474</v>
      </c>
      <c r="F184" s="651">
        <v>51626295</v>
      </c>
      <c r="G184" s="652">
        <v>39405443</v>
      </c>
      <c r="H184" s="652">
        <v>0</v>
      </c>
      <c r="I184" s="652">
        <v>0</v>
      </c>
      <c r="J184" s="652">
        <v>0</v>
      </c>
      <c r="K184" s="652">
        <v>586775</v>
      </c>
      <c r="L184" s="652">
        <f t="shared" si="6"/>
        <v>586775</v>
      </c>
      <c r="M184" s="652"/>
      <c r="N184" s="652">
        <v>2825443</v>
      </c>
      <c r="O184" s="652">
        <v>14645</v>
      </c>
      <c r="P184" s="652">
        <v>10852079</v>
      </c>
      <c r="Q184" s="652">
        <v>0</v>
      </c>
      <c r="R184" s="652">
        <f t="shared" si="7"/>
        <v>13692167</v>
      </c>
      <c r="S184" s="652"/>
      <c r="T184" s="652">
        <f t="shared" si="8"/>
        <v>1953659</v>
      </c>
      <c r="U184" s="652">
        <v>117354</v>
      </c>
      <c r="V184" s="652">
        <v>2071013</v>
      </c>
      <c r="W184" s="654"/>
      <c r="X184" s="654"/>
      <c r="Y184" s="654"/>
      <c r="Z184" s="654"/>
      <c r="AA184" s="654"/>
      <c r="AB184" s="654"/>
      <c r="AC184" s="654"/>
      <c r="AD184" s="654"/>
      <c r="AE184" s="655"/>
      <c r="AF184" s="655"/>
      <c r="AG184" s="655"/>
      <c r="AH184" s="655"/>
      <c r="AI184" s="655"/>
      <c r="AJ184" s="655"/>
      <c r="AK184" s="655"/>
      <c r="AL184" s="655"/>
    </row>
    <row r="185" spans="1:38" hidden="1" x14ac:dyDescent="0.25">
      <c r="A185" s="653">
        <v>35805</v>
      </c>
      <c r="B185" s="651" t="s">
        <v>1398</v>
      </c>
      <c r="C185" s="675">
        <v>1.8599999999999999E-4</v>
      </c>
      <c r="D185" s="675">
        <v>1.9100000000000001E-4</v>
      </c>
      <c r="E185" s="680">
        <v>231674</v>
      </c>
      <c r="F185" s="651">
        <v>8075872</v>
      </c>
      <c r="G185" s="652">
        <v>6267062</v>
      </c>
      <c r="H185" s="652">
        <v>0</v>
      </c>
      <c r="I185" s="652">
        <v>0</v>
      </c>
      <c r="J185" s="652">
        <v>0</v>
      </c>
      <c r="K185" s="652">
        <v>241470</v>
      </c>
      <c r="L185" s="652">
        <f t="shared" si="6"/>
        <v>241470</v>
      </c>
      <c r="M185" s="652"/>
      <c r="N185" s="652">
        <v>449360</v>
      </c>
      <c r="O185" s="652">
        <v>2329</v>
      </c>
      <c r="P185" s="652">
        <v>1725920</v>
      </c>
      <c r="Q185" s="652">
        <v>0</v>
      </c>
      <c r="R185" s="652">
        <f t="shared" si="7"/>
        <v>2177609</v>
      </c>
      <c r="S185" s="652"/>
      <c r="T185" s="652">
        <f t="shared" si="8"/>
        <v>310711</v>
      </c>
      <c r="U185" s="652">
        <v>48293</v>
      </c>
      <c r="V185" s="652">
        <v>359004</v>
      </c>
      <c r="W185" s="654"/>
      <c r="X185" s="654"/>
      <c r="Y185" s="654"/>
      <c r="Z185" s="654"/>
      <c r="AA185" s="654"/>
      <c r="AB185" s="654"/>
      <c r="AC185" s="654"/>
      <c r="AD185" s="654"/>
      <c r="AE185" s="655"/>
      <c r="AF185" s="655"/>
      <c r="AG185" s="655"/>
      <c r="AH185" s="655"/>
      <c r="AI185" s="655"/>
      <c r="AJ185" s="655"/>
      <c r="AK185" s="655"/>
      <c r="AL185" s="655"/>
    </row>
    <row r="186" spans="1:38" hidden="1" x14ac:dyDescent="0.25">
      <c r="A186" s="653">
        <v>35900</v>
      </c>
      <c r="B186" s="651" t="s">
        <v>1399</v>
      </c>
      <c r="C186" s="675">
        <v>2.2260000000000001E-3</v>
      </c>
      <c r="D186" s="675">
        <v>2.2399999999999998E-3</v>
      </c>
      <c r="E186" s="680">
        <v>2015604</v>
      </c>
      <c r="F186" s="651">
        <v>96827378</v>
      </c>
      <c r="G186" s="652">
        <v>73452157</v>
      </c>
      <c r="H186" s="652">
        <v>0</v>
      </c>
      <c r="I186" s="652">
        <v>0</v>
      </c>
      <c r="J186" s="652">
        <v>0</v>
      </c>
      <c r="K186" s="652">
        <v>434235</v>
      </c>
      <c r="L186" s="652">
        <f t="shared" si="6"/>
        <v>434235</v>
      </c>
      <c r="M186" s="652"/>
      <c r="N186" s="652">
        <v>5266655</v>
      </c>
      <c r="O186" s="652">
        <v>27298</v>
      </c>
      <c r="P186" s="652">
        <v>20228389</v>
      </c>
      <c r="Q186" s="652">
        <v>0</v>
      </c>
      <c r="R186" s="652">
        <f t="shared" si="7"/>
        <v>25522342</v>
      </c>
      <c r="S186" s="652"/>
      <c r="T186" s="652">
        <f t="shared" si="8"/>
        <v>3641640</v>
      </c>
      <c r="U186" s="652">
        <v>86850</v>
      </c>
      <c r="V186" s="652">
        <v>3728490</v>
      </c>
      <c r="W186" s="654"/>
      <c r="X186" s="654"/>
      <c r="Y186" s="654"/>
      <c r="Z186" s="654"/>
      <c r="AA186" s="654"/>
      <c r="AB186" s="654"/>
      <c r="AC186" s="654"/>
      <c r="AD186" s="654"/>
      <c r="AE186" s="655"/>
      <c r="AF186" s="655"/>
      <c r="AG186" s="655"/>
      <c r="AH186" s="655"/>
      <c r="AI186" s="655"/>
      <c r="AJ186" s="655"/>
      <c r="AK186" s="655"/>
      <c r="AL186" s="655"/>
    </row>
    <row r="187" spans="1:38" hidden="1" x14ac:dyDescent="0.25">
      <c r="A187" s="653">
        <v>35905</v>
      </c>
      <c r="B187" s="651" t="s">
        <v>1400</v>
      </c>
      <c r="C187" s="675">
        <v>2.9300000000000002E-4</v>
      </c>
      <c r="D187" s="675">
        <v>2.9100000000000003E-4</v>
      </c>
      <c r="E187" s="680">
        <v>343910</v>
      </c>
      <c r="F187" s="651">
        <v>12731940</v>
      </c>
      <c r="G187" s="652">
        <v>9532419</v>
      </c>
      <c r="H187" s="652">
        <v>0</v>
      </c>
      <c r="I187" s="652">
        <v>0</v>
      </c>
      <c r="J187" s="652">
        <v>0</v>
      </c>
      <c r="K187" s="652">
        <v>0</v>
      </c>
      <c r="L187" s="652">
        <f t="shared" si="6"/>
        <v>0</v>
      </c>
      <c r="M187" s="652"/>
      <c r="N187" s="652">
        <v>683492</v>
      </c>
      <c r="O187" s="652">
        <v>3543</v>
      </c>
      <c r="P187" s="652">
        <v>2625185</v>
      </c>
      <c r="Q187" s="652">
        <v>13325</v>
      </c>
      <c r="R187" s="652">
        <f t="shared" si="7"/>
        <v>3325545</v>
      </c>
      <c r="S187" s="652"/>
      <c r="T187" s="652">
        <f t="shared" si="8"/>
        <v>472602</v>
      </c>
      <c r="U187" s="652">
        <v>-2668</v>
      </c>
      <c r="V187" s="652">
        <v>469934</v>
      </c>
      <c r="W187" s="654"/>
      <c r="X187" s="654"/>
      <c r="Y187" s="654"/>
      <c r="Z187" s="654"/>
      <c r="AA187" s="654"/>
      <c r="AB187" s="654"/>
      <c r="AC187" s="654"/>
      <c r="AD187" s="654"/>
      <c r="AE187" s="655"/>
      <c r="AF187" s="655"/>
      <c r="AG187" s="655"/>
      <c r="AH187" s="655"/>
      <c r="AI187" s="655"/>
      <c r="AJ187" s="655"/>
      <c r="AK187" s="655"/>
      <c r="AL187" s="655"/>
    </row>
    <row r="188" spans="1:38" hidden="1" x14ac:dyDescent="0.25">
      <c r="A188" s="653">
        <v>36000</v>
      </c>
      <c r="B188" s="651" t="s">
        <v>1401</v>
      </c>
      <c r="C188" s="675">
        <v>5.2234999999999997E-2</v>
      </c>
      <c r="D188" s="675">
        <v>5.4764E-2</v>
      </c>
      <c r="E188" s="680">
        <v>45589962</v>
      </c>
      <c r="F188" s="651">
        <v>2272413309</v>
      </c>
      <c r="G188" s="652">
        <v>1795538583</v>
      </c>
      <c r="H188" s="652">
        <v>0</v>
      </c>
      <c r="I188" s="652">
        <v>0</v>
      </c>
      <c r="J188" s="652">
        <v>0</v>
      </c>
      <c r="K188" s="652">
        <v>86324305</v>
      </c>
      <c r="L188" s="652">
        <f t="shared" si="6"/>
        <v>86324305</v>
      </c>
      <c r="M188" s="652"/>
      <c r="N188" s="652">
        <v>128743419</v>
      </c>
      <c r="O188" s="652">
        <v>667300</v>
      </c>
      <c r="P188" s="652">
        <v>494483128</v>
      </c>
      <c r="Q188" s="652">
        <v>0</v>
      </c>
      <c r="R188" s="652">
        <f t="shared" si="7"/>
        <v>623893847</v>
      </c>
      <c r="S188" s="652"/>
      <c r="T188" s="652">
        <f t="shared" si="8"/>
        <v>89019921</v>
      </c>
      <c r="U188" s="652">
        <v>17264857</v>
      </c>
      <c r="V188" s="652">
        <v>106284778</v>
      </c>
      <c r="W188" s="654"/>
      <c r="X188" s="654"/>
      <c r="Y188" s="654"/>
      <c r="Z188" s="654"/>
      <c r="AA188" s="654"/>
      <c r="AB188" s="654"/>
      <c r="AC188" s="654"/>
      <c r="AD188" s="654"/>
      <c r="AE188" s="655"/>
      <c r="AF188" s="655"/>
      <c r="AG188" s="655"/>
      <c r="AH188" s="655"/>
      <c r="AI188" s="655"/>
      <c r="AJ188" s="655"/>
      <c r="AK188" s="655"/>
      <c r="AL188" s="655"/>
    </row>
    <row r="189" spans="1:38" hidden="1" x14ac:dyDescent="0.25">
      <c r="A189" s="653">
        <v>36001</v>
      </c>
      <c r="B189" s="651" t="s">
        <v>1402</v>
      </c>
      <c r="C189" s="675">
        <v>2.6999999999999999E-5</v>
      </c>
      <c r="D189" s="675">
        <v>3.0000000000000001E-5</v>
      </c>
      <c r="E189" s="680">
        <v>25887</v>
      </c>
      <c r="F189" s="651">
        <v>1160391</v>
      </c>
      <c r="G189" s="652">
        <v>972313</v>
      </c>
      <c r="H189" s="652">
        <v>0</v>
      </c>
      <c r="I189" s="652">
        <v>0</v>
      </c>
      <c r="J189" s="652">
        <v>0</v>
      </c>
      <c r="K189" s="652">
        <v>106210</v>
      </c>
      <c r="L189" s="652">
        <f t="shared" si="6"/>
        <v>106210</v>
      </c>
      <c r="M189" s="652"/>
      <c r="N189" s="652">
        <v>69717</v>
      </c>
      <c r="O189" s="652">
        <v>361</v>
      </c>
      <c r="P189" s="652">
        <v>267771</v>
      </c>
      <c r="Q189" s="652">
        <v>0</v>
      </c>
      <c r="R189" s="652">
        <f t="shared" si="7"/>
        <v>337849</v>
      </c>
      <c r="S189" s="652"/>
      <c r="T189" s="652">
        <f t="shared" si="8"/>
        <v>48206</v>
      </c>
      <c r="U189" s="652">
        <v>21242</v>
      </c>
      <c r="V189" s="652">
        <v>69448</v>
      </c>
      <c r="W189" s="654"/>
      <c r="X189" s="654"/>
      <c r="Y189" s="654"/>
      <c r="Z189" s="654"/>
      <c r="AA189" s="654"/>
      <c r="AB189" s="654"/>
      <c r="AC189" s="654"/>
      <c r="AD189" s="654"/>
      <c r="AE189" s="655"/>
      <c r="AF189" s="655"/>
      <c r="AG189" s="655"/>
      <c r="AH189" s="655"/>
      <c r="AI189" s="655"/>
      <c r="AJ189" s="655"/>
      <c r="AK189" s="655"/>
      <c r="AL189" s="655"/>
    </row>
    <row r="190" spans="1:38" s="724" customFormat="1" hidden="1" x14ac:dyDescent="0.25">
      <c r="A190" s="656">
        <v>36002</v>
      </c>
      <c r="B190" s="657" t="s">
        <v>1403</v>
      </c>
      <c r="C190" s="720">
        <v>1.47E-4</v>
      </c>
      <c r="D190" s="720">
        <v>2.1999999999999999E-5</v>
      </c>
      <c r="E190" s="721">
        <v>0</v>
      </c>
      <c r="F190" s="657">
        <v>6384706</v>
      </c>
      <c r="G190" s="658">
        <v>719662</v>
      </c>
      <c r="H190" s="658">
        <v>0</v>
      </c>
      <c r="I190" s="658">
        <v>0</v>
      </c>
      <c r="J190" s="658">
        <v>0</v>
      </c>
      <c r="K190" s="658">
        <v>0</v>
      </c>
      <c r="L190" s="658">
        <f t="shared" si="6"/>
        <v>0</v>
      </c>
      <c r="M190" s="658"/>
      <c r="N190" s="658">
        <v>51601</v>
      </c>
      <c r="O190" s="658">
        <v>267</v>
      </c>
      <c r="P190" s="658">
        <v>198192</v>
      </c>
      <c r="Q190" s="658">
        <v>4542220</v>
      </c>
      <c r="R190" s="658">
        <f t="shared" si="7"/>
        <v>4792280</v>
      </c>
      <c r="S190" s="658"/>
      <c r="T190" s="658">
        <f t="shared" si="8"/>
        <v>35680</v>
      </c>
      <c r="U190" s="658">
        <v>-908443</v>
      </c>
      <c r="V190" s="658">
        <v>-872763</v>
      </c>
      <c r="W190" s="722"/>
      <c r="X190" s="722"/>
      <c r="Y190" s="722"/>
      <c r="Z190" s="722"/>
      <c r="AA190" s="722"/>
      <c r="AB190" s="722"/>
      <c r="AC190" s="722"/>
      <c r="AD190" s="722"/>
      <c r="AE190" s="723"/>
      <c r="AF190" s="723"/>
      <c r="AG190" s="723"/>
      <c r="AH190" s="723"/>
      <c r="AI190" s="723"/>
      <c r="AJ190" s="723"/>
      <c r="AK190" s="723"/>
      <c r="AL190" s="723"/>
    </row>
    <row r="191" spans="1:38" hidden="1" x14ac:dyDescent="0.25">
      <c r="A191" s="653">
        <v>36003</v>
      </c>
      <c r="B191" s="651" t="s">
        <v>1404</v>
      </c>
      <c r="C191" s="675">
        <v>3.88E-4</v>
      </c>
      <c r="D191" s="675">
        <v>4.0000000000000002E-4</v>
      </c>
      <c r="E191" s="680">
        <v>298440</v>
      </c>
      <c r="F191" s="651">
        <v>16863328</v>
      </c>
      <c r="G191" s="652">
        <v>13120512</v>
      </c>
      <c r="H191" s="652">
        <v>0</v>
      </c>
      <c r="I191" s="652">
        <v>0</v>
      </c>
      <c r="J191" s="652">
        <v>0</v>
      </c>
      <c r="K191" s="652">
        <v>386750</v>
      </c>
      <c r="L191" s="652">
        <f t="shared" si="6"/>
        <v>386750</v>
      </c>
      <c r="M191" s="652"/>
      <c r="N191" s="652">
        <v>940765</v>
      </c>
      <c r="O191" s="652">
        <v>4876</v>
      </c>
      <c r="P191" s="652">
        <v>3613329</v>
      </c>
      <c r="Q191" s="652">
        <v>0</v>
      </c>
      <c r="R191" s="652">
        <f t="shared" si="7"/>
        <v>4558970</v>
      </c>
      <c r="S191" s="652"/>
      <c r="T191" s="652">
        <f t="shared" si="8"/>
        <v>650494</v>
      </c>
      <c r="U191" s="652">
        <v>77350</v>
      </c>
      <c r="V191" s="652">
        <v>727844</v>
      </c>
      <c r="W191" s="654"/>
      <c r="X191" s="654"/>
      <c r="Y191" s="654"/>
      <c r="Z191" s="654"/>
      <c r="AA191" s="654"/>
      <c r="AB191" s="654"/>
      <c r="AC191" s="654"/>
      <c r="AD191" s="654"/>
      <c r="AE191" s="655"/>
      <c r="AF191" s="655"/>
      <c r="AG191" s="655"/>
      <c r="AH191" s="655"/>
      <c r="AI191" s="655"/>
      <c r="AJ191" s="655"/>
      <c r="AK191" s="655"/>
      <c r="AL191" s="655"/>
    </row>
    <row r="192" spans="1:38" hidden="1" x14ac:dyDescent="0.25">
      <c r="A192" s="653">
        <v>36004</v>
      </c>
      <c r="B192" s="651" t="s">
        <v>1405</v>
      </c>
      <c r="C192" s="675">
        <v>1.9699999999999999E-4</v>
      </c>
      <c r="D192" s="675">
        <v>2.1900000000000001E-4</v>
      </c>
      <c r="E192" s="680">
        <v>157722</v>
      </c>
      <c r="F192" s="651">
        <v>8583501</v>
      </c>
      <c r="G192" s="652">
        <v>7170858</v>
      </c>
      <c r="H192" s="652">
        <v>0</v>
      </c>
      <c r="I192" s="652">
        <v>0</v>
      </c>
      <c r="J192" s="652">
        <v>0</v>
      </c>
      <c r="K192" s="652">
        <v>734340</v>
      </c>
      <c r="L192" s="652">
        <f t="shared" si="6"/>
        <v>734340</v>
      </c>
      <c r="M192" s="652"/>
      <c r="N192" s="652">
        <v>514164</v>
      </c>
      <c r="O192" s="652">
        <v>2665</v>
      </c>
      <c r="P192" s="652">
        <v>1974822</v>
      </c>
      <c r="Q192" s="652">
        <v>0</v>
      </c>
      <c r="R192" s="652">
        <f t="shared" si="7"/>
        <v>2491651</v>
      </c>
      <c r="S192" s="652"/>
      <c r="T192" s="652">
        <f t="shared" si="8"/>
        <v>355520</v>
      </c>
      <c r="U192" s="652">
        <v>146870</v>
      </c>
      <c r="V192" s="652">
        <v>502390</v>
      </c>
      <c r="W192" s="654"/>
      <c r="X192" s="654"/>
      <c r="Y192" s="654"/>
      <c r="Z192" s="654"/>
      <c r="AA192" s="654"/>
      <c r="AB192" s="654"/>
      <c r="AC192" s="654"/>
      <c r="AD192" s="654"/>
      <c r="AE192" s="655"/>
      <c r="AF192" s="655"/>
      <c r="AG192" s="655"/>
      <c r="AH192" s="655"/>
      <c r="AI192" s="655"/>
      <c r="AJ192" s="655"/>
      <c r="AK192" s="655"/>
      <c r="AL192" s="655"/>
    </row>
    <row r="193" spans="1:38" hidden="1" x14ac:dyDescent="0.25">
      <c r="A193" s="653">
        <v>36005</v>
      </c>
      <c r="B193" s="651" t="s">
        <v>1406</v>
      </c>
      <c r="C193" s="675">
        <v>4.4450000000000002E-3</v>
      </c>
      <c r="D193" s="675">
        <v>4.169E-3</v>
      </c>
      <c r="E193" s="680">
        <v>4250772</v>
      </c>
      <c r="F193" s="651">
        <v>193361013</v>
      </c>
      <c r="G193" s="652">
        <v>136676625</v>
      </c>
      <c r="H193" s="652">
        <v>0</v>
      </c>
      <c r="I193" s="652">
        <v>0</v>
      </c>
      <c r="J193" s="652">
        <v>0</v>
      </c>
      <c r="K193" s="652">
        <v>0</v>
      </c>
      <c r="L193" s="652">
        <f t="shared" si="6"/>
        <v>0</v>
      </c>
      <c r="M193" s="652"/>
      <c r="N193" s="652">
        <v>9799965</v>
      </c>
      <c r="O193" s="652">
        <v>50795</v>
      </c>
      <c r="P193" s="652">
        <v>37640119</v>
      </c>
      <c r="Q193" s="652">
        <v>9765790</v>
      </c>
      <c r="R193" s="652">
        <f t="shared" si="7"/>
        <v>57256669</v>
      </c>
      <c r="S193" s="652"/>
      <c r="T193" s="652">
        <f t="shared" si="8"/>
        <v>6776208</v>
      </c>
      <c r="U193" s="652">
        <v>-1953155</v>
      </c>
      <c r="V193" s="652">
        <v>4823053</v>
      </c>
      <c r="W193" s="654"/>
      <c r="X193" s="654"/>
      <c r="Y193" s="654"/>
      <c r="Z193" s="654"/>
      <c r="AA193" s="654"/>
      <c r="AB193" s="654"/>
      <c r="AC193" s="654"/>
      <c r="AD193" s="654"/>
      <c r="AE193" s="655"/>
      <c r="AF193" s="655"/>
      <c r="AG193" s="655"/>
      <c r="AH193" s="655"/>
      <c r="AI193" s="655"/>
      <c r="AJ193" s="655"/>
      <c r="AK193" s="655"/>
      <c r="AL193" s="655"/>
    </row>
    <row r="194" spans="1:38" hidden="1" x14ac:dyDescent="0.25">
      <c r="A194" s="653">
        <v>36006</v>
      </c>
      <c r="B194" s="651" t="s">
        <v>1407</v>
      </c>
      <c r="C194" s="675">
        <v>4.8299999999999998E-4</v>
      </c>
      <c r="D194" s="675">
        <v>5.22E-4</v>
      </c>
      <c r="E194" s="680">
        <v>387676</v>
      </c>
      <c r="F194" s="651">
        <v>21023779</v>
      </c>
      <c r="G194" s="652">
        <v>17100148</v>
      </c>
      <c r="H194" s="652">
        <v>0</v>
      </c>
      <c r="I194" s="652">
        <v>0</v>
      </c>
      <c r="J194" s="652">
        <v>0</v>
      </c>
      <c r="K194" s="652">
        <v>1298350</v>
      </c>
      <c r="L194" s="652">
        <f t="shared" si="6"/>
        <v>1298350</v>
      </c>
      <c r="M194" s="652"/>
      <c r="N194" s="652">
        <v>1226112</v>
      </c>
      <c r="O194" s="652">
        <v>6355</v>
      </c>
      <c r="P194" s="652">
        <v>4709303</v>
      </c>
      <c r="Q194" s="652">
        <v>0</v>
      </c>
      <c r="R194" s="652">
        <f t="shared" si="7"/>
        <v>5941770</v>
      </c>
      <c r="S194" s="652"/>
      <c r="T194" s="652">
        <f t="shared" si="8"/>
        <v>847798</v>
      </c>
      <c r="U194" s="652">
        <v>259667</v>
      </c>
      <c r="V194" s="652">
        <v>1107465</v>
      </c>
      <c r="W194" s="654"/>
      <c r="X194" s="654"/>
      <c r="Y194" s="654"/>
      <c r="Z194" s="654"/>
      <c r="AA194" s="654"/>
      <c r="AB194" s="654"/>
      <c r="AC194" s="654"/>
      <c r="AD194" s="654"/>
      <c r="AE194" s="655"/>
      <c r="AF194" s="655"/>
      <c r="AG194" s="655"/>
      <c r="AH194" s="655"/>
      <c r="AI194" s="655"/>
      <c r="AJ194" s="655"/>
      <c r="AK194" s="655"/>
      <c r="AL194" s="655"/>
    </row>
    <row r="195" spans="1:38" hidden="1" x14ac:dyDescent="0.25">
      <c r="A195" s="653">
        <v>36007</v>
      </c>
      <c r="B195" s="651" t="s">
        <v>1408</v>
      </c>
      <c r="C195" s="675">
        <v>1.64E-4</v>
      </c>
      <c r="D195" s="675">
        <v>1.7200000000000001E-4</v>
      </c>
      <c r="E195" s="680">
        <v>142456</v>
      </c>
      <c r="F195" s="651">
        <v>7152156</v>
      </c>
      <c r="G195" s="652">
        <v>5653271</v>
      </c>
      <c r="H195" s="652">
        <v>0</v>
      </c>
      <c r="I195" s="652">
        <v>0</v>
      </c>
      <c r="J195" s="652">
        <v>0</v>
      </c>
      <c r="K195" s="652">
        <v>273020</v>
      </c>
      <c r="L195" s="652">
        <f t="shared" si="6"/>
        <v>273020</v>
      </c>
      <c r="M195" s="652"/>
      <c r="N195" s="652">
        <v>405350</v>
      </c>
      <c r="O195" s="652">
        <v>2101</v>
      </c>
      <c r="P195" s="652">
        <v>1556885</v>
      </c>
      <c r="Q195" s="652">
        <v>0</v>
      </c>
      <c r="R195" s="652">
        <f t="shared" si="7"/>
        <v>1964336</v>
      </c>
      <c r="S195" s="652"/>
      <c r="T195" s="652">
        <f t="shared" si="8"/>
        <v>280280</v>
      </c>
      <c r="U195" s="652">
        <v>54607</v>
      </c>
      <c r="V195" s="652">
        <v>334887</v>
      </c>
      <c r="W195" s="654"/>
      <c r="X195" s="654"/>
      <c r="Y195" s="654"/>
      <c r="Z195" s="654"/>
      <c r="AA195" s="654"/>
      <c r="AB195" s="654"/>
      <c r="AC195" s="654"/>
      <c r="AD195" s="654"/>
      <c r="AE195" s="655"/>
      <c r="AF195" s="655"/>
      <c r="AG195" s="655"/>
      <c r="AH195" s="655"/>
      <c r="AI195" s="655"/>
      <c r="AJ195" s="655"/>
      <c r="AK195" s="655"/>
      <c r="AL195" s="655"/>
    </row>
    <row r="196" spans="1:38" hidden="1" x14ac:dyDescent="0.25">
      <c r="A196" s="653">
        <v>36008</v>
      </c>
      <c r="B196" s="651" t="s">
        <v>1409</v>
      </c>
      <c r="C196" s="675">
        <v>5.1199999999999998E-4</v>
      </c>
      <c r="D196" s="675">
        <v>5.7700000000000004E-4</v>
      </c>
      <c r="E196" s="680">
        <v>400654</v>
      </c>
      <c r="F196" s="651">
        <v>22289724</v>
      </c>
      <c r="G196" s="652">
        <v>18912044</v>
      </c>
      <c r="H196" s="652">
        <v>0</v>
      </c>
      <c r="I196" s="652">
        <v>0</v>
      </c>
      <c r="J196" s="652">
        <v>0</v>
      </c>
      <c r="K196" s="652">
        <v>2213910</v>
      </c>
      <c r="L196" s="652">
        <f t="shared" si="6"/>
        <v>2213910</v>
      </c>
      <c r="M196" s="652"/>
      <c r="N196" s="652">
        <v>1356028</v>
      </c>
      <c r="O196" s="652">
        <v>7029</v>
      </c>
      <c r="P196" s="652">
        <v>5208291</v>
      </c>
      <c r="Q196" s="652">
        <v>0</v>
      </c>
      <c r="R196" s="652">
        <f t="shared" si="7"/>
        <v>6571348</v>
      </c>
      <c r="S196" s="652"/>
      <c r="T196" s="652">
        <f t="shared" si="8"/>
        <v>937629</v>
      </c>
      <c r="U196" s="652">
        <v>442783</v>
      </c>
      <c r="V196" s="652">
        <v>1380412</v>
      </c>
      <c r="W196" s="654"/>
      <c r="X196" s="654"/>
      <c r="Y196" s="654"/>
      <c r="Z196" s="654"/>
      <c r="AA196" s="654"/>
      <c r="AB196" s="654"/>
      <c r="AC196" s="654"/>
      <c r="AD196" s="654"/>
      <c r="AE196" s="655"/>
      <c r="AF196" s="655"/>
      <c r="AG196" s="655"/>
      <c r="AH196" s="655"/>
      <c r="AI196" s="655"/>
      <c r="AJ196" s="655"/>
      <c r="AK196" s="655"/>
      <c r="AL196" s="655"/>
    </row>
    <row r="197" spans="1:38" hidden="1" x14ac:dyDescent="0.25">
      <c r="A197" s="653">
        <v>36009</v>
      </c>
      <c r="B197" s="651" t="s">
        <v>1410</v>
      </c>
      <c r="C197" s="675">
        <v>1.5899999999999999E-4</v>
      </c>
      <c r="D197" s="675">
        <v>1.65E-4</v>
      </c>
      <c r="E197" s="680">
        <v>98785</v>
      </c>
      <c r="F197" s="651">
        <v>6928939</v>
      </c>
      <c r="G197" s="652">
        <v>5403591</v>
      </c>
      <c r="H197" s="652">
        <v>0</v>
      </c>
      <c r="I197" s="652">
        <v>0</v>
      </c>
      <c r="J197" s="652">
        <v>0</v>
      </c>
      <c r="K197" s="652">
        <v>152595</v>
      </c>
      <c r="L197" s="652">
        <f t="shared" si="6"/>
        <v>152595</v>
      </c>
      <c r="M197" s="652"/>
      <c r="N197" s="652">
        <v>387447</v>
      </c>
      <c r="O197" s="652">
        <v>2008</v>
      </c>
      <c r="P197" s="652">
        <v>1488124</v>
      </c>
      <c r="Q197" s="652">
        <v>0</v>
      </c>
      <c r="R197" s="652">
        <f t="shared" si="7"/>
        <v>1877579</v>
      </c>
      <c r="S197" s="652"/>
      <c r="T197" s="652">
        <f t="shared" si="8"/>
        <v>267901</v>
      </c>
      <c r="U197" s="652">
        <v>30521</v>
      </c>
      <c r="V197" s="652">
        <v>298422</v>
      </c>
      <c r="W197" s="654"/>
      <c r="X197" s="654"/>
      <c r="Y197" s="654"/>
      <c r="Z197" s="654"/>
      <c r="AA197" s="654"/>
      <c r="AB197" s="654"/>
      <c r="AC197" s="654"/>
      <c r="AD197" s="654"/>
      <c r="AE197" s="655"/>
      <c r="AF197" s="655"/>
      <c r="AG197" s="655"/>
      <c r="AH197" s="655"/>
      <c r="AI197" s="655"/>
      <c r="AJ197" s="655"/>
      <c r="AK197" s="655"/>
      <c r="AL197" s="655"/>
    </row>
    <row r="198" spans="1:38" hidden="1" x14ac:dyDescent="0.25">
      <c r="A198" s="653">
        <v>36100</v>
      </c>
      <c r="B198" s="651" t="s">
        <v>1411</v>
      </c>
      <c r="C198" s="675">
        <v>6.7299999999999999E-4</v>
      </c>
      <c r="D198" s="675">
        <v>6.7699999999999998E-4</v>
      </c>
      <c r="E198" s="680">
        <v>654356</v>
      </c>
      <c r="F198" s="651">
        <v>29257636</v>
      </c>
      <c r="G198" s="652">
        <v>22205523</v>
      </c>
      <c r="H198" s="652">
        <v>0</v>
      </c>
      <c r="I198" s="652">
        <v>0</v>
      </c>
      <c r="J198" s="652">
        <v>0</v>
      </c>
      <c r="K198" s="652">
        <v>180880</v>
      </c>
      <c r="L198" s="652">
        <f t="shared" si="6"/>
        <v>180880</v>
      </c>
      <c r="M198" s="652"/>
      <c r="N198" s="652">
        <v>1592177</v>
      </c>
      <c r="O198" s="652">
        <v>8253</v>
      </c>
      <c r="P198" s="652">
        <v>6115300</v>
      </c>
      <c r="Q198" s="652">
        <v>0</v>
      </c>
      <c r="R198" s="652">
        <f t="shared" si="7"/>
        <v>7715730</v>
      </c>
      <c r="S198" s="652"/>
      <c r="T198" s="652">
        <f t="shared" si="8"/>
        <v>1100914</v>
      </c>
      <c r="U198" s="652">
        <v>36178</v>
      </c>
      <c r="V198" s="652">
        <v>1137092</v>
      </c>
      <c r="W198" s="654"/>
      <c r="X198" s="654"/>
      <c r="Y198" s="654"/>
      <c r="Z198" s="654"/>
      <c r="AA198" s="654"/>
      <c r="AB198" s="654"/>
      <c r="AC198" s="654"/>
      <c r="AD198" s="654"/>
      <c r="AE198" s="655"/>
      <c r="AF198" s="655"/>
      <c r="AG198" s="655"/>
      <c r="AH198" s="655"/>
      <c r="AI198" s="655"/>
      <c r="AJ198" s="655"/>
      <c r="AK198" s="655"/>
      <c r="AL198" s="655"/>
    </row>
    <row r="199" spans="1:38" hidden="1" x14ac:dyDescent="0.25">
      <c r="A199" s="653">
        <v>36102</v>
      </c>
      <c r="B199" s="651" t="s">
        <v>1412</v>
      </c>
      <c r="C199" s="675">
        <v>1.63E-4</v>
      </c>
      <c r="D199" s="675">
        <v>1.8599999999999999E-4</v>
      </c>
      <c r="E199" s="680">
        <v>142086</v>
      </c>
      <c r="F199" s="651">
        <v>7079712</v>
      </c>
      <c r="G199" s="652">
        <v>6113381</v>
      </c>
      <c r="H199" s="652">
        <v>0</v>
      </c>
      <c r="I199" s="652">
        <v>0</v>
      </c>
      <c r="J199" s="652">
        <v>0</v>
      </c>
      <c r="K199" s="652">
        <v>830730</v>
      </c>
      <c r="L199" s="652">
        <f t="shared" si="6"/>
        <v>830730</v>
      </c>
      <c r="M199" s="652"/>
      <c r="N199" s="652">
        <v>438341</v>
      </c>
      <c r="O199" s="652">
        <v>2272</v>
      </c>
      <c r="P199" s="652">
        <v>1683597</v>
      </c>
      <c r="Q199" s="652">
        <v>0</v>
      </c>
      <c r="R199" s="652">
        <f t="shared" si="7"/>
        <v>2124210</v>
      </c>
      <c r="S199" s="652"/>
      <c r="T199" s="652">
        <f t="shared" si="8"/>
        <v>303092</v>
      </c>
      <c r="U199" s="652">
        <v>166144</v>
      </c>
      <c r="V199" s="652">
        <v>469236</v>
      </c>
      <c r="W199" s="654"/>
      <c r="X199" s="654"/>
      <c r="Y199" s="654"/>
      <c r="Z199" s="654"/>
      <c r="AA199" s="654"/>
      <c r="AB199" s="654"/>
      <c r="AC199" s="654"/>
      <c r="AD199" s="654"/>
      <c r="AE199" s="655"/>
      <c r="AF199" s="655"/>
      <c r="AG199" s="655"/>
      <c r="AH199" s="655"/>
      <c r="AI199" s="655"/>
      <c r="AJ199" s="655"/>
      <c r="AK199" s="655"/>
      <c r="AL199" s="655"/>
    </row>
    <row r="200" spans="1:38" hidden="1" x14ac:dyDescent="0.25">
      <c r="A200" s="653">
        <v>36105</v>
      </c>
      <c r="B200" s="651" t="s">
        <v>1413</v>
      </c>
      <c r="C200" s="675">
        <v>3.4499999999999998E-4</v>
      </c>
      <c r="D200" s="675">
        <v>3.4099999999999999E-4</v>
      </c>
      <c r="E200" s="680">
        <v>367110</v>
      </c>
      <c r="F200" s="651">
        <v>14988100</v>
      </c>
      <c r="G200" s="652">
        <v>11185651</v>
      </c>
      <c r="H200" s="652">
        <v>0</v>
      </c>
      <c r="I200" s="652">
        <v>0</v>
      </c>
      <c r="J200" s="652">
        <v>0</v>
      </c>
      <c r="K200" s="652">
        <v>0</v>
      </c>
      <c r="L200" s="652">
        <f t="shared" ref="L200:L263" si="9">SUM(H200:K200)</f>
        <v>0</v>
      </c>
      <c r="M200" s="652"/>
      <c r="N200" s="652">
        <v>802032</v>
      </c>
      <c r="O200" s="652">
        <v>4157</v>
      </c>
      <c r="P200" s="652">
        <v>3080477</v>
      </c>
      <c r="Q200" s="652">
        <v>86035</v>
      </c>
      <c r="R200" s="652">
        <f t="shared" ref="R200:R263" si="10">SUM(N200:Q200)</f>
        <v>3972701</v>
      </c>
      <c r="S200" s="652"/>
      <c r="T200" s="652">
        <f t="shared" ref="T200:T263" si="11">V200-U200</f>
        <v>554567</v>
      </c>
      <c r="U200" s="652">
        <v>-17205</v>
      </c>
      <c r="V200" s="652">
        <v>537362</v>
      </c>
      <c r="W200" s="654"/>
      <c r="X200" s="654"/>
      <c r="Y200" s="654"/>
      <c r="Z200" s="654"/>
      <c r="AA200" s="654"/>
      <c r="AB200" s="654"/>
      <c r="AC200" s="654"/>
      <c r="AD200" s="654"/>
      <c r="AE200" s="655"/>
      <c r="AF200" s="655"/>
      <c r="AG200" s="655"/>
      <c r="AH200" s="655"/>
      <c r="AI200" s="655"/>
      <c r="AJ200" s="655"/>
      <c r="AK200" s="655"/>
      <c r="AL200" s="655"/>
    </row>
    <row r="201" spans="1:38" hidden="1" x14ac:dyDescent="0.25">
      <c r="A201" s="653">
        <v>36200</v>
      </c>
      <c r="B201" s="651" t="s">
        <v>1414</v>
      </c>
      <c r="C201" s="675">
        <v>1.3810000000000001E-3</v>
      </c>
      <c r="D201" s="675">
        <v>1.436E-3</v>
      </c>
      <c r="E201" s="680">
        <v>1341521</v>
      </c>
      <c r="F201" s="651">
        <v>60089721</v>
      </c>
      <c r="G201" s="652">
        <v>47077718</v>
      </c>
      <c r="H201" s="652">
        <v>0</v>
      </c>
      <c r="I201" s="652">
        <v>0</v>
      </c>
      <c r="J201" s="652">
        <v>0</v>
      </c>
      <c r="K201" s="652">
        <v>1961270</v>
      </c>
      <c r="L201" s="652">
        <f t="shared" si="9"/>
        <v>1961270</v>
      </c>
      <c r="M201" s="652"/>
      <c r="N201" s="652">
        <v>3375559</v>
      </c>
      <c r="O201" s="652">
        <v>17496</v>
      </c>
      <c r="P201" s="652">
        <v>12964989</v>
      </c>
      <c r="Q201" s="652">
        <v>0</v>
      </c>
      <c r="R201" s="652">
        <f t="shared" si="10"/>
        <v>16358044</v>
      </c>
      <c r="S201" s="652"/>
      <c r="T201" s="652">
        <f t="shared" si="11"/>
        <v>2334038</v>
      </c>
      <c r="U201" s="652">
        <v>392254</v>
      </c>
      <c r="V201" s="652">
        <v>2726292</v>
      </c>
      <c r="W201" s="654"/>
      <c r="X201" s="654"/>
      <c r="Y201" s="654"/>
      <c r="Z201" s="654"/>
      <c r="AA201" s="654"/>
      <c r="AB201" s="654"/>
      <c r="AC201" s="654"/>
      <c r="AD201" s="654"/>
      <c r="AE201" s="655"/>
      <c r="AF201" s="655"/>
      <c r="AG201" s="655"/>
      <c r="AH201" s="655"/>
      <c r="AI201" s="655"/>
      <c r="AJ201" s="655"/>
      <c r="AK201" s="655"/>
      <c r="AL201" s="655"/>
    </row>
    <row r="202" spans="1:38" hidden="1" x14ac:dyDescent="0.25">
      <c r="A202" s="653">
        <v>36205</v>
      </c>
      <c r="B202" s="651" t="s">
        <v>1415</v>
      </c>
      <c r="C202" s="675">
        <v>2.4399999999999999E-4</v>
      </c>
      <c r="D202" s="675">
        <v>2.2900000000000001E-4</v>
      </c>
      <c r="E202" s="680">
        <v>236772</v>
      </c>
      <c r="F202" s="651">
        <v>10600856</v>
      </c>
      <c r="G202" s="652">
        <v>7500935</v>
      </c>
      <c r="H202" s="652">
        <v>0</v>
      </c>
      <c r="I202" s="652">
        <v>0</v>
      </c>
      <c r="J202" s="652">
        <v>0</v>
      </c>
      <c r="K202" s="652">
        <v>0</v>
      </c>
      <c r="L202" s="652">
        <f t="shared" si="9"/>
        <v>0</v>
      </c>
      <c r="M202" s="652"/>
      <c r="N202" s="652">
        <v>537831</v>
      </c>
      <c r="O202" s="652">
        <v>2788</v>
      </c>
      <c r="P202" s="652">
        <v>2065723</v>
      </c>
      <c r="Q202" s="652">
        <v>523910</v>
      </c>
      <c r="R202" s="652">
        <f t="shared" si="10"/>
        <v>3130252</v>
      </c>
      <c r="S202" s="652"/>
      <c r="T202" s="652">
        <f t="shared" si="11"/>
        <v>371884</v>
      </c>
      <c r="U202" s="652">
        <v>-104782</v>
      </c>
      <c r="V202" s="652">
        <v>267102</v>
      </c>
      <c r="W202" s="654"/>
      <c r="X202" s="654"/>
      <c r="Y202" s="654"/>
      <c r="Z202" s="654"/>
      <c r="AA202" s="654"/>
      <c r="AB202" s="654"/>
      <c r="AC202" s="654"/>
      <c r="AD202" s="654"/>
      <c r="AE202" s="655"/>
      <c r="AF202" s="655"/>
      <c r="AG202" s="655"/>
      <c r="AH202" s="655"/>
      <c r="AI202" s="655"/>
      <c r="AJ202" s="655"/>
      <c r="AK202" s="655"/>
      <c r="AL202" s="655"/>
    </row>
    <row r="203" spans="1:38" hidden="1" x14ac:dyDescent="0.25">
      <c r="A203" s="653">
        <v>36300</v>
      </c>
      <c r="B203" s="651" t="s">
        <v>1416</v>
      </c>
      <c r="C203" s="675">
        <v>4.3680000000000004E-3</v>
      </c>
      <c r="D203" s="675">
        <v>4.6239999999999996E-3</v>
      </c>
      <c r="E203" s="680">
        <v>4024033</v>
      </c>
      <c r="F203" s="651">
        <v>190023492</v>
      </c>
      <c r="G203" s="652">
        <v>151611555</v>
      </c>
      <c r="H203" s="652">
        <v>0</v>
      </c>
      <c r="I203" s="652">
        <v>0</v>
      </c>
      <c r="J203" s="652">
        <v>0</v>
      </c>
      <c r="K203" s="652">
        <v>8979780</v>
      </c>
      <c r="L203" s="652">
        <f t="shared" si="9"/>
        <v>8979780</v>
      </c>
      <c r="M203" s="652"/>
      <c r="N203" s="652">
        <v>10870827</v>
      </c>
      <c r="O203" s="652">
        <v>56345</v>
      </c>
      <c r="P203" s="652">
        <v>41753130</v>
      </c>
      <c r="Q203" s="652">
        <v>0</v>
      </c>
      <c r="R203" s="652">
        <f t="shared" si="10"/>
        <v>52680302</v>
      </c>
      <c r="S203" s="652"/>
      <c r="T203" s="652">
        <f t="shared" si="11"/>
        <v>7516658</v>
      </c>
      <c r="U203" s="652">
        <v>1795961</v>
      </c>
      <c r="V203" s="652">
        <v>9312619</v>
      </c>
      <c r="W203" s="654"/>
      <c r="X203" s="654"/>
      <c r="Y203" s="654"/>
      <c r="Z203" s="654"/>
      <c r="AA203" s="654"/>
      <c r="AB203" s="654"/>
      <c r="AC203" s="654"/>
      <c r="AD203" s="654"/>
      <c r="AE203" s="655"/>
      <c r="AF203" s="655"/>
      <c r="AG203" s="655"/>
      <c r="AH203" s="655"/>
      <c r="AI203" s="655"/>
      <c r="AJ203" s="655"/>
      <c r="AK203" s="655"/>
      <c r="AL203" s="655"/>
    </row>
    <row r="204" spans="1:38" hidden="1" x14ac:dyDescent="0.25">
      <c r="A204" s="653">
        <v>36301</v>
      </c>
      <c r="B204" s="651" t="s">
        <v>1417</v>
      </c>
      <c r="C204" s="675">
        <v>5.5999999999999999E-5</v>
      </c>
      <c r="D204" s="675">
        <v>7.1000000000000005E-5</v>
      </c>
      <c r="E204" s="680">
        <v>53432</v>
      </c>
      <c r="F204" s="651">
        <v>2452552</v>
      </c>
      <c r="G204" s="652">
        <v>2324127</v>
      </c>
      <c r="H204" s="652">
        <v>0</v>
      </c>
      <c r="I204" s="652">
        <v>0</v>
      </c>
      <c r="J204" s="652">
        <v>0</v>
      </c>
      <c r="K204" s="652">
        <v>514450</v>
      </c>
      <c r="L204" s="652">
        <f t="shared" si="9"/>
        <v>514450</v>
      </c>
      <c r="M204" s="652"/>
      <c r="N204" s="652">
        <v>166644</v>
      </c>
      <c r="O204" s="652">
        <v>864</v>
      </c>
      <c r="P204" s="652">
        <v>640054</v>
      </c>
      <c r="Q204" s="652">
        <v>0</v>
      </c>
      <c r="R204" s="652">
        <f t="shared" si="10"/>
        <v>807562</v>
      </c>
      <c r="S204" s="652"/>
      <c r="T204" s="652">
        <f t="shared" si="11"/>
        <v>115226</v>
      </c>
      <c r="U204" s="652">
        <v>102892</v>
      </c>
      <c r="V204" s="652">
        <v>218118</v>
      </c>
      <c r="W204" s="654"/>
      <c r="X204" s="654"/>
      <c r="Y204" s="654"/>
      <c r="Z204" s="654"/>
      <c r="AA204" s="654"/>
      <c r="AB204" s="654"/>
      <c r="AC204" s="654"/>
      <c r="AD204" s="654"/>
      <c r="AE204" s="655"/>
      <c r="AF204" s="655"/>
      <c r="AG204" s="655"/>
      <c r="AH204" s="655"/>
      <c r="AI204" s="655"/>
      <c r="AJ204" s="655"/>
      <c r="AK204" s="655"/>
      <c r="AL204" s="655"/>
    </row>
    <row r="205" spans="1:38" hidden="1" x14ac:dyDescent="0.25">
      <c r="A205" s="653">
        <v>36302</v>
      </c>
      <c r="B205" s="651" t="s">
        <v>1418</v>
      </c>
      <c r="C205" s="675">
        <v>1.11E-4</v>
      </c>
      <c r="D205" s="675">
        <v>1.15E-4</v>
      </c>
      <c r="E205" s="680">
        <v>83507</v>
      </c>
      <c r="F205" s="651">
        <v>4827335</v>
      </c>
      <c r="G205" s="652">
        <v>3782975</v>
      </c>
      <c r="H205" s="652">
        <v>0</v>
      </c>
      <c r="I205" s="652">
        <v>0</v>
      </c>
      <c r="J205" s="652">
        <v>0</v>
      </c>
      <c r="K205" s="652">
        <v>138385</v>
      </c>
      <c r="L205" s="652">
        <f t="shared" si="9"/>
        <v>138385</v>
      </c>
      <c r="M205" s="652"/>
      <c r="N205" s="652">
        <v>271246</v>
      </c>
      <c r="O205" s="652">
        <v>1406</v>
      </c>
      <c r="P205" s="652">
        <v>1041814</v>
      </c>
      <c r="Q205" s="652">
        <v>0</v>
      </c>
      <c r="R205" s="652">
        <f t="shared" si="10"/>
        <v>1314466</v>
      </c>
      <c r="S205" s="652"/>
      <c r="T205" s="652">
        <f t="shared" si="11"/>
        <v>187554</v>
      </c>
      <c r="U205" s="652">
        <v>27674</v>
      </c>
      <c r="V205" s="652">
        <v>215228</v>
      </c>
      <c r="W205" s="654"/>
      <c r="X205" s="654"/>
      <c r="Y205" s="654"/>
      <c r="Z205" s="654"/>
      <c r="AA205" s="654"/>
      <c r="AB205" s="654"/>
      <c r="AC205" s="654"/>
      <c r="AD205" s="654"/>
      <c r="AE205" s="655"/>
      <c r="AF205" s="655"/>
      <c r="AG205" s="655"/>
      <c r="AH205" s="655"/>
      <c r="AI205" s="655"/>
      <c r="AJ205" s="655"/>
      <c r="AK205" s="655"/>
      <c r="AL205" s="655"/>
    </row>
    <row r="206" spans="1:38" hidden="1" x14ac:dyDescent="0.25">
      <c r="A206" s="653">
        <v>36305</v>
      </c>
      <c r="B206" s="651" t="s">
        <v>1419</v>
      </c>
      <c r="C206" s="675">
        <v>8.8000000000000003E-4</v>
      </c>
      <c r="D206" s="675">
        <v>8.0999999999999996E-4</v>
      </c>
      <c r="E206" s="680">
        <v>887506</v>
      </c>
      <c r="F206" s="651">
        <v>38260211</v>
      </c>
      <c r="G206" s="652">
        <v>26572084</v>
      </c>
      <c r="H206" s="652">
        <v>0</v>
      </c>
      <c r="I206" s="652">
        <v>0</v>
      </c>
      <c r="J206" s="652">
        <v>0</v>
      </c>
      <c r="K206" s="652">
        <v>0</v>
      </c>
      <c r="L206" s="652">
        <f t="shared" si="9"/>
        <v>0</v>
      </c>
      <c r="M206" s="652"/>
      <c r="N206" s="652">
        <v>1905267</v>
      </c>
      <c r="O206" s="652">
        <v>9875</v>
      </c>
      <c r="P206" s="652">
        <v>7317830</v>
      </c>
      <c r="Q206" s="652">
        <v>2404210</v>
      </c>
      <c r="R206" s="652">
        <f t="shared" si="10"/>
        <v>11637182</v>
      </c>
      <c r="S206" s="652"/>
      <c r="T206" s="652">
        <f t="shared" si="11"/>
        <v>1317401</v>
      </c>
      <c r="U206" s="652">
        <v>-480840</v>
      </c>
      <c r="V206" s="652">
        <v>836561</v>
      </c>
      <c r="W206" s="654"/>
      <c r="X206" s="654"/>
      <c r="Y206" s="654"/>
      <c r="Z206" s="654"/>
      <c r="AA206" s="654"/>
      <c r="AB206" s="654"/>
      <c r="AC206" s="654"/>
      <c r="AD206" s="654"/>
      <c r="AE206" s="655"/>
      <c r="AF206" s="655"/>
      <c r="AG206" s="655"/>
      <c r="AH206" s="655"/>
      <c r="AI206" s="655"/>
      <c r="AJ206" s="655"/>
      <c r="AK206" s="655"/>
      <c r="AL206" s="655"/>
    </row>
    <row r="207" spans="1:38" hidden="1" x14ac:dyDescent="0.25">
      <c r="A207" s="653">
        <v>36310</v>
      </c>
      <c r="B207" s="651" t="s">
        <v>1420</v>
      </c>
      <c r="C207" s="675">
        <v>0</v>
      </c>
      <c r="D207" s="675">
        <v>2.5000000000000001E-5</v>
      </c>
      <c r="E207" s="680">
        <v>28772</v>
      </c>
      <c r="F207" s="652">
        <v>0</v>
      </c>
      <c r="G207" s="652">
        <v>803427</v>
      </c>
      <c r="H207" s="652">
        <v>0</v>
      </c>
      <c r="I207" s="652">
        <v>0</v>
      </c>
      <c r="J207" s="652">
        <v>0</v>
      </c>
      <c r="K207" s="652">
        <v>892945</v>
      </c>
      <c r="L207" s="652">
        <f t="shared" si="9"/>
        <v>892945</v>
      </c>
      <c r="M207" s="652"/>
      <c r="N207" s="652">
        <v>57607</v>
      </c>
      <c r="O207" s="652">
        <v>299</v>
      </c>
      <c r="P207" s="652">
        <v>221260</v>
      </c>
      <c r="Q207" s="652">
        <v>0</v>
      </c>
      <c r="R207" s="652">
        <f t="shared" si="10"/>
        <v>279166</v>
      </c>
      <c r="S207" s="652"/>
      <c r="T207" s="652">
        <f t="shared" si="11"/>
        <v>39833</v>
      </c>
      <c r="U207" s="652">
        <v>178587</v>
      </c>
      <c r="V207" s="652">
        <v>218420</v>
      </c>
      <c r="W207" s="654"/>
      <c r="X207" s="654"/>
      <c r="Y207" s="654"/>
      <c r="Z207" s="654"/>
      <c r="AA207" s="654"/>
      <c r="AB207" s="654"/>
      <c r="AC207" s="654"/>
      <c r="AD207" s="654"/>
      <c r="AE207" s="655"/>
      <c r="AF207" s="655"/>
      <c r="AG207" s="655"/>
      <c r="AH207" s="655"/>
      <c r="AI207" s="655"/>
      <c r="AJ207" s="655"/>
      <c r="AK207" s="655"/>
      <c r="AL207" s="655"/>
    </row>
    <row r="208" spans="1:38" hidden="1" x14ac:dyDescent="0.25">
      <c r="A208" s="653">
        <v>36400</v>
      </c>
      <c r="B208" s="651" t="s">
        <v>1421</v>
      </c>
      <c r="C208" s="675">
        <v>4.6870000000000002E-3</v>
      </c>
      <c r="D208" s="675">
        <v>5.0939999999999996E-3</v>
      </c>
      <c r="E208" s="680">
        <v>4735172</v>
      </c>
      <c r="F208" s="651">
        <v>203906417</v>
      </c>
      <c r="G208" s="652">
        <v>167007178</v>
      </c>
      <c r="H208" s="652">
        <v>0</v>
      </c>
      <c r="I208" s="652">
        <v>0</v>
      </c>
      <c r="J208" s="652">
        <v>0</v>
      </c>
      <c r="K208" s="652">
        <v>14654825</v>
      </c>
      <c r="L208" s="652">
        <f t="shared" si="9"/>
        <v>14654825</v>
      </c>
      <c r="M208" s="652"/>
      <c r="N208" s="652">
        <v>11974722</v>
      </c>
      <c r="O208" s="652">
        <v>62067</v>
      </c>
      <c r="P208" s="652">
        <v>45993014</v>
      </c>
      <c r="Q208" s="652">
        <v>0</v>
      </c>
      <c r="R208" s="652">
        <f t="shared" si="10"/>
        <v>58029803</v>
      </c>
      <c r="S208" s="652"/>
      <c r="T208" s="652">
        <f t="shared" si="11"/>
        <v>8279948</v>
      </c>
      <c r="U208" s="652">
        <v>2930963</v>
      </c>
      <c r="V208" s="652">
        <v>11210911</v>
      </c>
      <c r="W208" s="654"/>
      <c r="X208" s="654"/>
      <c r="Y208" s="654"/>
      <c r="Z208" s="654"/>
      <c r="AA208" s="654"/>
      <c r="AB208" s="654"/>
      <c r="AC208" s="654"/>
      <c r="AD208" s="654"/>
      <c r="AE208" s="655"/>
      <c r="AF208" s="655"/>
      <c r="AG208" s="655"/>
      <c r="AH208" s="655"/>
      <c r="AI208" s="655"/>
      <c r="AJ208" s="655"/>
      <c r="AK208" s="655"/>
      <c r="AL208" s="655"/>
    </row>
    <row r="209" spans="1:38" hidden="1" x14ac:dyDescent="0.25">
      <c r="A209" s="653">
        <v>36405</v>
      </c>
      <c r="B209" s="651" t="s">
        <v>1422</v>
      </c>
      <c r="C209" s="675">
        <v>7.9699999999999997E-4</v>
      </c>
      <c r="D209" s="675">
        <v>7.8700000000000005E-4</v>
      </c>
      <c r="E209" s="680">
        <v>776403</v>
      </c>
      <c r="F209" s="651">
        <v>34676532</v>
      </c>
      <c r="G209" s="652">
        <v>25818414</v>
      </c>
      <c r="H209" s="652">
        <v>0</v>
      </c>
      <c r="I209" s="652">
        <v>0</v>
      </c>
      <c r="J209" s="652">
        <v>0</v>
      </c>
      <c r="K209" s="652">
        <v>0</v>
      </c>
      <c r="L209" s="652">
        <f t="shared" si="9"/>
        <v>0</v>
      </c>
      <c r="M209" s="652"/>
      <c r="N209" s="652">
        <v>1851228</v>
      </c>
      <c r="O209" s="652">
        <v>9595</v>
      </c>
      <c r="P209" s="652">
        <v>7110273</v>
      </c>
      <c r="Q209" s="652">
        <v>325545</v>
      </c>
      <c r="R209" s="652">
        <f t="shared" si="10"/>
        <v>9296641</v>
      </c>
      <c r="S209" s="652"/>
      <c r="T209" s="652">
        <f t="shared" si="11"/>
        <v>1280036</v>
      </c>
      <c r="U209" s="652">
        <v>-65110</v>
      </c>
      <c r="V209" s="652">
        <v>1214926</v>
      </c>
      <c r="W209" s="654"/>
      <c r="X209" s="654"/>
      <c r="Y209" s="654"/>
      <c r="Z209" s="654"/>
      <c r="AA209" s="654"/>
      <c r="AB209" s="654"/>
      <c r="AC209" s="654"/>
      <c r="AD209" s="654"/>
      <c r="AE209" s="655"/>
      <c r="AF209" s="655"/>
      <c r="AG209" s="655"/>
      <c r="AH209" s="655"/>
      <c r="AI209" s="655"/>
      <c r="AJ209" s="655"/>
      <c r="AK209" s="655"/>
      <c r="AL209" s="655"/>
    </row>
    <row r="210" spans="1:38" hidden="1" x14ac:dyDescent="0.25">
      <c r="A210" s="653">
        <v>36500</v>
      </c>
      <c r="B210" s="651" t="s">
        <v>1423</v>
      </c>
      <c r="C210" s="675">
        <v>9.2599999999999991E-3</v>
      </c>
      <c r="D210" s="675">
        <v>9.8580000000000004E-3</v>
      </c>
      <c r="E210" s="680">
        <v>8751384</v>
      </c>
      <c r="F210" s="651">
        <v>402845548</v>
      </c>
      <c r="G210" s="652">
        <v>323208169</v>
      </c>
      <c r="H210" s="652">
        <v>0</v>
      </c>
      <c r="I210" s="652">
        <v>0</v>
      </c>
      <c r="J210" s="652">
        <v>0</v>
      </c>
      <c r="K210" s="652">
        <v>21162215</v>
      </c>
      <c r="L210" s="652">
        <f t="shared" si="9"/>
        <v>21162215</v>
      </c>
      <c r="M210" s="652"/>
      <c r="N210" s="652">
        <v>23174620</v>
      </c>
      <c r="O210" s="652">
        <v>120118</v>
      </c>
      <c r="P210" s="652">
        <v>89010054</v>
      </c>
      <c r="Q210" s="652">
        <v>0</v>
      </c>
      <c r="R210" s="652">
        <f t="shared" si="10"/>
        <v>112304792</v>
      </c>
      <c r="S210" s="652"/>
      <c r="T210" s="652">
        <f t="shared" si="11"/>
        <v>16024142</v>
      </c>
      <c r="U210" s="652">
        <v>4232440</v>
      </c>
      <c r="V210" s="652">
        <v>20256582</v>
      </c>
      <c r="W210" s="654"/>
      <c r="X210" s="654"/>
      <c r="Y210" s="654"/>
      <c r="Z210" s="654"/>
      <c r="AA210" s="654"/>
      <c r="AB210" s="654"/>
      <c r="AC210" s="654"/>
      <c r="AD210" s="654"/>
      <c r="AE210" s="655"/>
      <c r="AF210" s="655"/>
      <c r="AG210" s="655"/>
      <c r="AH210" s="655"/>
      <c r="AI210" s="655"/>
      <c r="AJ210" s="655"/>
      <c r="AK210" s="655"/>
      <c r="AL210" s="655"/>
    </row>
    <row r="211" spans="1:38" hidden="1" x14ac:dyDescent="0.25">
      <c r="A211" s="653">
        <v>36501</v>
      </c>
      <c r="B211" s="651" t="s">
        <v>1424</v>
      </c>
      <c r="C211" s="675">
        <v>1.11E-4</v>
      </c>
      <c r="D211" s="675">
        <v>1.22E-4</v>
      </c>
      <c r="E211" s="680">
        <v>99615</v>
      </c>
      <c r="F211" s="651">
        <v>4814574</v>
      </c>
      <c r="G211" s="652">
        <v>4013507</v>
      </c>
      <c r="H211" s="652">
        <v>0</v>
      </c>
      <c r="I211" s="652">
        <v>0</v>
      </c>
      <c r="J211" s="652">
        <v>0</v>
      </c>
      <c r="K211" s="652">
        <v>411780</v>
      </c>
      <c r="L211" s="652">
        <f t="shared" si="9"/>
        <v>411780</v>
      </c>
      <c r="M211" s="652"/>
      <c r="N211" s="652">
        <v>287776</v>
      </c>
      <c r="O211" s="652">
        <v>1492</v>
      </c>
      <c r="P211" s="652">
        <v>1105301</v>
      </c>
      <c r="Q211" s="652">
        <v>0</v>
      </c>
      <c r="R211" s="652">
        <f t="shared" si="10"/>
        <v>1394569</v>
      </c>
      <c r="S211" s="652"/>
      <c r="T211" s="652">
        <f t="shared" si="11"/>
        <v>198983</v>
      </c>
      <c r="U211" s="652">
        <v>82354</v>
      </c>
      <c r="V211" s="652">
        <v>281337</v>
      </c>
      <c r="W211" s="654"/>
      <c r="X211" s="654"/>
      <c r="Y211" s="654"/>
      <c r="Z211" s="654"/>
      <c r="AA211" s="654"/>
      <c r="AB211" s="654"/>
      <c r="AC211" s="654"/>
      <c r="AD211" s="654"/>
      <c r="AE211" s="655"/>
      <c r="AF211" s="655"/>
      <c r="AG211" s="655"/>
      <c r="AH211" s="655"/>
      <c r="AI211" s="655"/>
      <c r="AJ211" s="655"/>
      <c r="AK211" s="655"/>
      <c r="AL211" s="655"/>
    </row>
    <row r="212" spans="1:38" hidden="1" x14ac:dyDescent="0.25">
      <c r="A212" s="653">
        <v>36502</v>
      </c>
      <c r="B212" s="651" t="s">
        <v>1425</v>
      </c>
      <c r="C212" s="675">
        <v>4.6E-5</v>
      </c>
      <c r="D212" s="675">
        <v>4.5000000000000003E-5</v>
      </c>
      <c r="E212" s="680">
        <v>35651</v>
      </c>
      <c r="F212" s="651">
        <v>1987185</v>
      </c>
      <c r="G212" s="652">
        <v>1474358</v>
      </c>
      <c r="H212" s="652">
        <v>0</v>
      </c>
      <c r="I212" s="652">
        <v>0</v>
      </c>
      <c r="J212" s="652">
        <v>0</v>
      </c>
      <c r="K212" s="652">
        <v>0</v>
      </c>
      <c r="L212" s="652">
        <f t="shared" si="9"/>
        <v>0</v>
      </c>
      <c r="M212" s="652"/>
      <c r="N212" s="652">
        <v>105714</v>
      </c>
      <c r="O212" s="652">
        <v>548</v>
      </c>
      <c r="P212" s="652">
        <v>406032</v>
      </c>
      <c r="Q212" s="652">
        <v>31650</v>
      </c>
      <c r="R212" s="652">
        <f t="shared" si="10"/>
        <v>543944</v>
      </c>
      <c r="S212" s="652"/>
      <c r="T212" s="652">
        <f t="shared" si="11"/>
        <v>73096</v>
      </c>
      <c r="U212" s="652">
        <v>-6329</v>
      </c>
      <c r="V212" s="652">
        <v>66767</v>
      </c>
      <c r="W212" s="654"/>
      <c r="X212" s="654"/>
      <c r="Y212" s="654"/>
      <c r="Z212" s="654"/>
      <c r="AA212" s="654"/>
      <c r="AB212" s="654"/>
      <c r="AC212" s="654"/>
      <c r="AD212" s="654"/>
      <c r="AE212" s="655"/>
      <c r="AF212" s="655"/>
      <c r="AG212" s="655"/>
      <c r="AH212" s="655"/>
      <c r="AI212" s="655"/>
      <c r="AJ212" s="655"/>
      <c r="AK212" s="655"/>
      <c r="AL212" s="655"/>
    </row>
    <row r="213" spans="1:38" hidden="1" x14ac:dyDescent="0.25">
      <c r="A213" s="653">
        <v>36505</v>
      </c>
      <c r="B213" s="651" t="s">
        <v>1426</v>
      </c>
      <c r="C213" s="675">
        <v>1.848E-3</v>
      </c>
      <c r="D213" s="675">
        <v>1.8630000000000001E-3</v>
      </c>
      <c r="E213" s="680">
        <v>1883701</v>
      </c>
      <c r="F213" s="651">
        <v>80392931</v>
      </c>
      <c r="G213" s="652">
        <v>61085621</v>
      </c>
      <c r="H213" s="652">
        <v>0</v>
      </c>
      <c r="I213" s="652">
        <v>0</v>
      </c>
      <c r="J213" s="652">
        <v>0</v>
      </c>
      <c r="K213" s="652">
        <v>644350</v>
      </c>
      <c r="L213" s="652">
        <f t="shared" si="9"/>
        <v>644350</v>
      </c>
      <c r="M213" s="652"/>
      <c r="N213" s="652">
        <v>4379951</v>
      </c>
      <c r="O213" s="652">
        <v>22702</v>
      </c>
      <c r="P213" s="652">
        <v>16822701</v>
      </c>
      <c r="Q213" s="652">
        <v>0</v>
      </c>
      <c r="R213" s="652">
        <f t="shared" si="10"/>
        <v>21225354</v>
      </c>
      <c r="S213" s="652"/>
      <c r="T213" s="652">
        <f t="shared" si="11"/>
        <v>3028527</v>
      </c>
      <c r="U213" s="652">
        <v>128868</v>
      </c>
      <c r="V213" s="652">
        <v>3157395</v>
      </c>
      <c r="W213" s="654"/>
      <c r="X213" s="654"/>
      <c r="Y213" s="654"/>
      <c r="Z213" s="654"/>
      <c r="AA213" s="654"/>
      <c r="AB213" s="654"/>
      <c r="AC213" s="654"/>
      <c r="AD213" s="654"/>
      <c r="AE213" s="655"/>
      <c r="AF213" s="655"/>
      <c r="AG213" s="655"/>
      <c r="AH213" s="655"/>
      <c r="AI213" s="655"/>
      <c r="AJ213" s="655"/>
      <c r="AK213" s="655"/>
      <c r="AL213" s="655"/>
    </row>
    <row r="214" spans="1:38" hidden="1" x14ac:dyDescent="0.25">
      <c r="A214" s="653">
        <v>36600</v>
      </c>
      <c r="B214" s="651" t="s">
        <v>1427</v>
      </c>
      <c r="C214" s="675">
        <v>6.8400000000000004E-4</v>
      </c>
      <c r="D214" s="675">
        <v>6.8800000000000003E-4</v>
      </c>
      <c r="E214" s="680">
        <v>721986</v>
      </c>
      <c r="F214" s="651">
        <v>29757165</v>
      </c>
      <c r="G214" s="652">
        <v>22572008</v>
      </c>
      <c r="H214" s="652">
        <v>0</v>
      </c>
      <c r="I214" s="652">
        <v>0</v>
      </c>
      <c r="J214" s="652">
        <v>0</v>
      </c>
      <c r="K214" s="652">
        <v>217350</v>
      </c>
      <c r="L214" s="652">
        <f t="shared" si="9"/>
        <v>217350</v>
      </c>
      <c r="M214" s="652"/>
      <c r="N214" s="652">
        <v>1618455</v>
      </c>
      <c r="O214" s="652">
        <v>8389</v>
      </c>
      <c r="P214" s="652">
        <v>6216228</v>
      </c>
      <c r="Q214" s="652">
        <v>0</v>
      </c>
      <c r="R214" s="652">
        <f t="shared" si="10"/>
        <v>7843072</v>
      </c>
      <c r="S214" s="652"/>
      <c r="T214" s="652">
        <f t="shared" si="11"/>
        <v>1119084</v>
      </c>
      <c r="U214" s="652">
        <v>43466</v>
      </c>
      <c r="V214" s="652">
        <v>1162550</v>
      </c>
      <c r="W214" s="654"/>
      <c r="X214" s="654"/>
      <c r="Y214" s="654"/>
      <c r="Z214" s="654"/>
      <c r="AA214" s="654"/>
      <c r="AB214" s="654"/>
      <c r="AC214" s="654"/>
      <c r="AD214" s="654"/>
      <c r="AE214" s="655"/>
      <c r="AF214" s="655"/>
      <c r="AG214" s="655"/>
      <c r="AH214" s="655"/>
      <c r="AI214" s="655"/>
      <c r="AJ214" s="655"/>
      <c r="AK214" s="655"/>
      <c r="AL214" s="655"/>
    </row>
    <row r="215" spans="1:38" hidden="1" x14ac:dyDescent="0.25">
      <c r="A215" s="653">
        <v>36601</v>
      </c>
      <c r="B215" s="651" t="s">
        <v>1428</v>
      </c>
      <c r="C215" s="675">
        <v>3.68E-4</v>
      </c>
      <c r="D215" s="675">
        <v>4.2200000000000001E-4</v>
      </c>
      <c r="E215" s="680">
        <v>308648</v>
      </c>
      <c r="F215" s="651">
        <v>15994396</v>
      </c>
      <c r="G215" s="652">
        <v>13832668</v>
      </c>
      <c r="H215" s="652">
        <v>0</v>
      </c>
      <c r="I215" s="652">
        <v>0</v>
      </c>
      <c r="J215" s="652">
        <v>0</v>
      </c>
      <c r="K215" s="652">
        <v>1889620</v>
      </c>
      <c r="L215" s="652">
        <f t="shared" si="9"/>
        <v>1889620</v>
      </c>
      <c r="M215" s="652"/>
      <c r="N215" s="652">
        <v>991828</v>
      </c>
      <c r="O215" s="652">
        <v>5141</v>
      </c>
      <c r="P215" s="652">
        <v>3809454</v>
      </c>
      <c r="Q215" s="652">
        <v>0</v>
      </c>
      <c r="R215" s="652">
        <f t="shared" si="10"/>
        <v>4806423</v>
      </c>
      <c r="S215" s="652"/>
      <c r="T215" s="652">
        <f t="shared" si="11"/>
        <v>685801</v>
      </c>
      <c r="U215" s="652">
        <v>377921</v>
      </c>
      <c r="V215" s="652">
        <v>1063722</v>
      </c>
      <c r="W215" s="654"/>
      <c r="X215" s="654"/>
      <c r="Y215" s="654"/>
      <c r="Z215" s="654"/>
      <c r="AA215" s="654"/>
      <c r="AB215" s="654"/>
      <c r="AC215" s="654"/>
      <c r="AD215" s="654"/>
      <c r="AE215" s="655"/>
      <c r="AF215" s="655"/>
      <c r="AG215" s="655"/>
      <c r="AH215" s="655"/>
      <c r="AI215" s="655"/>
      <c r="AJ215" s="655"/>
      <c r="AK215" s="655"/>
      <c r="AL215" s="655"/>
    </row>
    <row r="216" spans="1:38" hidden="1" x14ac:dyDescent="0.25">
      <c r="A216" s="653">
        <v>36700</v>
      </c>
      <c r="B216" s="651" t="s">
        <v>1429</v>
      </c>
      <c r="C216" s="675">
        <v>8.0040000000000007E-3</v>
      </c>
      <c r="D216" s="675">
        <v>8.3160000000000005E-3</v>
      </c>
      <c r="E216" s="680">
        <v>7264276</v>
      </c>
      <c r="F216" s="651">
        <v>348199277</v>
      </c>
      <c r="G216" s="652">
        <v>272637438</v>
      </c>
      <c r="H216" s="652">
        <v>0</v>
      </c>
      <c r="I216" s="652">
        <v>0</v>
      </c>
      <c r="J216" s="652">
        <v>0</v>
      </c>
      <c r="K216" s="652">
        <v>10765455</v>
      </c>
      <c r="L216" s="652">
        <f t="shared" si="9"/>
        <v>10765455</v>
      </c>
      <c r="M216" s="652"/>
      <c r="N216" s="652">
        <v>19548606</v>
      </c>
      <c r="O216" s="652">
        <v>101324</v>
      </c>
      <c r="P216" s="652">
        <v>75083106</v>
      </c>
      <c r="Q216" s="652">
        <v>0</v>
      </c>
      <c r="R216" s="652">
        <f t="shared" si="10"/>
        <v>94733036</v>
      </c>
      <c r="S216" s="652"/>
      <c r="T216" s="652">
        <f t="shared" si="11"/>
        <v>13516927</v>
      </c>
      <c r="U216" s="652">
        <v>2153091</v>
      </c>
      <c r="V216" s="652">
        <v>15670018</v>
      </c>
      <c r="W216" s="654"/>
      <c r="X216" s="654"/>
      <c r="Y216" s="654"/>
      <c r="Z216" s="654"/>
      <c r="AA216" s="654"/>
      <c r="AB216" s="654"/>
      <c r="AC216" s="654"/>
      <c r="AD216" s="654"/>
      <c r="AE216" s="655"/>
      <c r="AF216" s="655"/>
      <c r="AG216" s="655"/>
      <c r="AH216" s="655"/>
      <c r="AI216" s="655"/>
      <c r="AJ216" s="655"/>
      <c r="AK216" s="655"/>
      <c r="AL216" s="655"/>
    </row>
    <row r="217" spans="1:38" hidden="1" x14ac:dyDescent="0.25">
      <c r="A217" s="653">
        <v>36701</v>
      </c>
      <c r="B217" s="651" t="s">
        <v>1430</v>
      </c>
      <c r="C217" s="675">
        <v>4.1E-5</v>
      </c>
      <c r="D217" s="675">
        <v>3.1000000000000001E-5</v>
      </c>
      <c r="E217" s="680">
        <v>20124</v>
      </c>
      <c r="F217" s="651">
        <v>1784336</v>
      </c>
      <c r="G217" s="652">
        <v>1019833</v>
      </c>
      <c r="H217" s="652">
        <v>0</v>
      </c>
      <c r="I217" s="652">
        <v>0</v>
      </c>
      <c r="J217" s="652">
        <v>0</v>
      </c>
      <c r="K217" s="652">
        <v>0</v>
      </c>
      <c r="L217" s="652">
        <f t="shared" si="9"/>
        <v>0</v>
      </c>
      <c r="M217" s="652"/>
      <c r="N217" s="652">
        <v>73124</v>
      </c>
      <c r="O217" s="652">
        <v>379</v>
      </c>
      <c r="P217" s="652">
        <v>280857</v>
      </c>
      <c r="Q217" s="652">
        <v>367150</v>
      </c>
      <c r="R217" s="652">
        <f t="shared" si="10"/>
        <v>721510</v>
      </c>
      <c r="S217" s="652"/>
      <c r="T217" s="652">
        <f t="shared" si="11"/>
        <v>50562</v>
      </c>
      <c r="U217" s="652">
        <v>-73430</v>
      </c>
      <c r="V217" s="652">
        <v>-22868</v>
      </c>
      <c r="W217" s="654"/>
      <c r="X217" s="654"/>
      <c r="Y217" s="654"/>
      <c r="Z217" s="654"/>
      <c r="AA217" s="654"/>
      <c r="AB217" s="654"/>
      <c r="AC217" s="654"/>
      <c r="AD217" s="654"/>
      <c r="AE217" s="655"/>
      <c r="AF217" s="655"/>
      <c r="AG217" s="655"/>
      <c r="AH217" s="655"/>
      <c r="AI217" s="655"/>
      <c r="AJ217" s="655"/>
      <c r="AK217" s="655"/>
      <c r="AL217" s="655"/>
    </row>
    <row r="218" spans="1:38" hidden="1" x14ac:dyDescent="0.25">
      <c r="A218" s="653">
        <v>36705</v>
      </c>
      <c r="B218" s="651" t="s">
        <v>1431</v>
      </c>
      <c r="C218" s="675">
        <v>9.3000000000000005E-4</v>
      </c>
      <c r="D218" s="675">
        <v>8.9400000000000005E-4</v>
      </c>
      <c r="E218" s="680">
        <v>922102</v>
      </c>
      <c r="F218" s="651">
        <v>40455042</v>
      </c>
      <c r="G218" s="652">
        <v>29319165</v>
      </c>
      <c r="H218" s="652">
        <v>0</v>
      </c>
      <c r="I218" s="652">
        <v>0</v>
      </c>
      <c r="J218" s="652">
        <v>0</v>
      </c>
      <c r="K218" s="652">
        <v>0</v>
      </c>
      <c r="L218" s="652">
        <f t="shared" si="9"/>
        <v>0</v>
      </c>
      <c r="M218" s="652"/>
      <c r="N218" s="652">
        <v>2102238</v>
      </c>
      <c r="O218" s="652">
        <v>10896</v>
      </c>
      <c r="P218" s="652">
        <v>8074364</v>
      </c>
      <c r="Q218" s="652">
        <v>1233225</v>
      </c>
      <c r="R218" s="652">
        <f t="shared" si="10"/>
        <v>11420723</v>
      </c>
      <c r="S218" s="652"/>
      <c r="T218" s="652">
        <f t="shared" si="11"/>
        <v>1453597</v>
      </c>
      <c r="U218" s="652">
        <v>-246648</v>
      </c>
      <c r="V218" s="652">
        <v>1206949</v>
      </c>
      <c r="W218" s="654"/>
      <c r="X218" s="654"/>
      <c r="Y218" s="654"/>
      <c r="Z218" s="654"/>
      <c r="AA218" s="654"/>
      <c r="AB218" s="654"/>
      <c r="AC218" s="654"/>
      <c r="AD218" s="654"/>
      <c r="AE218" s="655"/>
      <c r="AF218" s="655"/>
      <c r="AG218" s="655"/>
      <c r="AH218" s="655"/>
      <c r="AI218" s="655"/>
      <c r="AJ218" s="655"/>
      <c r="AK218" s="655"/>
      <c r="AL218" s="655"/>
    </row>
    <row r="219" spans="1:38" hidden="1" x14ac:dyDescent="0.25">
      <c r="A219" s="653">
        <v>36800</v>
      </c>
      <c r="B219" s="651" t="s">
        <v>1432</v>
      </c>
      <c r="C219" s="675">
        <v>3.029E-3</v>
      </c>
      <c r="D219" s="675">
        <v>3.2039999999999998E-3</v>
      </c>
      <c r="E219" s="680">
        <v>2920222</v>
      </c>
      <c r="F219" s="651">
        <v>131770855</v>
      </c>
      <c r="G219" s="652">
        <v>105035373</v>
      </c>
      <c r="H219" s="652">
        <v>0</v>
      </c>
      <c r="I219" s="652">
        <v>0</v>
      </c>
      <c r="J219" s="652">
        <v>0</v>
      </c>
      <c r="K219" s="652">
        <v>6228150</v>
      </c>
      <c r="L219" s="652">
        <f t="shared" si="9"/>
        <v>6228150</v>
      </c>
      <c r="M219" s="652"/>
      <c r="N219" s="652">
        <v>7531229</v>
      </c>
      <c r="O219" s="652">
        <v>39036</v>
      </c>
      <c r="P219" s="652">
        <v>28926262</v>
      </c>
      <c r="Q219" s="652">
        <v>0</v>
      </c>
      <c r="R219" s="652">
        <f t="shared" si="10"/>
        <v>36496527</v>
      </c>
      <c r="S219" s="652"/>
      <c r="T219" s="652">
        <f t="shared" si="11"/>
        <v>5207485</v>
      </c>
      <c r="U219" s="652">
        <v>1245632</v>
      </c>
      <c r="V219" s="652">
        <v>6453117</v>
      </c>
      <c r="W219" s="654"/>
      <c r="X219" s="654"/>
      <c r="Y219" s="654"/>
      <c r="Z219" s="654"/>
      <c r="AA219" s="654"/>
      <c r="AB219" s="654"/>
      <c r="AC219" s="654"/>
      <c r="AD219" s="654"/>
      <c r="AE219" s="655"/>
      <c r="AF219" s="655"/>
      <c r="AG219" s="655"/>
      <c r="AH219" s="655"/>
      <c r="AI219" s="655"/>
      <c r="AJ219" s="655"/>
      <c r="AK219" s="655"/>
      <c r="AL219" s="655"/>
    </row>
    <row r="220" spans="1:38" hidden="1" x14ac:dyDescent="0.25">
      <c r="A220" s="653">
        <v>36802</v>
      </c>
      <c r="B220" s="651" t="s">
        <v>1433</v>
      </c>
      <c r="C220" s="675">
        <v>8.1000000000000004E-5</v>
      </c>
      <c r="D220" s="675">
        <v>1.13E-4</v>
      </c>
      <c r="E220" s="680">
        <v>81062</v>
      </c>
      <c r="F220" s="651">
        <v>3534391</v>
      </c>
      <c r="G220" s="652">
        <v>3711483</v>
      </c>
      <c r="H220" s="652">
        <v>0</v>
      </c>
      <c r="I220" s="652">
        <v>0</v>
      </c>
      <c r="J220" s="652">
        <v>0</v>
      </c>
      <c r="K220" s="652">
        <v>1136475</v>
      </c>
      <c r="L220" s="652">
        <f t="shared" si="9"/>
        <v>1136475</v>
      </c>
      <c r="M220" s="652"/>
      <c r="N220" s="652">
        <v>266120</v>
      </c>
      <c r="O220" s="652">
        <v>1379</v>
      </c>
      <c r="P220" s="652">
        <v>1022126</v>
      </c>
      <c r="Q220" s="652">
        <v>0</v>
      </c>
      <c r="R220" s="652">
        <f t="shared" si="10"/>
        <v>1289625</v>
      </c>
      <c r="S220" s="652"/>
      <c r="T220" s="652">
        <f t="shared" si="11"/>
        <v>184009</v>
      </c>
      <c r="U220" s="652">
        <v>227295</v>
      </c>
      <c r="V220" s="652">
        <v>411304</v>
      </c>
      <c r="W220" s="654"/>
      <c r="X220" s="654"/>
      <c r="Y220" s="654"/>
      <c r="Z220" s="654"/>
      <c r="AA220" s="654"/>
      <c r="AB220" s="654"/>
      <c r="AC220" s="654"/>
      <c r="AD220" s="654"/>
      <c r="AE220" s="655"/>
      <c r="AF220" s="655"/>
      <c r="AG220" s="655"/>
      <c r="AH220" s="655"/>
      <c r="AI220" s="655"/>
      <c r="AJ220" s="655"/>
      <c r="AK220" s="655"/>
      <c r="AL220" s="655"/>
    </row>
    <row r="221" spans="1:38" hidden="1" x14ac:dyDescent="0.25">
      <c r="A221" s="653">
        <v>36810</v>
      </c>
      <c r="B221" s="651" t="s">
        <v>1434</v>
      </c>
      <c r="C221" s="675">
        <v>5.927E-3</v>
      </c>
      <c r="D221" s="675">
        <v>6.0689999999999997E-3</v>
      </c>
      <c r="E221" s="680">
        <v>5227879</v>
      </c>
      <c r="F221" s="651">
        <v>257834844</v>
      </c>
      <c r="G221" s="652">
        <v>198969592</v>
      </c>
      <c r="H221" s="652">
        <v>0</v>
      </c>
      <c r="I221" s="652">
        <v>0</v>
      </c>
      <c r="J221" s="652">
        <v>0</v>
      </c>
      <c r="K221" s="652">
        <v>4694820</v>
      </c>
      <c r="L221" s="652">
        <f t="shared" si="9"/>
        <v>4694820</v>
      </c>
      <c r="M221" s="652"/>
      <c r="N221" s="652">
        <v>14266486</v>
      </c>
      <c r="O221" s="652">
        <v>73946</v>
      </c>
      <c r="P221" s="652">
        <v>54795317</v>
      </c>
      <c r="Q221" s="652">
        <v>0</v>
      </c>
      <c r="R221" s="652">
        <f t="shared" si="10"/>
        <v>69135749</v>
      </c>
      <c r="S221" s="652"/>
      <c r="T221" s="652">
        <f t="shared" si="11"/>
        <v>9864593</v>
      </c>
      <c r="U221" s="652">
        <v>938963</v>
      </c>
      <c r="V221" s="652">
        <v>10803556</v>
      </c>
      <c r="W221" s="654"/>
      <c r="X221" s="654"/>
      <c r="Y221" s="654"/>
      <c r="Z221" s="654"/>
      <c r="AA221" s="654"/>
      <c r="AB221" s="654"/>
      <c r="AC221" s="654"/>
      <c r="AD221" s="654"/>
      <c r="AE221" s="655"/>
      <c r="AF221" s="655"/>
      <c r="AG221" s="655"/>
      <c r="AH221" s="655"/>
      <c r="AI221" s="655"/>
      <c r="AJ221" s="655"/>
      <c r="AK221" s="655"/>
      <c r="AL221" s="655"/>
    </row>
    <row r="222" spans="1:38" hidden="1" x14ac:dyDescent="0.25">
      <c r="A222" s="653">
        <v>36900</v>
      </c>
      <c r="B222" s="651" t="s">
        <v>1435</v>
      </c>
      <c r="C222" s="675">
        <v>5.6599999999999999E-4</v>
      </c>
      <c r="D222" s="675">
        <v>5.9199999999999997E-4</v>
      </c>
      <c r="E222" s="680">
        <v>538214</v>
      </c>
      <c r="F222" s="651">
        <v>24615575</v>
      </c>
      <c r="G222" s="652">
        <v>19425969</v>
      </c>
      <c r="H222" s="652">
        <v>0</v>
      </c>
      <c r="I222" s="652">
        <v>0</v>
      </c>
      <c r="J222" s="652">
        <v>0</v>
      </c>
      <c r="K222" s="652">
        <v>946180</v>
      </c>
      <c r="L222" s="652">
        <f t="shared" si="9"/>
        <v>946180</v>
      </c>
      <c r="M222" s="652"/>
      <c r="N222" s="652">
        <v>1392878</v>
      </c>
      <c r="O222" s="652">
        <v>7220</v>
      </c>
      <c r="P222" s="652">
        <v>5349823</v>
      </c>
      <c r="Q222" s="652">
        <v>0</v>
      </c>
      <c r="R222" s="652">
        <f t="shared" si="10"/>
        <v>6749921</v>
      </c>
      <c r="S222" s="652"/>
      <c r="T222" s="652">
        <f t="shared" si="11"/>
        <v>963108</v>
      </c>
      <c r="U222" s="652">
        <v>189240</v>
      </c>
      <c r="V222" s="652">
        <v>1152348</v>
      </c>
      <c r="W222" s="654"/>
      <c r="X222" s="654"/>
      <c r="Y222" s="654"/>
      <c r="Z222" s="654"/>
      <c r="AA222" s="654"/>
      <c r="AB222" s="654"/>
      <c r="AC222" s="654"/>
      <c r="AD222" s="654"/>
      <c r="AE222" s="655"/>
      <c r="AF222" s="655"/>
      <c r="AG222" s="655"/>
      <c r="AH222" s="655"/>
      <c r="AI222" s="655"/>
      <c r="AJ222" s="655"/>
      <c r="AK222" s="655"/>
      <c r="AL222" s="655"/>
    </row>
    <row r="223" spans="1:38" hidden="1" x14ac:dyDescent="0.25">
      <c r="A223" s="653">
        <v>36901</v>
      </c>
      <c r="B223" s="651" t="s">
        <v>1436</v>
      </c>
      <c r="C223" s="675">
        <v>1.85E-4</v>
      </c>
      <c r="D223" s="675">
        <v>2.02E-4</v>
      </c>
      <c r="E223" s="680">
        <v>184430</v>
      </c>
      <c r="F223" s="651">
        <v>8055548</v>
      </c>
      <c r="G223" s="652">
        <v>6611339</v>
      </c>
      <c r="H223" s="652">
        <v>0</v>
      </c>
      <c r="I223" s="652">
        <v>0</v>
      </c>
      <c r="J223" s="652">
        <v>0</v>
      </c>
      <c r="K223" s="652">
        <v>591395</v>
      </c>
      <c r="L223" s="652">
        <f t="shared" si="9"/>
        <v>591395</v>
      </c>
      <c r="M223" s="652"/>
      <c r="N223" s="652">
        <v>474045</v>
      </c>
      <c r="O223" s="652">
        <v>2457</v>
      </c>
      <c r="P223" s="652">
        <v>1820732</v>
      </c>
      <c r="Q223" s="652">
        <v>0</v>
      </c>
      <c r="R223" s="652">
        <f t="shared" si="10"/>
        <v>2297234</v>
      </c>
      <c r="S223" s="652"/>
      <c r="T223" s="652">
        <f t="shared" si="11"/>
        <v>327780</v>
      </c>
      <c r="U223" s="652">
        <v>118281</v>
      </c>
      <c r="V223" s="652">
        <v>446061</v>
      </c>
      <c r="W223" s="654"/>
      <c r="X223" s="654"/>
      <c r="Y223" s="654"/>
      <c r="Z223" s="654"/>
      <c r="AA223" s="654"/>
      <c r="AB223" s="654"/>
      <c r="AC223" s="654"/>
      <c r="AD223" s="654"/>
      <c r="AE223" s="655"/>
      <c r="AF223" s="655"/>
      <c r="AG223" s="655"/>
      <c r="AH223" s="655"/>
      <c r="AI223" s="655"/>
      <c r="AJ223" s="655"/>
      <c r="AK223" s="655"/>
      <c r="AL223" s="655"/>
    </row>
    <row r="224" spans="1:38" hidden="1" x14ac:dyDescent="0.25">
      <c r="A224" s="653">
        <v>36905</v>
      </c>
      <c r="B224" s="651" t="s">
        <v>1437</v>
      </c>
      <c r="C224" s="675">
        <v>1.7000000000000001E-4</v>
      </c>
      <c r="D224" s="675">
        <v>1.83E-4</v>
      </c>
      <c r="E224" s="680">
        <v>207667</v>
      </c>
      <c r="F224" s="651">
        <v>7373545</v>
      </c>
      <c r="G224" s="652">
        <v>6003119</v>
      </c>
      <c r="H224" s="652">
        <v>0</v>
      </c>
      <c r="I224" s="652">
        <v>0</v>
      </c>
      <c r="J224" s="652">
        <v>0</v>
      </c>
      <c r="K224" s="652">
        <v>521260</v>
      </c>
      <c r="L224" s="652">
        <f t="shared" si="9"/>
        <v>521260</v>
      </c>
      <c r="M224" s="652"/>
      <c r="N224" s="652">
        <v>430435</v>
      </c>
      <c r="O224" s="652">
        <v>2231</v>
      </c>
      <c r="P224" s="652">
        <v>1653232</v>
      </c>
      <c r="Q224" s="652">
        <v>0</v>
      </c>
      <c r="R224" s="652">
        <f t="shared" si="10"/>
        <v>2085898</v>
      </c>
      <c r="S224" s="652"/>
      <c r="T224" s="652">
        <f t="shared" si="11"/>
        <v>297625</v>
      </c>
      <c r="U224" s="652">
        <v>104253</v>
      </c>
      <c r="V224" s="652">
        <v>401878</v>
      </c>
      <c r="W224" s="654"/>
      <c r="X224" s="654"/>
      <c r="Y224" s="654"/>
      <c r="Z224" s="654"/>
      <c r="AA224" s="654"/>
      <c r="AB224" s="654"/>
      <c r="AC224" s="654"/>
      <c r="AD224" s="654"/>
      <c r="AE224" s="655"/>
      <c r="AF224" s="655"/>
      <c r="AG224" s="655"/>
      <c r="AH224" s="655"/>
      <c r="AI224" s="655"/>
      <c r="AJ224" s="655"/>
      <c r="AK224" s="655"/>
      <c r="AL224" s="655"/>
    </row>
    <row r="225" spans="1:38" hidden="1" x14ac:dyDescent="0.25">
      <c r="A225" s="653">
        <v>37000</v>
      </c>
      <c r="B225" s="651" t="s">
        <v>1438</v>
      </c>
      <c r="C225" s="675">
        <v>1.954E-3</v>
      </c>
      <c r="D225" s="675">
        <v>1.9689999999999998E-3</v>
      </c>
      <c r="E225" s="680">
        <v>1779708</v>
      </c>
      <c r="F225" s="651">
        <v>85007848</v>
      </c>
      <c r="G225" s="652">
        <v>64560874</v>
      </c>
      <c r="H225" s="652">
        <v>0</v>
      </c>
      <c r="I225" s="652">
        <v>0</v>
      </c>
      <c r="J225" s="652">
        <v>0</v>
      </c>
      <c r="K225" s="652">
        <v>470675</v>
      </c>
      <c r="L225" s="652">
        <f t="shared" si="9"/>
        <v>470675</v>
      </c>
      <c r="M225" s="652"/>
      <c r="N225" s="652">
        <v>4629133</v>
      </c>
      <c r="O225" s="652">
        <v>23994</v>
      </c>
      <c r="P225" s="652">
        <v>17779770</v>
      </c>
      <c r="Q225" s="652">
        <v>0</v>
      </c>
      <c r="R225" s="652">
        <f t="shared" si="10"/>
        <v>22432897</v>
      </c>
      <c r="S225" s="652"/>
      <c r="T225" s="652">
        <f t="shared" si="11"/>
        <v>3200824</v>
      </c>
      <c r="U225" s="652">
        <v>94132</v>
      </c>
      <c r="V225" s="652">
        <v>3294956</v>
      </c>
      <c r="W225" s="654"/>
      <c r="X225" s="654"/>
      <c r="Y225" s="654"/>
      <c r="Z225" s="654"/>
      <c r="AA225" s="654"/>
      <c r="AB225" s="654"/>
      <c r="AC225" s="654"/>
      <c r="AD225" s="654"/>
      <c r="AE225" s="655"/>
      <c r="AF225" s="655"/>
      <c r="AG225" s="655"/>
      <c r="AH225" s="655"/>
      <c r="AI225" s="655"/>
      <c r="AJ225" s="655"/>
      <c r="AK225" s="655"/>
      <c r="AL225" s="655"/>
    </row>
    <row r="226" spans="1:38" hidden="1" x14ac:dyDescent="0.25">
      <c r="A226" s="653">
        <v>37001</v>
      </c>
      <c r="B226" s="651" t="s">
        <v>1168</v>
      </c>
      <c r="C226" s="675">
        <v>3.1999999999999999E-5</v>
      </c>
      <c r="D226" s="675">
        <v>7.7000000000000001E-5</v>
      </c>
      <c r="E226" s="680">
        <v>59993</v>
      </c>
      <c r="F226" s="651">
        <v>1373143</v>
      </c>
      <c r="G226" s="652">
        <v>2539686</v>
      </c>
      <c r="H226" s="652">
        <v>0</v>
      </c>
      <c r="I226" s="652">
        <v>0</v>
      </c>
      <c r="J226" s="652">
        <v>0</v>
      </c>
      <c r="K226" s="652">
        <v>1652570</v>
      </c>
      <c r="L226" s="652">
        <f t="shared" si="9"/>
        <v>1652570</v>
      </c>
      <c r="M226" s="652"/>
      <c r="N226" s="652">
        <v>182100</v>
      </c>
      <c r="O226" s="652">
        <v>944</v>
      </c>
      <c r="P226" s="652">
        <v>699418</v>
      </c>
      <c r="Q226" s="652">
        <v>0</v>
      </c>
      <c r="R226" s="652">
        <f t="shared" si="10"/>
        <v>882462</v>
      </c>
      <c r="S226" s="652"/>
      <c r="T226" s="652">
        <f t="shared" si="11"/>
        <v>125914</v>
      </c>
      <c r="U226" s="652">
        <v>330514</v>
      </c>
      <c r="V226" s="652">
        <v>456428</v>
      </c>
      <c r="W226" s="654"/>
      <c r="X226" s="654"/>
      <c r="Y226" s="654"/>
      <c r="Z226" s="654"/>
      <c r="AA226" s="654"/>
      <c r="AB226" s="654"/>
      <c r="AC226" s="654"/>
      <c r="AD226" s="654"/>
      <c r="AE226" s="655"/>
      <c r="AF226" s="655"/>
      <c r="AG226" s="655"/>
      <c r="AH226" s="655"/>
      <c r="AI226" s="655"/>
      <c r="AJ226" s="655"/>
      <c r="AK226" s="655"/>
      <c r="AL226" s="655"/>
    </row>
    <row r="227" spans="1:38" hidden="1" x14ac:dyDescent="0.25">
      <c r="A227" s="653">
        <v>37005</v>
      </c>
      <c r="B227" s="651" t="s">
        <v>1439</v>
      </c>
      <c r="C227" s="675">
        <v>4.6000000000000001E-4</v>
      </c>
      <c r="D227" s="675">
        <v>4.44E-4</v>
      </c>
      <c r="E227" s="680">
        <v>491196</v>
      </c>
      <c r="F227" s="651">
        <v>19996483</v>
      </c>
      <c r="G227" s="652">
        <v>14559242</v>
      </c>
      <c r="H227" s="652">
        <v>0</v>
      </c>
      <c r="I227" s="652">
        <v>0</v>
      </c>
      <c r="J227" s="652">
        <v>0</v>
      </c>
      <c r="K227" s="652">
        <v>0</v>
      </c>
      <c r="L227" s="652">
        <f t="shared" si="9"/>
        <v>0</v>
      </c>
      <c r="M227" s="652"/>
      <c r="N227" s="652">
        <v>1043924</v>
      </c>
      <c r="O227" s="652">
        <v>5411</v>
      </c>
      <c r="P227" s="652">
        <v>4009549</v>
      </c>
      <c r="Q227" s="652">
        <v>507490</v>
      </c>
      <c r="R227" s="652">
        <f t="shared" si="10"/>
        <v>5566374</v>
      </c>
      <c r="S227" s="652"/>
      <c r="T227" s="652">
        <f t="shared" si="11"/>
        <v>721824</v>
      </c>
      <c r="U227" s="652">
        <v>-101495</v>
      </c>
      <c r="V227" s="652">
        <v>620329</v>
      </c>
      <c r="W227" s="654"/>
      <c r="X227" s="654"/>
      <c r="Y227" s="654"/>
      <c r="Z227" s="654"/>
      <c r="AA227" s="654"/>
      <c r="AB227" s="654"/>
      <c r="AC227" s="654"/>
      <c r="AD227" s="654"/>
      <c r="AE227" s="655"/>
      <c r="AF227" s="655"/>
      <c r="AG227" s="655"/>
      <c r="AH227" s="655"/>
      <c r="AI227" s="655"/>
      <c r="AJ227" s="655"/>
      <c r="AK227" s="655"/>
      <c r="AL227" s="655"/>
    </row>
    <row r="228" spans="1:38" hidden="1" x14ac:dyDescent="0.25">
      <c r="A228" s="653">
        <v>37100</v>
      </c>
      <c r="B228" s="651" t="s">
        <v>1440</v>
      </c>
      <c r="C228" s="675">
        <v>2.7550000000000001E-3</v>
      </c>
      <c r="D228" s="675">
        <v>2.9359999999999998E-3</v>
      </c>
      <c r="E228" s="680">
        <v>2556957</v>
      </c>
      <c r="F228" s="651">
        <v>119834946</v>
      </c>
      <c r="G228" s="652">
        <v>96270012</v>
      </c>
      <c r="H228" s="652">
        <v>0</v>
      </c>
      <c r="I228" s="652">
        <v>0</v>
      </c>
      <c r="J228" s="652">
        <v>0</v>
      </c>
      <c r="K228" s="652">
        <v>6391620</v>
      </c>
      <c r="L228" s="652">
        <f t="shared" si="9"/>
        <v>6391620</v>
      </c>
      <c r="M228" s="652"/>
      <c r="N228" s="652">
        <v>6902737</v>
      </c>
      <c r="O228" s="652">
        <v>35778</v>
      </c>
      <c r="P228" s="652">
        <v>26512322</v>
      </c>
      <c r="Q228" s="652">
        <v>0</v>
      </c>
      <c r="R228" s="652">
        <f t="shared" si="10"/>
        <v>33450837</v>
      </c>
      <c r="S228" s="652"/>
      <c r="T228" s="652">
        <f t="shared" si="11"/>
        <v>4772913</v>
      </c>
      <c r="U228" s="652">
        <v>1278327</v>
      </c>
      <c r="V228" s="652">
        <v>6051240</v>
      </c>
      <c r="W228" s="654"/>
      <c r="X228" s="654"/>
      <c r="Y228" s="654"/>
      <c r="Z228" s="654"/>
      <c r="AA228" s="654"/>
      <c r="AB228" s="654"/>
      <c r="AC228" s="654"/>
      <c r="AD228" s="654"/>
      <c r="AE228" s="655"/>
      <c r="AF228" s="655"/>
      <c r="AG228" s="655"/>
      <c r="AH228" s="655"/>
      <c r="AI228" s="655"/>
      <c r="AJ228" s="655"/>
      <c r="AK228" s="655"/>
      <c r="AL228" s="655"/>
    </row>
    <row r="229" spans="1:38" hidden="1" x14ac:dyDescent="0.25">
      <c r="A229" s="653">
        <v>37200</v>
      </c>
      <c r="B229" s="651" t="s">
        <v>1441</v>
      </c>
      <c r="C229" s="675">
        <v>6.2299999999999996E-4</v>
      </c>
      <c r="D229" s="675">
        <v>6.5899999999999997E-4</v>
      </c>
      <c r="E229" s="680">
        <v>591113</v>
      </c>
      <c r="F229" s="651">
        <v>27099122</v>
      </c>
      <c r="G229" s="652">
        <v>21608379</v>
      </c>
      <c r="H229" s="652">
        <v>0</v>
      </c>
      <c r="I229" s="652">
        <v>0</v>
      </c>
      <c r="J229" s="652">
        <v>0</v>
      </c>
      <c r="K229" s="652">
        <v>1281085</v>
      </c>
      <c r="L229" s="652">
        <f t="shared" si="9"/>
        <v>1281085</v>
      </c>
      <c r="M229" s="652"/>
      <c r="N229" s="652">
        <v>1549360</v>
      </c>
      <c r="O229" s="652">
        <v>8031</v>
      </c>
      <c r="P229" s="652">
        <v>5950849</v>
      </c>
      <c r="Q229" s="652">
        <v>0</v>
      </c>
      <c r="R229" s="652">
        <f t="shared" si="10"/>
        <v>7508240</v>
      </c>
      <c r="S229" s="652"/>
      <c r="T229" s="652">
        <f t="shared" si="11"/>
        <v>1071309</v>
      </c>
      <c r="U229" s="652">
        <v>256215</v>
      </c>
      <c r="V229" s="652">
        <v>1327524</v>
      </c>
      <c r="W229" s="654"/>
      <c r="X229" s="654"/>
      <c r="Y229" s="654"/>
      <c r="Z229" s="654"/>
      <c r="AA229" s="654"/>
      <c r="AB229" s="654"/>
      <c r="AC229" s="654"/>
      <c r="AD229" s="654"/>
      <c r="AE229" s="655"/>
      <c r="AF229" s="655"/>
      <c r="AG229" s="655"/>
      <c r="AH229" s="655"/>
      <c r="AI229" s="655"/>
      <c r="AJ229" s="655"/>
      <c r="AK229" s="655"/>
      <c r="AL229" s="655"/>
    </row>
    <row r="230" spans="1:38" hidden="1" x14ac:dyDescent="0.25">
      <c r="A230" s="653">
        <v>37300</v>
      </c>
      <c r="B230" s="651" t="s">
        <v>1442</v>
      </c>
      <c r="C230" s="675">
        <v>1.6379999999999999E-3</v>
      </c>
      <c r="D230" s="675">
        <v>1.7409999999999999E-3</v>
      </c>
      <c r="E230" s="680">
        <v>1511883</v>
      </c>
      <c r="F230" s="651">
        <v>71246294</v>
      </c>
      <c r="G230" s="652">
        <v>57083907</v>
      </c>
      <c r="H230" s="652">
        <v>0</v>
      </c>
      <c r="I230" s="652">
        <v>0</v>
      </c>
      <c r="J230" s="652">
        <v>0</v>
      </c>
      <c r="K230" s="652">
        <v>3628540</v>
      </c>
      <c r="L230" s="652">
        <f t="shared" si="9"/>
        <v>3628540</v>
      </c>
      <c r="M230" s="652"/>
      <c r="N230" s="652">
        <v>4093021</v>
      </c>
      <c r="O230" s="652">
        <v>21215</v>
      </c>
      <c r="P230" s="652">
        <v>15720647</v>
      </c>
      <c r="Q230" s="652">
        <v>0</v>
      </c>
      <c r="R230" s="652">
        <f t="shared" si="10"/>
        <v>19834883</v>
      </c>
      <c r="S230" s="652"/>
      <c r="T230" s="652">
        <f t="shared" si="11"/>
        <v>2830128</v>
      </c>
      <c r="U230" s="652">
        <v>725711</v>
      </c>
      <c r="V230" s="652">
        <v>3555839</v>
      </c>
      <c r="W230" s="654"/>
      <c r="X230" s="654"/>
      <c r="Y230" s="654"/>
      <c r="Z230" s="654"/>
      <c r="AA230" s="654"/>
      <c r="AB230" s="654"/>
      <c r="AC230" s="654"/>
      <c r="AD230" s="654"/>
      <c r="AE230" s="655"/>
      <c r="AF230" s="655"/>
      <c r="AG230" s="655"/>
      <c r="AH230" s="655"/>
      <c r="AI230" s="655"/>
      <c r="AJ230" s="655"/>
      <c r="AK230" s="655"/>
      <c r="AL230" s="655"/>
    </row>
    <row r="231" spans="1:38" hidden="1" x14ac:dyDescent="0.25">
      <c r="A231" s="653">
        <v>37301</v>
      </c>
      <c r="B231" s="651" t="s">
        <v>1443</v>
      </c>
      <c r="C231" s="675">
        <v>1.7899999999999999E-4</v>
      </c>
      <c r="D231" s="675">
        <v>1.9799999999999999E-4</v>
      </c>
      <c r="E231" s="680">
        <v>165199</v>
      </c>
      <c r="F231" s="651">
        <v>7800914</v>
      </c>
      <c r="G231" s="652">
        <v>6502496</v>
      </c>
      <c r="H231" s="652">
        <v>0</v>
      </c>
      <c r="I231" s="652">
        <v>0</v>
      </c>
      <c r="J231" s="652">
        <v>0</v>
      </c>
      <c r="K231" s="652">
        <v>669845</v>
      </c>
      <c r="L231" s="652">
        <f t="shared" si="9"/>
        <v>669845</v>
      </c>
      <c r="M231" s="652"/>
      <c r="N231" s="652">
        <v>466241</v>
      </c>
      <c r="O231" s="652">
        <v>2417</v>
      </c>
      <c r="P231" s="652">
        <v>1790758</v>
      </c>
      <c r="Q231" s="652">
        <v>0</v>
      </c>
      <c r="R231" s="652">
        <f t="shared" si="10"/>
        <v>2259416</v>
      </c>
      <c r="S231" s="652"/>
      <c r="T231" s="652">
        <f t="shared" si="11"/>
        <v>322383</v>
      </c>
      <c r="U231" s="652">
        <v>133969</v>
      </c>
      <c r="V231" s="652">
        <v>456352</v>
      </c>
      <c r="W231" s="654"/>
      <c r="X231" s="654"/>
      <c r="Y231" s="654"/>
      <c r="Z231" s="654"/>
      <c r="AA231" s="654"/>
      <c r="AB231" s="654"/>
      <c r="AC231" s="654"/>
      <c r="AD231" s="654"/>
      <c r="AE231" s="655"/>
      <c r="AF231" s="655"/>
      <c r="AG231" s="655"/>
      <c r="AH231" s="655"/>
      <c r="AI231" s="655"/>
      <c r="AJ231" s="655"/>
      <c r="AK231" s="655"/>
      <c r="AL231" s="655"/>
    </row>
    <row r="232" spans="1:38" hidden="1" x14ac:dyDescent="0.25">
      <c r="A232" s="653">
        <v>37305</v>
      </c>
      <c r="B232" s="651" t="s">
        <v>1444</v>
      </c>
      <c r="C232" s="675">
        <v>4.8000000000000001E-4</v>
      </c>
      <c r="D232" s="675">
        <v>4.1599999999999997E-4</v>
      </c>
      <c r="E232" s="680">
        <v>522116</v>
      </c>
      <c r="F232" s="651">
        <v>20900597</v>
      </c>
      <c r="G232" s="652">
        <v>13636624</v>
      </c>
      <c r="H232" s="652">
        <v>0</v>
      </c>
      <c r="I232" s="652">
        <v>0</v>
      </c>
      <c r="J232" s="652">
        <v>0</v>
      </c>
      <c r="K232" s="652">
        <v>0</v>
      </c>
      <c r="L232" s="652">
        <f t="shared" si="9"/>
        <v>0</v>
      </c>
      <c r="M232" s="652"/>
      <c r="N232" s="652">
        <v>977771</v>
      </c>
      <c r="O232" s="652">
        <v>5068</v>
      </c>
      <c r="P232" s="652">
        <v>3755464</v>
      </c>
      <c r="Q232" s="652">
        <v>2233030</v>
      </c>
      <c r="R232" s="652">
        <f t="shared" si="10"/>
        <v>6971333</v>
      </c>
      <c r="S232" s="652"/>
      <c r="T232" s="652">
        <f t="shared" si="11"/>
        <v>676082</v>
      </c>
      <c r="U232" s="652">
        <v>-446605</v>
      </c>
      <c r="V232" s="652">
        <v>229477</v>
      </c>
      <c r="W232" s="654"/>
      <c r="X232" s="654"/>
      <c r="Y232" s="654"/>
      <c r="Z232" s="654"/>
      <c r="AA232" s="654"/>
      <c r="AB232" s="654"/>
      <c r="AC232" s="654"/>
      <c r="AD232" s="654"/>
      <c r="AE232" s="655"/>
      <c r="AF232" s="655"/>
      <c r="AG232" s="655"/>
      <c r="AH232" s="655"/>
      <c r="AI232" s="655"/>
      <c r="AJ232" s="655"/>
      <c r="AK232" s="655"/>
      <c r="AL232" s="655"/>
    </row>
    <row r="233" spans="1:38" hidden="1" x14ac:dyDescent="0.25">
      <c r="A233" s="653">
        <v>37400</v>
      </c>
      <c r="B233" s="651" t="s">
        <v>1445</v>
      </c>
      <c r="C233" s="675">
        <v>8.0750000000000006E-3</v>
      </c>
      <c r="D233" s="675">
        <v>8.267E-3</v>
      </c>
      <c r="E233" s="680">
        <v>6947983</v>
      </c>
      <c r="F233" s="651">
        <v>351275528</v>
      </c>
      <c r="G233" s="652">
        <v>271053859</v>
      </c>
      <c r="H233" s="652">
        <v>0</v>
      </c>
      <c r="I233" s="652">
        <v>0</v>
      </c>
      <c r="J233" s="652">
        <v>0</v>
      </c>
      <c r="K233" s="652">
        <v>6225575</v>
      </c>
      <c r="L233" s="652">
        <f t="shared" si="9"/>
        <v>6225575</v>
      </c>
      <c r="M233" s="652"/>
      <c r="N233" s="652">
        <v>19435060</v>
      </c>
      <c r="O233" s="652">
        <v>100735</v>
      </c>
      <c r="P233" s="652">
        <v>74646995</v>
      </c>
      <c r="Q233" s="652">
        <v>0</v>
      </c>
      <c r="R233" s="652">
        <f t="shared" si="10"/>
        <v>94182790</v>
      </c>
      <c r="S233" s="652"/>
      <c r="T233" s="652">
        <f t="shared" si="11"/>
        <v>13438415</v>
      </c>
      <c r="U233" s="652">
        <v>1245115</v>
      </c>
      <c r="V233" s="652">
        <v>14683530</v>
      </c>
      <c r="W233" s="654"/>
      <c r="X233" s="654"/>
      <c r="Y233" s="654"/>
      <c r="Z233" s="654"/>
      <c r="AA233" s="654"/>
      <c r="AB233" s="654"/>
      <c r="AC233" s="654"/>
      <c r="AD233" s="654"/>
      <c r="AE233" s="655"/>
      <c r="AF233" s="655"/>
      <c r="AG233" s="655"/>
      <c r="AH233" s="655"/>
      <c r="AI233" s="655"/>
      <c r="AJ233" s="655"/>
      <c r="AK233" s="655"/>
      <c r="AL233" s="655"/>
    </row>
    <row r="234" spans="1:38" hidden="1" x14ac:dyDescent="0.25">
      <c r="A234" s="653">
        <v>37405</v>
      </c>
      <c r="B234" s="651" t="s">
        <v>1446</v>
      </c>
      <c r="C234" s="675">
        <v>1.7930000000000001E-3</v>
      </c>
      <c r="D234" s="675">
        <v>1.7340000000000001E-3</v>
      </c>
      <c r="E234" s="680">
        <v>1689937</v>
      </c>
      <c r="F234" s="651">
        <v>78001917</v>
      </c>
      <c r="G234" s="652">
        <v>56845073</v>
      </c>
      <c r="H234" s="652">
        <v>0</v>
      </c>
      <c r="I234" s="652">
        <v>0</v>
      </c>
      <c r="J234" s="652">
        <v>0</v>
      </c>
      <c r="K234" s="652">
        <v>0</v>
      </c>
      <c r="L234" s="652">
        <f t="shared" si="9"/>
        <v>0</v>
      </c>
      <c r="M234" s="652"/>
      <c r="N234" s="652">
        <v>4075896</v>
      </c>
      <c r="O234" s="652">
        <v>21126</v>
      </c>
      <c r="P234" s="652">
        <v>15654874</v>
      </c>
      <c r="Q234" s="652">
        <v>2111085</v>
      </c>
      <c r="R234" s="652">
        <f t="shared" si="10"/>
        <v>21862981</v>
      </c>
      <c r="S234" s="652"/>
      <c r="T234" s="652">
        <f t="shared" si="11"/>
        <v>2818287</v>
      </c>
      <c r="U234" s="652">
        <v>-422213</v>
      </c>
      <c r="V234" s="652">
        <v>2396074</v>
      </c>
      <c r="W234" s="654"/>
      <c r="X234" s="654"/>
      <c r="Y234" s="654"/>
      <c r="Z234" s="654"/>
      <c r="AA234" s="654"/>
      <c r="AB234" s="654"/>
      <c r="AC234" s="654"/>
      <c r="AD234" s="654"/>
      <c r="AE234" s="655"/>
      <c r="AF234" s="655"/>
      <c r="AG234" s="655"/>
      <c r="AH234" s="655"/>
      <c r="AI234" s="655"/>
      <c r="AJ234" s="655"/>
      <c r="AK234" s="655"/>
      <c r="AL234" s="655"/>
    </row>
    <row r="235" spans="1:38" hidden="1" x14ac:dyDescent="0.25">
      <c r="A235" s="653">
        <v>37500</v>
      </c>
      <c r="B235" s="651" t="s">
        <v>1447</v>
      </c>
      <c r="C235" s="675">
        <v>9.1200000000000005E-4</v>
      </c>
      <c r="D235" s="675">
        <v>9.2000000000000003E-4</v>
      </c>
      <c r="E235" s="680">
        <v>859967</v>
      </c>
      <c r="F235" s="651">
        <v>39667783</v>
      </c>
      <c r="G235" s="652">
        <v>30162646</v>
      </c>
      <c r="H235" s="652">
        <v>0</v>
      </c>
      <c r="I235" s="652">
        <v>0</v>
      </c>
      <c r="J235" s="652">
        <v>0</v>
      </c>
      <c r="K235" s="652">
        <v>283330</v>
      </c>
      <c r="L235" s="652">
        <f t="shared" si="9"/>
        <v>283330</v>
      </c>
      <c r="M235" s="652"/>
      <c r="N235" s="652">
        <v>2162717</v>
      </c>
      <c r="O235" s="652">
        <v>11210</v>
      </c>
      <c r="P235" s="652">
        <v>8306655</v>
      </c>
      <c r="Q235" s="652">
        <v>0</v>
      </c>
      <c r="R235" s="652">
        <f t="shared" si="10"/>
        <v>10480582</v>
      </c>
      <c r="S235" s="652"/>
      <c r="T235" s="652">
        <f t="shared" si="11"/>
        <v>1495416</v>
      </c>
      <c r="U235" s="652">
        <v>56667</v>
      </c>
      <c r="V235" s="652">
        <v>1552083</v>
      </c>
      <c r="W235" s="654"/>
      <c r="X235" s="654"/>
      <c r="Y235" s="654"/>
      <c r="Z235" s="654"/>
      <c r="AA235" s="654"/>
      <c r="AB235" s="654"/>
      <c r="AC235" s="654"/>
      <c r="AD235" s="654"/>
      <c r="AE235" s="655"/>
      <c r="AF235" s="655"/>
      <c r="AG235" s="655"/>
      <c r="AH235" s="655"/>
      <c r="AI235" s="655"/>
      <c r="AJ235" s="655"/>
      <c r="AK235" s="655"/>
      <c r="AL235" s="655"/>
    </row>
    <row r="236" spans="1:38" hidden="1" x14ac:dyDescent="0.25">
      <c r="A236" s="653">
        <v>37600</v>
      </c>
      <c r="B236" s="651" t="s">
        <v>1448</v>
      </c>
      <c r="C236" s="675">
        <v>5.574E-3</v>
      </c>
      <c r="D236" s="675">
        <v>5.7720000000000002E-3</v>
      </c>
      <c r="E236" s="680">
        <v>5009655</v>
      </c>
      <c r="F236" s="651">
        <v>242490987</v>
      </c>
      <c r="G236" s="652">
        <v>189232270</v>
      </c>
      <c r="H236" s="652">
        <v>0</v>
      </c>
      <c r="I236" s="652">
        <v>0</v>
      </c>
      <c r="J236" s="652">
        <v>0</v>
      </c>
      <c r="K236" s="652">
        <v>6767865</v>
      </c>
      <c r="L236" s="652">
        <f t="shared" si="9"/>
        <v>6767865</v>
      </c>
      <c r="M236" s="652"/>
      <c r="N236" s="652">
        <v>13568302</v>
      </c>
      <c r="O236" s="652">
        <v>70327</v>
      </c>
      <c r="P236" s="652">
        <v>52113703</v>
      </c>
      <c r="Q236" s="652">
        <v>0</v>
      </c>
      <c r="R236" s="652">
        <f t="shared" si="10"/>
        <v>65752332</v>
      </c>
      <c r="S236" s="652"/>
      <c r="T236" s="652">
        <f t="shared" si="11"/>
        <v>9381832</v>
      </c>
      <c r="U236" s="652">
        <v>1353573</v>
      </c>
      <c r="V236" s="652">
        <v>10735405</v>
      </c>
      <c r="W236" s="654"/>
      <c r="X236" s="654"/>
      <c r="Y236" s="654"/>
      <c r="Z236" s="654"/>
      <c r="AA236" s="654"/>
      <c r="AB236" s="654"/>
      <c r="AC236" s="654"/>
      <c r="AD236" s="654"/>
      <c r="AE236" s="655"/>
      <c r="AF236" s="655"/>
      <c r="AG236" s="655"/>
      <c r="AH236" s="655"/>
      <c r="AI236" s="655"/>
      <c r="AJ236" s="655"/>
      <c r="AK236" s="655"/>
      <c r="AL236" s="655"/>
    </row>
    <row r="237" spans="1:38" hidden="1" x14ac:dyDescent="0.25">
      <c r="A237" s="653">
        <v>37601</v>
      </c>
      <c r="B237" s="651" t="s">
        <v>1449</v>
      </c>
      <c r="C237" s="675">
        <v>1.7699999999999999E-4</v>
      </c>
      <c r="D237" s="675">
        <v>2.3499999999999999E-4</v>
      </c>
      <c r="E237" s="680">
        <v>175130</v>
      </c>
      <c r="F237" s="651">
        <v>7685606</v>
      </c>
      <c r="G237" s="652">
        <v>7704859</v>
      </c>
      <c r="H237" s="652">
        <v>0</v>
      </c>
      <c r="I237" s="652">
        <v>0</v>
      </c>
      <c r="J237" s="652">
        <v>0</v>
      </c>
      <c r="K237" s="652">
        <v>2074655</v>
      </c>
      <c r="L237" s="652">
        <f t="shared" si="9"/>
        <v>2074655</v>
      </c>
      <c r="M237" s="652"/>
      <c r="N237" s="652">
        <v>552453</v>
      </c>
      <c r="O237" s="652">
        <v>2863</v>
      </c>
      <c r="P237" s="652">
        <v>2121883</v>
      </c>
      <c r="Q237" s="652">
        <v>0</v>
      </c>
      <c r="R237" s="652">
        <f t="shared" si="10"/>
        <v>2677199</v>
      </c>
      <c r="S237" s="652"/>
      <c r="T237" s="652">
        <f t="shared" si="11"/>
        <v>381995</v>
      </c>
      <c r="U237" s="652">
        <v>414933</v>
      </c>
      <c r="V237" s="652">
        <v>796928</v>
      </c>
      <c r="W237" s="654"/>
      <c r="X237" s="654"/>
      <c r="Y237" s="654"/>
      <c r="Z237" s="654"/>
      <c r="AA237" s="654"/>
      <c r="AB237" s="654"/>
      <c r="AC237" s="654"/>
      <c r="AD237" s="654"/>
      <c r="AE237" s="655"/>
      <c r="AF237" s="655"/>
      <c r="AG237" s="655"/>
      <c r="AH237" s="655"/>
      <c r="AI237" s="655"/>
      <c r="AJ237" s="655"/>
      <c r="AK237" s="655"/>
      <c r="AL237" s="655"/>
    </row>
    <row r="238" spans="1:38" hidden="1" x14ac:dyDescent="0.25">
      <c r="A238" s="653">
        <v>37605</v>
      </c>
      <c r="B238" s="651" t="s">
        <v>1450</v>
      </c>
      <c r="C238" s="675">
        <v>6.7199999999999996E-4</v>
      </c>
      <c r="D238" s="675">
        <v>6.5700000000000003E-4</v>
      </c>
      <c r="E238" s="680">
        <v>628738</v>
      </c>
      <c r="F238" s="651">
        <v>29211905</v>
      </c>
      <c r="G238" s="652">
        <v>21546291</v>
      </c>
      <c r="H238" s="652">
        <v>0</v>
      </c>
      <c r="I238" s="652">
        <v>0</v>
      </c>
      <c r="J238" s="652">
        <v>0</v>
      </c>
      <c r="K238" s="652">
        <v>0</v>
      </c>
      <c r="L238" s="652">
        <f t="shared" si="9"/>
        <v>0</v>
      </c>
      <c r="M238" s="652"/>
      <c r="N238" s="652">
        <v>1544909</v>
      </c>
      <c r="O238" s="652">
        <v>8008</v>
      </c>
      <c r="P238" s="652">
        <v>5933750</v>
      </c>
      <c r="Q238" s="652">
        <v>515365</v>
      </c>
      <c r="R238" s="652">
        <f t="shared" si="10"/>
        <v>8002032</v>
      </c>
      <c r="S238" s="652"/>
      <c r="T238" s="652">
        <f t="shared" si="11"/>
        <v>1068231</v>
      </c>
      <c r="U238" s="652">
        <v>-103075</v>
      </c>
      <c r="V238" s="652">
        <v>965156</v>
      </c>
      <c r="W238" s="654"/>
      <c r="X238" s="654"/>
      <c r="Y238" s="654"/>
      <c r="Z238" s="654"/>
      <c r="AA238" s="654"/>
      <c r="AB238" s="654"/>
      <c r="AC238" s="654"/>
      <c r="AD238" s="654"/>
      <c r="AE238" s="655"/>
      <c r="AF238" s="655"/>
      <c r="AG238" s="655"/>
      <c r="AH238" s="655"/>
      <c r="AI238" s="655"/>
      <c r="AJ238" s="655"/>
      <c r="AK238" s="655"/>
      <c r="AL238" s="655"/>
    </row>
    <row r="239" spans="1:38" hidden="1" x14ac:dyDescent="0.25">
      <c r="A239" s="653">
        <v>37610</v>
      </c>
      <c r="B239" s="651" t="s">
        <v>1451</v>
      </c>
      <c r="C239" s="675">
        <v>1.707E-3</v>
      </c>
      <c r="D239" s="675">
        <v>1.812E-3</v>
      </c>
      <c r="E239" s="680">
        <v>1472613</v>
      </c>
      <c r="F239" s="651">
        <v>74274206</v>
      </c>
      <c r="G239" s="652">
        <v>59406863</v>
      </c>
      <c r="H239" s="652">
        <v>0</v>
      </c>
      <c r="I239" s="652">
        <v>0</v>
      </c>
      <c r="J239" s="652">
        <v>0</v>
      </c>
      <c r="K239" s="652">
        <v>3585010</v>
      </c>
      <c r="L239" s="652">
        <f t="shared" si="9"/>
        <v>3585010</v>
      </c>
      <c r="M239" s="652"/>
      <c r="N239" s="652">
        <v>4259581</v>
      </c>
      <c r="O239" s="652">
        <v>22078</v>
      </c>
      <c r="P239" s="652">
        <v>16360379</v>
      </c>
      <c r="Q239" s="652">
        <v>0</v>
      </c>
      <c r="R239" s="652">
        <f t="shared" si="10"/>
        <v>20642038</v>
      </c>
      <c r="S239" s="652"/>
      <c r="T239" s="652">
        <f t="shared" si="11"/>
        <v>2945297</v>
      </c>
      <c r="U239" s="652">
        <v>717001</v>
      </c>
      <c r="V239" s="652">
        <v>3662298</v>
      </c>
      <c r="W239" s="654"/>
      <c r="X239" s="654"/>
      <c r="Y239" s="654"/>
      <c r="Z239" s="654"/>
      <c r="AA239" s="654"/>
      <c r="AB239" s="654"/>
      <c r="AC239" s="654"/>
      <c r="AD239" s="654"/>
      <c r="AE239" s="655"/>
      <c r="AF239" s="655"/>
      <c r="AG239" s="655"/>
      <c r="AH239" s="655"/>
      <c r="AI239" s="655"/>
      <c r="AJ239" s="655"/>
      <c r="AK239" s="655"/>
      <c r="AL239" s="655"/>
    </row>
    <row r="240" spans="1:38" hidden="1" x14ac:dyDescent="0.25">
      <c r="A240" s="653">
        <v>37700</v>
      </c>
      <c r="B240" s="651" t="s">
        <v>1452</v>
      </c>
      <c r="C240" s="675">
        <v>2.382E-3</v>
      </c>
      <c r="D240" s="675">
        <v>2.421E-3</v>
      </c>
      <c r="E240" s="680">
        <v>2203504</v>
      </c>
      <c r="F240" s="651">
        <v>103609585</v>
      </c>
      <c r="G240" s="652">
        <v>79378771</v>
      </c>
      <c r="H240" s="652">
        <v>0</v>
      </c>
      <c r="I240" s="652">
        <v>0</v>
      </c>
      <c r="J240" s="652">
        <v>0</v>
      </c>
      <c r="K240" s="652">
        <v>1349065</v>
      </c>
      <c r="L240" s="652">
        <f t="shared" si="9"/>
        <v>1349065</v>
      </c>
      <c r="M240" s="652"/>
      <c r="N240" s="652">
        <v>5691604</v>
      </c>
      <c r="O240" s="652">
        <v>29501</v>
      </c>
      <c r="P240" s="652">
        <v>21860551</v>
      </c>
      <c r="Q240" s="652">
        <v>0</v>
      </c>
      <c r="R240" s="652">
        <f t="shared" si="10"/>
        <v>27581656</v>
      </c>
      <c r="S240" s="652"/>
      <c r="T240" s="652">
        <f t="shared" si="11"/>
        <v>3935472</v>
      </c>
      <c r="U240" s="652">
        <v>269808</v>
      </c>
      <c r="V240" s="652">
        <v>4205280</v>
      </c>
      <c r="W240" s="654"/>
      <c r="X240" s="654"/>
      <c r="Y240" s="654"/>
      <c r="Z240" s="654"/>
      <c r="AA240" s="654"/>
      <c r="AB240" s="654"/>
      <c r="AC240" s="654"/>
      <c r="AD240" s="654"/>
      <c r="AE240" s="655"/>
      <c r="AF240" s="655"/>
      <c r="AG240" s="655"/>
      <c r="AH240" s="655"/>
      <c r="AI240" s="655"/>
      <c r="AJ240" s="655"/>
      <c r="AK240" s="655"/>
      <c r="AL240" s="655"/>
    </row>
    <row r="241" spans="1:38" hidden="1" x14ac:dyDescent="0.25">
      <c r="A241" s="653">
        <v>37705</v>
      </c>
      <c r="B241" s="651" t="s">
        <v>1453</v>
      </c>
      <c r="C241" s="675">
        <v>6.9099999999999999E-4</v>
      </c>
      <c r="D241" s="675">
        <v>6.7000000000000002E-4</v>
      </c>
      <c r="E241" s="680">
        <v>680424</v>
      </c>
      <c r="F241" s="651">
        <v>30074344</v>
      </c>
      <c r="G241" s="652">
        <v>21974619</v>
      </c>
      <c r="H241" s="652">
        <v>0</v>
      </c>
      <c r="I241" s="652">
        <v>0</v>
      </c>
      <c r="J241" s="652">
        <v>0</v>
      </c>
      <c r="K241" s="652">
        <v>0</v>
      </c>
      <c r="L241" s="652">
        <f t="shared" si="9"/>
        <v>0</v>
      </c>
      <c r="M241" s="652"/>
      <c r="N241" s="652">
        <v>1575621</v>
      </c>
      <c r="O241" s="652">
        <v>8167</v>
      </c>
      <c r="P241" s="652">
        <v>6051710</v>
      </c>
      <c r="Q241" s="652">
        <v>727725</v>
      </c>
      <c r="R241" s="652">
        <f t="shared" si="10"/>
        <v>8363223</v>
      </c>
      <c r="S241" s="652"/>
      <c r="T241" s="652">
        <f t="shared" si="11"/>
        <v>1089466</v>
      </c>
      <c r="U241" s="652">
        <v>-145546</v>
      </c>
      <c r="V241" s="652">
        <v>943920</v>
      </c>
      <c r="W241" s="654"/>
      <c r="X241" s="654"/>
      <c r="Y241" s="654"/>
      <c r="Z241" s="654"/>
      <c r="AA241" s="654"/>
      <c r="AB241" s="654"/>
      <c r="AC241" s="654"/>
      <c r="AD241" s="654"/>
      <c r="AE241" s="655"/>
      <c r="AF241" s="655"/>
      <c r="AG241" s="655"/>
      <c r="AH241" s="655"/>
      <c r="AI241" s="655"/>
      <c r="AJ241" s="655"/>
      <c r="AK241" s="655"/>
      <c r="AL241" s="655"/>
    </row>
    <row r="242" spans="1:38" hidden="1" x14ac:dyDescent="0.25">
      <c r="A242" s="653">
        <v>37800</v>
      </c>
      <c r="B242" s="651" t="s">
        <v>1454</v>
      </c>
      <c r="C242" s="675">
        <v>7.1729999999999997E-3</v>
      </c>
      <c r="D242" s="675">
        <v>7.43E-3</v>
      </c>
      <c r="E242" s="680">
        <v>6874518</v>
      </c>
      <c r="F242" s="651">
        <v>312058360</v>
      </c>
      <c r="G242" s="652">
        <v>243610920</v>
      </c>
      <c r="H242" s="652">
        <v>0</v>
      </c>
      <c r="I242" s="652">
        <v>0</v>
      </c>
      <c r="J242" s="652">
        <v>0</v>
      </c>
      <c r="K242" s="652">
        <v>9163720</v>
      </c>
      <c r="L242" s="652">
        <f t="shared" si="9"/>
        <v>9163720</v>
      </c>
      <c r="M242" s="652"/>
      <c r="N242" s="652">
        <v>17467351</v>
      </c>
      <c r="O242" s="652">
        <v>90536</v>
      </c>
      <c r="P242" s="652">
        <v>67089335</v>
      </c>
      <c r="Q242" s="652">
        <v>0</v>
      </c>
      <c r="R242" s="652">
        <f t="shared" si="10"/>
        <v>84647222</v>
      </c>
      <c r="S242" s="652"/>
      <c r="T242" s="652">
        <f t="shared" si="11"/>
        <v>12077838</v>
      </c>
      <c r="U242" s="652">
        <v>1832742</v>
      </c>
      <c r="V242" s="652">
        <v>13910580</v>
      </c>
      <c r="W242" s="654"/>
      <c r="X242" s="654"/>
      <c r="Y242" s="654"/>
      <c r="Z242" s="654"/>
      <c r="AA242" s="654"/>
      <c r="AB242" s="654"/>
      <c r="AC242" s="654"/>
      <c r="AD242" s="654"/>
      <c r="AE242" s="655"/>
      <c r="AF242" s="655"/>
      <c r="AG242" s="655"/>
      <c r="AH242" s="655"/>
      <c r="AI242" s="655"/>
      <c r="AJ242" s="655"/>
      <c r="AK242" s="655"/>
      <c r="AL242" s="655"/>
    </row>
    <row r="243" spans="1:38" hidden="1" x14ac:dyDescent="0.25">
      <c r="A243" s="653">
        <v>37801</v>
      </c>
      <c r="B243" s="651" t="s">
        <v>1455</v>
      </c>
      <c r="C243" s="675">
        <v>4.5000000000000003E-5</v>
      </c>
      <c r="D243" s="675">
        <v>6.0000000000000002E-5</v>
      </c>
      <c r="E243" s="680">
        <v>41954</v>
      </c>
      <c r="F243" s="651">
        <v>1956154</v>
      </c>
      <c r="G243" s="652">
        <v>1962153</v>
      </c>
      <c r="H243" s="652">
        <v>0</v>
      </c>
      <c r="I243" s="652">
        <v>0</v>
      </c>
      <c r="J243" s="652">
        <v>0</v>
      </c>
      <c r="K243" s="652">
        <v>527050</v>
      </c>
      <c r="L243" s="652">
        <f t="shared" si="9"/>
        <v>527050</v>
      </c>
      <c r="M243" s="652"/>
      <c r="N243" s="652">
        <v>140690</v>
      </c>
      <c r="O243" s="652">
        <v>729</v>
      </c>
      <c r="P243" s="652">
        <v>540368</v>
      </c>
      <c r="Q243" s="652">
        <v>0</v>
      </c>
      <c r="R243" s="652">
        <f t="shared" si="10"/>
        <v>681787</v>
      </c>
      <c r="S243" s="652"/>
      <c r="T243" s="652">
        <f t="shared" si="11"/>
        <v>97280</v>
      </c>
      <c r="U243" s="652">
        <v>105409</v>
      </c>
      <c r="V243" s="652">
        <v>202689</v>
      </c>
      <c r="W243" s="654"/>
      <c r="X243" s="654"/>
      <c r="Y243" s="654"/>
      <c r="Z243" s="654"/>
      <c r="AA243" s="654"/>
      <c r="AB243" s="654"/>
      <c r="AC243" s="654"/>
      <c r="AD243" s="654"/>
      <c r="AE243" s="655"/>
      <c r="AF243" s="655"/>
      <c r="AG243" s="655"/>
      <c r="AH243" s="655"/>
      <c r="AI243" s="655"/>
      <c r="AJ243" s="655"/>
      <c r="AK243" s="655"/>
      <c r="AL243" s="655"/>
    </row>
    <row r="244" spans="1:38" hidden="1" x14ac:dyDescent="0.25">
      <c r="A244" s="653">
        <v>37805</v>
      </c>
      <c r="B244" s="651" t="s">
        <v>1456</v>
      </c>
      <c r="C244" s="675">
        <v>5.8799999999999998E-4</v>
      </c>
      <c r="D244" s="675">
        <v>5.3200000000000003E-4</v>
      </c>
      <c r="E244" s="680">
        <v>561570</v>
      </c>
      <c r="F244" s="651">
        <v>25572087</v>
      </c>
      <c r="G244" s="652">
        <v>17457246</v>
      </c>
      <c r="H244" s="652">
        <v>0</v>
      </c>
      <c r="I244" s="652">
        <v>0</v>
      </c>
      <c r="J244" s="652">
        <v>0</v>
      </c>
      <c r="K244" s="652">
        <v>0</v>
      </c>
      <c r="L244" s="652">
        <f t="shared" si="9"/>
        <v>0</v>
      </c>
      <c r="M244" s="652"/>
      <c r="N244" s="652">
        <v>1251717</v>
      </c>
      <c r="O244" s="652">
        <v>6488</v>
      </c>
      <c r="P244" s="652">
        <v>4807646</v>
      </c>
      <c r="Q244" s="652">
        <v>1960770</v>
      </c>
      <c r="R244" s="652">
        <f t="shared" si="10"/>
        <v>8026621</v>
      </c>
      <c r="S244" s="652"/>
      <c r="T244" s="652">
        <f t="shared" si="11"/>
        <v>865502</v>
      </c>
      <c r="U244" s="652">
        <v>-392153</v>
      </c>
      <c r="V244" s="652">
        <v>473349</v>
      </c>
      <c r="W244" s="654"/>
      <c r="X244" s="654"/>
      <c r="Y244" s="654"/>
      <c r="Z244" s="654"/>
      <c r="AA244" s="654"/>
      <c r="AB244" s="654"/>
      <c r="AC244" s="654"/>
      <c r="AD244" s="654"/>
      <c r="AE244" s="655"/>
      <c r="AF244" s="655"/>
      <c r="AG244" s="655"/>
      <c r="AH244" s="655"/>
      <c r="AI244" s="655"/>
      <c r="AJ244" s="655"/>
      <c r="AK244" s="655"/>
      <c r="AL244" s="655"/>
    </row>
    <row r="245" spans="1:38" hidden="1" x14ac:dyDescent="0.25">
      <c r="A245" s="653">
        <v>37900</v>
      </c>
      <c r="B245" s="651" t="s">
        <v>1457</v>
      </c>
      <c r="C245" s="675">
        <v>3.9039999999999999E-3</v>
      </c>
      <c r="D245" s="675">
        <v>3.9630000000000004E-3</v>
      </c>
      <c r="E245" s="680">
        <v>3653834</v>
      </c>
      <c r="F245" s="651">
        <v>169844587</v>
      </c>
      <c r="G245" s="652">
        <v>129941774</v>
      </c>
      <c r="H245" s="652">
        <v>0</v>
      </c>
      <c r="I245" s="652">
        <v>0</v>
      </c>
      <c r="J245" s="652">
        <v>0</v>
      </c>
      <c r="K245" s="652">
        <v>2049535</v>
      </c>
      <c r="L245" s="652">
        <f t="shared" si="9"/>
        <v>2049535</v>
      </c>
      <c r="M245" s="652"/>
      <c r="N245" s="652">
        <v>9317064</v>
      </c>
      <c r="O245" s="652">
        <v>48292</v>
      </c>
      <c r="P245" s="652">
        <v>35785371</v>
      </c>
      <c r="Q245" s="652">
        <v>0</v>
      </c>
      <c r="R245" s="652">
        <f t="shared" si="10"/>
        <v>45150727</v>
      </c>
      <c r="S245" s="652"/>
      <c r="T245" s="652">
        <f t="shared" si="11"/>
        <v>6442305</v>
      </c>
      <c r="U245" s="652">
        <v>409909</v>
      </c>
      <c r="V245" s="652">
        <v>6852214</v>
      </c>
      <c r="W245" s="654"/>
      <c r="X245" s="654"/>
      <c r="Y245" s="654"/>
      <c r="Z245" s="654"/>
      <c r="AA245" s="654"/>
      <c r="AB245" s="654"/>
      <c r="AC245" s="654"/>
      <c r="AD245" s="654"/>
      <c r="AE245" s="655"/>
      <c r="AF245" s="655"/>
      <c r="AG245" s="655"/>
      <c r="AH245" s="655"/>
      <c r="AI245" s="655"/>
      <c r="AJ245" s="655"/>
      <c r="AK245" s="655"/>
      <c r="AL245" s="655"/>
    </row>
    <row r="246" spans="1:38" hidden="1" x14ac:dyDescent="0.25">
      <c r="A246" s="653">
        <v>37901</v>
      </c>
      <c r="B246" s="651" t="s">
        <v>1458</v>
      </c>
      <c r="C246" s="675">
        <v>5.8E-5</v>
      </c>
      <c r="D246" s="675">
        <v>5.5000000000000002E-5</v>
      </c>
      <c r="E246" s="680">
        <v>50525</v>
      </c>
      <c r="F246" s="651">
        <v>2507213</v>
      </c>
      <c r="G246" s="652">
        <v>1789948</v>
      </c>
      <c r="H246" s="652">
        <v>0</v>
      </c>
      <c r="I246" s="652">
        <v>0</v>
      </c>
      <c r="J246" s="652">
        <v>0</v>
      </c>
      <c r="K246" s="652">
        <v>0</v>
      </c>
      <c r="L246" s="652">
        <f t="shared" si="9"/>
        <v>0</v>
      </c>
      <c r="M246" s="652"/>
      <c r="N246" s="652">
        <v>128343</v>
      </c>
      <c r="O246" s="652">
        <v>665</v>
      </c>
      <c r="P246" s="652">
        <v>492943</v>
      </c>
      <c r="Q246" s="652">
        <v>111280</v>
      </c>
      <c r="R246" s="652">
        <f t="shared" si="10"/>
        <v>733231</v>
      </c>
      <c r="S246" s="652"/>
      <c r="T246" s="652">
        <f t="shared" si="11"/>
        <v>88743</v>
      </c>
      <c r="U246" s="652">
        <v>-22251</v>
      </c>
      <c r="V246" s="652">
        <v>66492</v>
      </c>
      <c r="W246" s="654"/>
      <c r="X246" s="654"/>
      <c r="Y246" s="654"/>
      <c r="Z246" s="654"/>
      <c r="AA246" s="654"/>
      <c r="AB246" s="654"/>
      <c r="AC246" s="654"/>
      <c r="AD246" s="654"/>
      <c r="AE246" s="655"/>
      <c r="AF246" s="655"/>
      <c r="AG246" s="655"/>
      <c r="AH246" s="655"/>
      <c r="AI246" s="655"/>
      <c r="AJ246" s="655"/>
      <c r="AK246" s="655"/>
      <c r="AL246" s="655"/>
    </row>
    <row r="247" spans="1:38" hidden="1" x14ac:dyDescent="0.25">
      <c r="A247" s="653">
        <v>37905</v>
      </c>
      <c r="B247" s="651" t="s">
        <v>1459</v>
      </c>
      <c r="C247" s="675">
        <v>4.4499999999999997E-4</v>
      </c>
      <c r="D247" s="675">
        <v>4.4299999999999998E-4</v>
      </c>
      <c r="E247" s="680">
        <v>485688</v>
      </c>
      <c r="F247" s="651">
        <v>19343653</v>
      </c>
      <c r="G247" s="652">
        <v>14524188</v>
      </c>
      <c r="H247" s="652">
        <v>0</v>
      </c>
      <c r="I247" s="652">
        <v>0</v>
      </c>
      <c r="J247" s="652">
        <v>0</v>
      </c>
      <c r="K247" s="652">
        <v>0</v>
      </c>
      <c r="L247" s="652">
        <f t="shared" si="9"/>
        <v>0</v>
      </c>
      <c r="M247" s="652"/>
      <c r="N247" s="652">
        <v>1041411</v>
      </c>
      <c r="O247" s="652">
        <v>5398</v>
      </c>
      <c r="P247" s="652">
        <v>3999895</v>
      </c>
      <c r="Q247" s="652">
        <v>5970</v>
      </c>
      <c r="R247" s="652">
        <f t="shared" si="10"/>
        <v>5052674</v>
      </c>
      <c r="S247" s="652"/>
      <c r="T247" s="652">
        <f t="shared" si="11"/>
        <v>720086</v>
      </c>
      <c r="U247" s="652">
        <v>-1188</v>
      </c>
      <c r="V247" s="652">
        <v>718898</v>
      </c>
      <c r="W247" s="654"/>
      <c r="X247" s="654"/>
      <c r="Y247" s="654"/>
      <c r="Z247" s="654"/>
      <c r="AA247" s="654"/>
      <c r="AB247" s="654"/>
      <c r="AC247" s="654"/>
      <c r="AD247" s="654"/>
      <c r="AE247" s="655"/>
      <c r="AF247" s="655"/>
      <c r="AG247" s="655"/>
      <c r="AH247" s="655"/>
      <c r="AI247" s="655"/>
      <c r="AJ247" s="655"/>
      <c r="AK247" s="655"/>
      <c r="AL247" s="655"/>
    </row>
    <row r="248" spans="1:38" hidden="1" x14ac:dyDescent="0.25">
      <c r="A248" s="653">
        <v>38000</v>
      </c>
      <c r="B248" s="651" t="s">
        <v>1460</v>
      </c>
      <c r="C248" s="675">
        <v>6.2469999999999999E-3</v>
      </c>
      <c r="D248" s="675">
        <v>6.5360000000000001E-3</v>
      </c>
      <c r="E248" s="680">
        <v>5844900</v>
      </c>
      <c r="F248" s="651">
        <v>271770267</v>
      </c>
      <c r="G248" s="652">
        <v>214289224</v>
      </c>
      <c r="H248" s="652">
        <v>0</v>
      </c>
      <c r="I248" s="652">
        <v>0</v>
      </c>
      <c r="J248" s="652">
        <v>0</v>
      </c>
      <c r="K248" s="652">
        <v>10165490</v>
      </c>
      <c r="L248" s="652">
        <f t="shared" si="9"/>
        <v>10165490</v>
      </c>
      <c r="M248" s="652"/>
      <c r="N248" s="652">
        <v>15364932</v>
      </c>
      <c r="O248" s="652">
        <v>79639</v>
      </c>
      <c r="P248" s="652">
        <v>59014274</v>
      </c>
      <c r="Q248" s="652">
        <v>0</v>
      </c>
      <c r="R248" s="652">
        <f t="shared" si="10"/>
        <v>74458845</v>
      </c>
      <c r="S248" s="652"/>
      <c r="T248" s="652">
        <f t="shared" si="11"/>
        <v>10624116</v>
      </c>
      <c r="U248" s="652">
        <v>2033096</v>
      </c>
      <c r="V248" s="652">
        <v>12657212</v>
      </c>
      <c r="W248" s="654"/>
      <c r="X248" s="654"/>
      <c r="Y248" s="654"/>
      <c r="Z248" s="654"/>
      <c r="AA248" s="654"/>
      <c r="AB248" s="654"/>
      <c r="AC248" s="654"/>
      <c r="AD248" s="654"/>
      <c r="AE248" s="655"/>
      <c r="AF248" s="655"/>
      <c r="AG248" s="655"/>
      <c r="AH248" s="655"/>
      <c r="AI248" s="655"/>
      <c r="AJ248" s="655"/>
      <c r="AK248" s="655"/>
      <c r="AL248" s="655"/>
    </row>
    <row r="249" spans="1:38" hidden="1" x14ac:dyDescent="0.25">
      <c r="A249" s="653">
        <v>38005</v>
      </c>
      <c r="B249" s="651" t="s">
        <v>1461</v>
      </c>
      <c r="C249" s="675">
        <v>1.33E-3</v>
      </c>
      <c r="D249" s="675">
        <v>1.17E-3</v>
      </c>
      <c r="E249" s="680">
        <v>1170005</v>
      </c>
      <c r="F249" s="651">
        <v>57857134</v>
      </c>
      <c r="G249" s="652">
        <v>38369410</v>
      </c>
      <c r="H249" s="652">
        <v>0</v>
      </c>
      <c r="I249" s="652">
        <v>0</v>
      </c>
      <c r="J249" s="652">
        <v>0</v>
      </c>
      <c r="K249" s="652">
        <v>0</v>
      </c>
      <c r="L249" s="652">
        <f t="shared" si="9"/>
        <v>0</v>
      </c>
      <c r="M249" s="652"/>
      <c r="N249" s="652">
        <v>2751157</v>
      </c>
      <c r="O249" s="652">
        <v>14260</v>
      </c>
      <c r="P249" s="652">
        <v>10566760</v>
      </c>
      <c r="Q249" s="652">
        <v>5739865</v>
      </c>
      <c r="R249" s="652">
        <f t="shared" si="10"/>
        <v>19072042</v>
      </c>
      <c r="S249" s="652"/>
      <c r="T249" s="652">
        <f t="shared" si="11"/>
        <v>1902294</v>
      </c>
      <c r="U249" s="652">
        <v>-1147971</v>
      </c>
      <c r="V249" s="652">
        <v>754323</v>
      </c>
      <c r="W249" s="654"/>
      <c r="X249" s="654"/>
      <c r="Y249" s="654"/>
      <c r="Z249" s="654"/>
      <c r="AA249" s="654"/>
      <c r="AB249" s="654"/>
      <c r="AC249" s="654"/>
      <c r="AD249" s="654"/>
      <c r="AE249" s="655"/>
      <c r="AF249" s="655"/>
      <c r="AG249" s="655"/>
      <c r="AH249" s="655"/>
      <c r="AI249" s="655"/>
      <c r="AJ249" s="655"/>
      <c r="AK249" s="655"/>
      <c r="AL249" s="655"/>
    </row>
    <row r="250" spans="1:38" hidden="1" x14ac:dyDescent="0.25">
      <c r="A250" s="653">
        <v>38100</v>
      </c>
      <c r="B250" s="651" t="s">
        <v>1462</v>
      </c>
      <c r="C250" s="675">
        <v>2.8410000000000002E-3</v>
      </c>
      <c r="D250" s="675">
        <v>2.8770000000000002E-3</v>
      </c>
      <c r="E250" s="680">
        <v>2716002</v>
      </c>
      <c r="F250" s="651">
        <v>123590538</v>
      </c>
      <c r="G250" s="652">
        <v>94338193</v>
      </c>
      <c r="H250" s="652">
        <v>0</v>
      </c>
      <c r="I250" s="652">
        <v>0</v>
      </c>
      <c r="J250" s="652">
        <v>0</v>
      </c>
      <c r="K250" s="652">
        <v>1305095</v>
      </c>
      <c r="L250" s="652">
        <f t="shared" si="9"/>
        <v>1305095</v>
      </c>
      <c r="M250" s="652"/>
      <c r="N250" s="652">
        <v>6764222</v>
      </c>
      <c r="O250" s="652">
        <v>35060</v>
      </c>
      <c r="P250" s="652">
        <v>25980308</v>
      </c>
      <c r="Q250" s="652">
        <v>0</v>
      </c>
      <c r="R250" s="652">
        <f t="shared" si="10"/>
        <v>32779590</v>
      </c>
      <c r="S250" s="652"/>
      <c r="T250" s="652">
        <f t="shared" si="11"/>
        <v>4677136</v>
      </c>
      <c r="U250" s="652">
        <v>261016</v>
      </c>
      <c r="V250" s="652">
        <v>4938152</v>
      </c>
      <c r="W250" s="654"/>
      <c r="X250" s="654"/>
      <c r="Y250" s="654"/>
      <c r="Z250" s="654"/>
      <c r="AA250" s="654"/>
      <c r="AB250" s="654"/>
      <c r="AC250" s="654"/>
      <c r="AD250" s="654"/>
      <c r="AE250" s="655"/>
      <c r="AF250" s="655"/>
      <c r="AG250" s="655"/>
      <c r="AH250" s="655"/>
      <c r="AI250" s="655"/>
      <c r="AJ250" s="655"/>
      <c r="AK250" s="655"/>
      <c r="AL250" s="655"/>
    </row>
    <row r="251" spans="1:38" hidden="1" x14ac:dyDescent="0.25">
      <c r="A251" s="653">
        <v>38105</v>
      </c>
      <c r="B251" s="651" t="s">
        <v>1463</v>
      </c>
      <c r="C251" s="675">
        <v>5.9900000000000003E-4</v>
      </c>
      <c r="D251" s="675">
        <v>5.5199999999999997E-4</v>
      </c>
      <c r="E251" s="680">
        <v>549124</v>
      </c>
      <c r="F251" s="651">
        <v>26060507</v>
      </c>
      <c r="G251" s="652">
        <v>18100313</v>
      </c>
      <c r="H251" s="652">
        <v>0</v>
      </c>
      <c r="I251" s="652">
        <v>0</v>
      </c>
      <c r="J251" s="652">
        <v>0</v>
      </c>
      <c r="K251" s="652">
        <v>0</v>
      </c>
      <c r="L251" s="652">
        <f t="shared" si="9"/>
        <v>0</v>
      </c>
      <c r="M251" s="652"/>
      <c r="N251" s="652">
        <v>1297826</v>
      </c>
      <c r="O251" s="652">
        <v>6727</v>
      </c>
      <c r="P251" s="652">
        <v>4984744</v>
      </c>
      <c r="Q251" s="652">
        <v>1682635</v>
      </c>
      <c r="R251" s="652">
        <f t="shared" si="10"/>
        <v>7971932</v>
      </c>
      <c r="S251" s="652"/>
      <c r="T251" s="652">
        <f t="shared" si="11"/>
        <v>897384</v>
      </c>
      <c r="U251" s="652">
        <v>-336523</v>
      </c>
      <c r="V251" s="652">
        <v>560861</v>
      </c>
      <c r="W251" s="654"/>
      <c r="X251" s="654"/>
      <c r="Y251" s="654"/>
      <c r="Z251" s="654"/>
      <c r="AA251" s="654"/>
      <c r="AB251" s="654"/>
      <c r="AC251" s="654"/>
      <c r="AD251" s="654"/>
      <c r="AE251" s="655"/>
      <c r="AF251" s="655"/>
      <c r="AG251" s="655"/>
      <c r="AH251" s="655"/>
      <c r="AI251" s="655"/>
      <c r="AJ251" s="655"/>
      <c r="AK251" s="655"/>
      <c r="AL251" s="655"/>
    </row>
    <row r="252" spans="1:38" hidden="1" x14ac:dyDescent="0.25">
      <c r="A252" s="653">
        <v>38200</v>
      </c>
      <c r="B252" s="651" t="s">
        <v>1464</v>
      </c>
      <c r="C252" s="675">
        <v>2.797E-3</v>
      </c>
      <c r="D252" s="675">
        <v>2.8119999999999998E-3</v>
      </c>
      <c r="E252" s="680">
        <v>2497736</v>
      </c>
      <c r="F252" s="651">
        <v>121689310</v>
      </c>
      <c r="G252" s="652">
        <v>92211906</v>
      </c>
      <c r="H252" s="652">
        <v>0</v>
      </c>
      <c r="I252" s="652">
        <v>0</v>
      </c>
      <c r="J252" s="652">
        <v>0</v>
      </c>
      <c r="K252" s="652">
        <v>407825</v>
      </c>
      <c r="L252" s="652">
        <f t="shared" si="9"/>
        <v>407825</v>
      </c>
      <c r="M252" s="652"/>
      <c r="N252" s="652">
        <v>6611763</v>
      </c>
      <c r="O252" s="652">
        <v>34270</v>
      </c>
      <c r="P252" s="652">
        <v>25394738</v>
      </c>
      <c r="Q252" s="652">
        <v>0</v>
      </c>
      <c r="R252" s="652">
        <f t="shared" si="10"/>
        <v>32040771</v>
      </c>
      <c r="S252" s="652"/>
      <c r="T252" s="652">
        <f t="shared" si="11"/>
        <v>4571718</v>
      </c>
      <c r="U252" s="652">
        <v>81561</v>
      </c>
      <c r="V252" s="652">
        <v>4653279</v>
      </c>
      <c r="W252" s="654"/>
      <c r="X252" s="654"/>
      <c r="Y252" s="654"/>
      <c r="Z252" s="654"/>
      <c r="AA252" s="654"/>
      <c r="AB252" s="654"/>
      <c r="AC252" s="654"/>
      <c r="AD252" s="654"/>
      <c r="AE252" s="655"/>
      <c r="AF252" s="655"/>
      <c r="AG252" s="655"/>
      <c r="AH252" s="655"/>
      <c r="AI252" s="655"/>
      <c r="AJ252" s="655"/>
      <c r="AK252" s="655"/>
      <c r="AL252" s="655"/>
    </row>
    <row r="253" spans="1:38" hidden="1" x14ac:dyDescent="0.25">
      <c r="A253" s="653">
        <v>38205</v>
      </c>
      <c r="B253" s="651" t="s">
        <v>1465</v>
      </c>
      <c r="C253" s="675">
        <v>3.8299999999999999E-4</v>
      </c>
      <c r="D253" s="675">
        <v>3.7199999999999999E-4</v>
      </c>
      <c r="E253" s="680">
        <v>412565</v>
      </c>
      <c r="F253" s="651">
        <v>16656452</v>
      </c>
      <c r="G253" s="652">
        <v>12184541</v>
      </c>
      <c r="H253" s="652">
        <v>0</v>
      </c>
      <c r="I253" s="652">
        <v>0</v>
      </c>
      <c r="J253" s="652">
        <v>0</v>
      </c>
      <c r="K253" s="652">
        <v>0</v>
      </c>
      <c r="L253" s="652">
        <f t="shared" si="9"/>
        <v>0</v>
      </c>
      <c r="M253" s="652"/>
      <c r="N253" s="652">
        <v>873654</v>
      </c>
      <c r="O253" s="652">
        <v>4528</v>
      </c>
      <c r="P253" s="652">
        <v>3355567</v>
      </c>
      <c r="Q253" s="652">
        <v>358075</v>
      </c>
      <c r="R253" s="652">
        <f t="shared" si="10"/>
        <v>4591824</v>
      </c>
      <c r="S253" s="652"/>
      <c r="T253" s="652">
        <f t="shared" si="11"/>
        <v>604090</v>
      </c>
      <c r="U253" s="652">
        <v>-71611</v>
      </c>
      <c r="V253" s="652">
        <v>532479</v>
      </c>
      <c r="W253" s="654"/>
      <c r="X253" s="654"/>
      <c r="Y253" s="654"/>
      <c r="Z253" s="654"/>
      <c r="AA253" s="654"/>
      <c r="AB253" s="654"/>
      <c r="AC253" s="654"/>
      <c r="AD253" s="654"/>
      <c r="AE253" s="655"/>
      <c r="AF253" s="655"/>
      <c r="AG253" s="655"/>
      <c r="AH253" s="655"/>
      <c r="AI253" s="655"/>
      <c r="AJ253" s="655"/>
      <c r="AK253" s="655"/>
      <c r="AL253" s="655"/>
    </row>
    <row r="254" spans="1:38" hidden="1" x14ac:dyDescent="0.25">
      <c r="A254" s="653">
        <v>38210</v>
      </c>
      <c r="B254" s="651" t="s">
        <v>1466</v>
      </c>
      <c r="C254" s="675">
        <v>1.023E-3</v>
      </c>
      <c r="D254" s="675">
        <v>1.0640000000000001E-3</v>
      </c>
      <c r="E254" s="680">
        <v>937828</v>
      </c>
      <c r="F254" s="651">
        <v>44480417</v>
      </c>
      <c r="G254" s="652">
        <v>34900169</v>
      </c>
      <c r="H254" s="652">
        <v>0</v>
      </c>
      <c r="I254" s="652">
        <v>0</v>
      </c>
      <c r="J254" s="652">
        <v>0</v>
      </c>
      <c r="K254" s="652">
        <v>1461675</v>
      </c>
      <c r="L254" s="652">
        <f t="shared" si="9"/>
        <v>1461675</v>
      </c>
      <c r="M254" s="652"/>
      <c r="N254" s="652">
        <v>2502406</v>
      </c>
      <c r="O254" s="652">
        <v>12970</v>
      </c>
      <c r="P254" s="652">
        <v>9611347</v>
      </c>
      <c r="Q254" s="652">
        <v>0</v>
      </c>
      <c r="R254" s="652">
        <f t="shared" si="10"/>
        <v>12126723</v>
      </c>
      <c r="S254" s="652"/>
      <c r="T254" s="652">
        <f t="shared" si="11"/>
        <v>1730294</v>
      </c>
      <c r="U254" s="652">
        <v>292335</v>
      </c>
      <c r="V254" s="652">
        <v>2022629</v>
      </c>
      <c r="W254" s="654"/>
      <c r="X254" s="654"/>
      <c r="Y254" s="654"/>
      <c r="Z254" s="654"/>
      <c r="AA254" s="654"/>
      <c r="AB254" s="654"/>
      <c r="AC254" s="654"/>
      <c r="AD254" s="654"/>
      <c r="AE254" s="655"/>
      <c r="AF254" s="655"/>
      <c r="AG254" s="655"/>
      <c r="AH254" s="655"/>
      <c r="AI254" s="655"/>
      <c r="AJ254" s="655"/>
      <c r="AK254" s="655"/>
      <c r="AL254" s="655"/>
    </row>
    <row r="255" spans="1:38" hidden="1" x14ac:dyDescent="0.25">
      <c r="A255" s="653">
        <v>38300</v>
      </c>
      <c r="B255" s="651" t="s">
        <v>1467</v>
      </c>
      <c r="C255" s="675">
        <v>2.1689999999999999E-3</v>
      </c>
      <c r="D255" s="675">
        <v>2.209E-3</v>
      </c>
      <c r="E255" s="680">
        <v>1996570</v>
      </c>
      <c r="F255" s="651">
        <v>94376328</v>
      </c>
      <c r="G255" s="652">
        <v>72417487</v>
      </c>
      <c r="H255" s="652">
        <v>0</v>
      </c>
      <c r="I255" s="652">
        <v>0</v>
      </c>
      <c r="J255" s="652">
        <v>0</v>
      </c>
      <c r="K255" s="652">
        <v>1341840</v>
      </c>
      <c r="L255" s="652">
        <f t="shared" si="9"/>
        <v>1341840</v>
      </c>
      <c r="M255" s="652"/>
      <c r="N255" s="652">
        <v>5192467</v>
      </c>
      <c r="O255" s="652">
        <v>26913</v>
      </c>
      <c r="P255" s="652">
        <v>19943445</v>
      </c>
      <c r="Q255" s="652">
        <v>0</v>
      </c>
      <c r="R255" s="652">
        <f t="shared" si="10"/>
        <v>25162825</v>
      </c>
      <c r="S255" s="652"/>
      <c r="T255" s="652">
        <f t="shared" si="11"/>
        <v>3590343</v>
      </c>
      <c r="U255" s="652">
        <v>268371</v>
      </c>
      <c r="V255" s="652">
        <v>3858714</v>
      </c>
      <c r="W255" s="654"/>
      <c r="X255" s="654"/>
      <c r="Y255" s="654"/>
      <c r="Z255" s="654"/>
      <c r="AA255" s="654"/>
      <c r="AB255" s="654"/>
      <c r="AC255" s="654"/>
      <c r="AD255" s="654"/>
      <c r="AE255" s="655"/>
      <c r="AF255" s="655"/>
      <c r="AG255" s="655"/>
      <c r="AH255" s="655"/>
      <c r="AI255" s="655"/>
      <c r="AJ255" s="655"/>
      <c r="AK255" s="655"/>
      <c r="AL255" s="655"/>
    </row>
    <row r="256" spans="1:38" hidden="1" x14ac:dyDescent="0.25">
      <c r="A256" s="653">
        <v>38400</v>
      </c>
      <c r="B256" s="651" t="s">
        <v>1468</v>
      </c>
      <c r="C256" s="675">
        <v>2.6940000000000002E-3</v>
      </c>
      <c r="D256" s="675">
        <v>2.7390000000000001E-3</v>
      </c>
      <c r="E256" s="680">
        <v>2484314</v>
      </c>
      <c r="F256" s="651">
        <v>117184989</v>
      </c>
      <c r="G256" s="652">
        <v>89804118</v>
      </c>
      <c r="H256" s="652">
        <v>0</v>
      </c>
      <c r="I256" s="652">
        <v>0</v>
      </c>
      <c r="J256" s="652">
        <v>0</v>
      </c>
      <c r="K256" s="652">
        <v>1546035</v>
      </c>
      <c r="L256" s="652">
        <f t="shared" si="9"/>
        <v>1546035</v>
      </c>
      <c r="M256" s="652"/>
      <c r="N256" s="652">
        <v>6439120</v>
      </c>
      <c r="O256" s="652">
        <v>33375</v>
      </c>
      <c r="P256" s="652">
        <v>24731644</v>
      </c>
      <c r="Q256" s="652">
        <v>0</v>
      </c>
      <c r="R256" s="652">
        <f t="shared" si="10"/>
        <v>31204139</v>
      </c>
      <c r="S256" s="652"/>
      <c r="T256" s="652">
        <f t="shared" si="11"/>
        <v>4452344</v>
      </c>
      <c r="U256" s="652">
        <v>309203</v>
      </c>
      <c r="V256" s="652">
        <v>4761547</v>
      </c>
      <c r="W256" s="654"/>
      <c r="X256" s="654"/>
      <c r="Y256" s="654"/>
      <c r="Z256" s="654"/>
      <c r="AA256" s="654"/>
      <c r="AB256" s="654"/>
      <c r="AC256" s="654"/>
      <c r="AD256" s="654"/>
      <c r="AE256" s="655"/>
      <c r="AF256" s="655"/>
      <c r="AG256" s="655"/>
      <c r="AH256" s="655"/>
      <c r="AI256" s="655"/>
      <c r="AJ256" s="655"/>
      <c r="AK256" s="655"/>
      <c r="AL256" s="655"/>
    </row>
    <row r="257" spans="1:38" hidden="1" x14ac:dyDescent="0.25">
      <c r="A257" s="653">
        <v>38402</v>
      </c>
      <c r="B257" s="651" t="s">
        <v>1469</v>
      </c>
      <c r="C257" s="675">
        <v>9.6000000000000002E-5</v>
      </c>
      <c r="D257" s="675">
        <v>1.12E-4</v>
      </c>
      <c r="E257" s="680">
        <v>90608</v>
      </c>
      <c r="F257" s="651">
        <v>4190856</v>
      </c>
      <c r="G257" s="652">
        <v>3680058</v>
      </c>
      <c r="H257" s="652">
        <v>0</v>
      </c>
      <c r="I257" s="652">
        <v>0</v>
      </c>
      <c r="J257" s="652">
        <v>0</v>
      </c>
      <c r="K257" s="652">
        <v>563385</v>
      </c>
      <c r="L257" s="652">
        <f t="shared" si="9"/>
        <v>563385</v>
      </c>
      <c r="M257" s="652"/>
      <c r="N257" s="652">
        <v>263867</v>
      </c>
      <c r="O257" s="652">
        <v>1368</v>
      </c>
      <c r="P257" s="652">
        <v>1013471</v>
      </c>
      <c r="Q257" s="652">
        <v>0</v>
      </c>
      <c r="R257" s="652">
        <f t="shared" si="10"/>
        <v>1278706</v>
      </c>
      <c r="S257" s="652"/>
      <c r="T257" s="652">
        <f t="shared" si="11"/>
        <v>182451</v>
      </c>
      <c r="U257" s="652">
        <v>112680</v>
      </c>
      <c r="V257" s="652">
        <v>295131</v>
      </c>
      <c r="W257" s="654"/>
      <c r="X257" s="654"/>
      <c r="Y257" s="654"/>
      <c r="Z257" s="654"/>
      <c r="AA257" s="654"/>
      <c r="AB257" s="654"/>
      <c r="AC257" s="654"/>
      <c r="AD257" s="654"/>
      <c r="AE257" s="655"/>
      <c r="AF257" s="655"/>
      <c r="AG257" s="655"/>
      <c r="AH257" s="655"/>
      <c r="AI257" s="655"/>
      <c r="AJ257" s="655"/>
      <c r="AK257" s="655"/>
      <c r="AL257" s="655"/>
    </row>
    <row r="258" spans="1:38" hidden="1" x14ac:dyDescent="0.25">
      <c r="A258" s="653">
        <v>38405</v>
      </c>
      <c r="B258" s="651" t="s">
        <v>1470</v>
      </c>
      <c r="C258" s="675">
        <v>6.8800000000000003E-4</v>
      </c>
      <c r="D258" s="675">
        <v>6.5700000000000003E-4</v>
      </c>
      <c r="E258" s="680">
        <v>625735</v>
      </c>
      <c r="F258" s="651">
        <v>29907353</v>
      </c>
      <c r="G258" s="652">
        <v>21532223</v>
      </c>
      <c r="H258" s="652">
        <v>0</v>
      </c>
      <c r="I258" s="652">
        <v>0</v>
      </c>
      <c r="J258" s="652">
        <v>0</v>
      </c>
      <c r="K258" s="652">
        <v>0</v>
      </c>
      <c r="L258" s="652">
        <f t="shared" si="9"/>
        <v>0</v>
      </c>
      <c r="M258" s="652"/>
      <c r="N258" s="652">
        <v>1543900</v>
      </c>
      <c r="O258" s="652">
        <v>8002</v>
      </c>
      <c r="P258" s="652">
        <v>5929876</v>
      </c>
      <c r="Q258" s="652">
        <v>1112625</v>
      </c>
      <c r="R258" s="652">
        <f t="shared" si="10"/>
        <v>8594403</v>
      </c>
      <c r="S258" s="652"/>
      <c r="T258" s="652">
        <f t="shared" si="11"/>
        <v>1067533</v>
      </c>
      <c r="U258" s="652">
        <v>-222525</v>
      </c>
      <c r="V258" s="652">
        <v>845008</v>
      </c>
      <c r="W258" s="654"/>
      <c r="X258" s="654"/>
      <c r="Y258" s="654"/>
      <c r="Z258" s="654"/>
      <c r="AA258" s="654"/>
      <c r="AB258" s="654"/>
      <c r="AC258" s="654"/>
      <c r="AD258" s="654"/>
      <c r="AE258" s="655"/>
      <c r="AF258" s="655"/>
      <c r="AG258" s="655"/>
      <c r="AH258" s="655"/>
      <c r="AI258" s="655"/>
      <c r="AJ258" s="655"/>
      <c r="AK258" s="655"/>
      <c r="AL258" s="655"/>
    </row>
    <row r="259" spans="1:38" hidden="1" x14ac:dyDescent="0.25">
      <c r="A259" s="653">
        <v>38500</v>
      </c>
      <c r="B259" s="651" t="s">
        <v>1471</v>
      </c>
      <c r="C259" s="675">
        <v>2.16E-3</v>
      </c>
      <c r="D259" s="675">
        <v>2.14E-3</v>
      </c>
      <c r="E259" s="680">
        <v>1945416</v>
      </c>
      <c r="F259" s="651">
        <v>93954563</v>
      </c>
      <c r="G259" s="652">
        <v>70162741</v>
      </c>
      <c r="H259" s="652">
        <v>0</v>
      </c>
      <c r="I259" s="652">
        <v>0</v>
      </c>
      <c r="J259" s="652">
        <v>0</v>
      </c>
      <c r="K259" s="652">
        <v>0</v>
      </c>
      <c r="L259" s="652">
        <f t="shared" si="9"/>
        <v>0</v>
      </c>
      <c r="M259" s="652"/>
      <c r="N259" s="652">
        <v>5030798</v>
      </c>
      <c r="O259" s="652">
        <v>26076</v>
      </c>
      <c r="P259" s="652">
        <v>19322498</v>
      </c>
      <c r="Q259" s="652">
        <v>787990</v>
      </c>
      <c r="R259" s="652">
        <f t="shared" si="10"/>
        <v>25167362</v>
      </c>
      <c r="S259" s="652"/>
      <c r="T259" s="652">
        <f t="shared" si="11"/>
        <v>3478556</v>
      </c>
      <c r="U259" s="652">
        <v>-157600</v>
      </c>
      <c r="V259" s="652">
        <v>3320956</v>
      </c>
      <c r="W259" s="654"/>
      <c r="X259" s="654"/>
      <c r="Y259" s="654"/>
      <c r="Z259" s="654"/>
      <c r="AA259" s="654"/>
      <c r="AB259" s="654"/>
      <c r="AC259" s="654"/>
      <c r="AD259" s="654"/>
      <c r="AE259" s="655"/>
      <c r="AF259" s="655"/>
      <c r="AG259" s="655"/>
      <c r="AH259" s="655"/>
      <c r="AI259" s="655"/>
      <c r="AJ259" s="655"/>
      <c r="AK259" s="655"/>
      <c r="AL259" s="655"/>
    </row>
    <row r="260" spans="1:38" hidden="1" x14ac:dyDescent="0.25">
      <c r="A260" s="653">
        <v>38600</v>
      </c>
      <c r="B260" s="651" t="s">
        <v>1472</v>
      </c>
      <c r="C260" s="675">
        <v>2.643E-3</v>
      </c>
      <c r="D260" s="675">
        <v>2.7550000000000001E-3</v>
      </c>
      <c r="E260" s="680">
        <v>2470058</v>
      </c>
      <c r="F260" s="651">
        <v>114968913</v>
      </c>
      <c r="G260" s="652">
        <v>90312846</v>
      </c>
      <c r="H260" s="652">
        <v>0</v>
      </c>
      <c r="I260" s="652">
        <v>0</v>
      </c>
      <c r="J260" s="652">
        <v>0</v>
      </c>
      <c r="K260" s="652">
        <v>3931110</v>
      </c>
      <c r="L260" s="652">
        <f t="shared" si="9"/>
        <v>3931110</v>
      </c>
      <c r="M260" s="652"/>
      <c r="N260" s="652">
        <v>6475597</v>
      </c>
      <c r="O260" s="652">
        <v>33564</v>
      </c>
      <c r="P260" s="652">
        <v>24871745</v>
      </c>
      <c r="Q260" s="652">
        <v>0</v>
      </c>
      <c r="R260" s="652">
        <f t="shared" si="10"/>
        <v>31380906</v>
      </c>
      <c r="S260" s="652"/>
      <c r="T260" s="652">
        <f t="shared" si="11"/>
        <v>4477566</v>
      </c>
      <c r="U260" s="652">
        <v>786222</v>
      </c>
      <c r="V260" s="652">
        <v>5263788</v>
      </c>
      <c r="W260" s="654"/>
      <c r="X260" s="654"/>
      <c r="Y260" s="654"/>
      <c r="Z260" s="654"/>
      <c r="AA260" s="654"/>
      <c r="AB260" s="654"/>
      <c r="AC260" s="654"/>
      <c r="AD260" s="654"/>
      <c r="AE260" s="655"/>
      <c r="AF260" s="655"/>
      <c r="AG260" s="655"/>
      <c r="AH260" s="655"/>
      <c r="AI260" s="655"/>
      <c r="AJ260" s="655"/>
      <c r="AK260" s="655"/>
      <c r="AL260" s="655"/>
    </row>
    <row r="261" spans="1:38" hidden="1" x14ac:dyDescent="0.25">
      <c r="A261" s="653">
        <v>38601</v>
      </c>
      <c r="B261" s="651" t="s">
        <v>1473</v>
      </c>
      <c r="C261" s="675">
        <v>3.6999999999999998E-5</v>
      </c>
      <c r="D261" s="675">
        <v>3.1999999999999999E-5</v>
      </c>
      <c r="E261" s="680">
        <v>26911</v>
      </c>
      <c r="F261" s="651">
        <v>1620423</v>
      </c>
      <c r="G261" s="652">
        <v>1053326</v>
      </c>
      <c r="H261" s="652">
        <v>0</v>
      </c>
      <c r="I261" s="652">
        <v>0</v>
      </c>
      <c r="J261" s="652">
        <v>0</v>
      </c>
      <c r="K261" s="652">
        <v>0</v>
      </c>
      <c r="L261" s="652">
        <f t="shared" si="9"/>
        <v>0</v>
      </c>
      <c r="M261" s="652"/>
      <c r="N261" s="652">
        <v>75525</v>
      </c>
      <c r="O261" s="652">
        <v>391</v>
      </c>
      <c r="P261" s="652">
        <v>290081</v>
      </c>
      <c r="Q261" s="652">
        <v>188675</v>
      </c>
      <c r="R261" s="652">
        <f t="shared" si="10"/>
        <v>554672</v>
      </c>
      <c r="S261" s="652"/>
      <c r="T261" s="652">
        <f t="shared" si="11"/>
        <v>52222</v>
      </c>
      <c r="U261" s="652">
        <v>-37735</v>
      </c>
      <c r="V261" s="652">
        <v>14487</v>
      </c>
      <c r="W261" s="654"/>
      <c r="X261" s="654"/>
      <c r="Y261" s="654"/>
      <c r="Z261" s="654"/>
      <c r="AA261" s="654"/>
      <c r="AB261" s="654"/>
      <c r="AC261" s="654"/>
      <c r="AD261" s="654"/>
      <c r="AE261" s="655"/>
      <c r="AF261" s="655"/>
      <c r="AG261" s="655"/>
      <c r="AH261" s="655"/>
      <c r="AI261" s="655"/>
      <c r="AJ261" s="655"/>
      <c r="AK261" s="655"/>
      <c r="AL261" s="655"/>
    </row>
    <row r="262" spans="1:38" hidden="1" x14ac:dyDescent="0.25">
      <c r="A262" s="653">
        <v>38602</v>
      </c>
      <c r="B262" s="651" t="s">
        <v>1474</v>
      </c>
      <c r="C262" s="675">
        <v>1.6699999999999999E-4</v>
      </c>
      <c r="D262" s="675">
        <v>2.0000000000000001E-4</v>
      </c>
      <c r="E262" s="680">
        <v>175880</v>
      </c>
      <c r="F262" s="651">
        <v>7250522</v>
      </c>
      <c r="G262" s="652">
        <v>6551021</v>
      </c>
      <c r="H262" s="652">
        <v>0</v>
      </c>
      <c r="I262" s="652">
        <v>0</v>
      </c>
      <c r="J262" s="652">
        <v>0</v>
      </c>
      <c r="K262" s="652">
        <v>1189890</v>
      </c>
      <c r="L262" s="652">
        <f t="shared" si="9"/>
        <v>1189890</v>
      </c>
      <c r="M262" s="652"/>
      <c r="N262" s="652">
        <v>469720</v>
      </c>
      <c r="O262" s="652">
        <v>2435</v>
      </c>
      <c r="P262" s="652">
        <v>1804121</v>
      </c>
      <c r="Q262" s="652">
        <v>0</v>
      </c>
      <c r="R262" s="652">
        <f t="shared" si="10"/>
        <v>2276276</v>
      </c>
      <c r="S262" s="652"/>
      <c r="T262" s="652">
        <f t="shared" si="11"/>
        <v>324789</v>
      </c>
      <c r="U262" s="652">
        <v>237976</v>
      </c>
      <c r="V262" s="652">
        <v>562765</v>
      </c>
      <c r="W262" s="654"/>
      <c r="X262" s="654"/>
      <c r="Y262" s="654"/>
      <c r="Z262" s="654"/>
      <c r="AA262" s="654"/>
      <c r="AB262" s="654"/>
      <c r="AC262" s="654"/>
      <c r="AD262" s="654"/>
      <c r="AE262" s="655"/>
      <c r="AF262" s="655"/>
      <c r="AG262" s="655"/>
      <c r="AH262" s="655"/>
      <c r="AI262" s="655"/>
      <c r="AJ262" s="655"/>
      <c r="AK262" s="655"/>
      <c r="AL262" s="655"/>
    </row>
    <row r="263" spans="1:38" hidden="1" x14ac:dyDescent="0.25">
      <c r="A263" s="653">
        <v>38605</v>
      </c>
      <c r="B263" s="651" t="s">
        <v>1475</v>
      </c>
      <c r="C263" s="675">
        <v>7.45E-4</v>
      </c>
      <c r="D263" s="675">
        <v>7.0600000000000003E-4</v>
      </c>
      <c r="E263" s="680">
        <v>694092</v>
      </c>
      <c r="F263" s="651">
        <v>32427483</v>
      </c>
      <c r="G263" s="652">
        <v>23144077</v>
      </c>
      <c r="H263" s="652">
        <v>0</v>
      </c>
      <c r="I263" s="652">
        <v>0</v>
      </c>
      <c r="J263" s="652">
        <v>0</v>
      </c>
      <c r="K263" s="652">
        <v>0</v>
      </c>
      <c r="L263" s="652">
        <f t="shared" si="9"/>
        <v>0</v>
      </c>
      <c r="M263" s="652"/>
      <c r="N263" s="652">
        <v>1659473</v>
      </c>
      <c r="O263" s="652">
        <v>8601</v>
      </c>
      <c r="P263" s="652">
        <v>6373773</v>
      </c>
      <c r="Q263" s="652">
        <v>1412430</v>
      </c>
      <c r="R263" s="652">
        <f t="shared" si="10"/>
        <v>9454277</v>
      </c>
      <c r="S263" s="652"/>
      <c r="T263" s="652">
        <f t="shared" si="11"/>
        <v>1147446</v>
      </c>
      <c r="U263" s="652">
        <v>-282484</v>
      </c>
      <c r="V263" s="652">
        <v>864962</v>
      </c>
      <c r="W263" s="654"/>
      <c r="X263" s="654"/>
      <c r="Y263" s="654"/>
      <c r="Z263" s="654"/>
      <c r="AA263" s="654"/>
      <c r="AB263" s="654"/>
      <c r="AC263" s="654"/>
      <c r="AD263" s="654"/>
      <c r="AE263" s="655"/>
      <c r="AF263" s="655"/>
      <c r="AG263" s="655"/>
      <c r="AH263" s="655"/>
      <c r="AI263" s="655"/>
      <c r="AJ263" s="655"/>
      <c r="AK263" s="655"/>
      <c r="AL263" s="655"/>
    </row>
    <row r="264" spans="1:38" hidden="1" x14ac:dyDescent="0.25">
      <c r="A264" s="653">
        <v>38610</v>
      </c>
      <c r="B264" s="651" t="s">
        <v>1476</v>
      </c>
      <c r="C264" s="675">
        <v>5.53E-4</v>
      </c>
      <c r="D264" s="675">
        <v>5.4799999999999998E-4</v>
      </c>
      <c r="E264" s="680">
        <v>525350</v>
      </c>
      <c r="F264" s="651">
        <v>24051086</v>
      </c>
      <c r="G264" s="652">
        <v>17980947</v>
      </c>
      <c r="H264" s="652">
        <v>0</v>
      </c>
      <c r="I264" s="652">
        <v>0</v>
      </c>
      <c r="J264" s="652">
        <v>0</v>
      </c>
      <c r="K264" s="652">
        <v>0</v>
      </c>
      <c r="L264" s="652">
        <f t="shared" ref="L264:L310" si="12">SUM(H264:K264)</f>
        <v>0</v>
      </c>
      <c r="M264" s="652"/>
      <c r="N264" s="652">
        <v>1289267</v>
      </c>
      <c r="O264" s="652">
        <v>6682</v>
      </c>
      <c r="P264" s="652">
        <v>4951871</v>
      </c>
      <c r="Q264" s="652">
        <v>157030</v>
      </c>
      <c r="R264" s="652">
        <f t="shared" ref="R264:R310" si="13">SUM(N264:Q264)</f>
        <v>6404850</v>
      </c>
      <c r="S264" s="652"/>
      <c r="T264" s="652">
        <f t="shared" ref="T264:T312" si="14">V264-U264</f>
        <v>891466</v>
      </c>
      <c r="U264" s="652">
        <v>-31406</v>
      </c>
      <c r="V264" s="652">
        <v>860060</v>
      </c>
      <c r="W264" s="654"/>
      <c r="X264" s="654"/>
      <c r="Y264" s="654"/>
      <c r="Z264" s="654"/>
      <c r="AA264" s="654"/>
      <c r="AB264" s="654"/>
      <c r="AC264" s="654"/>
      <c r="AD264" s="654"/>
      <c r="AE264" s="655"/>
      <c r="AF264" s="655"/>
      <c r="AG264" s="655"/>
      <c r="AH264" s="655"/>
      <c r="AI264" s="655"/>
      <c r="AJ264" s="655"/>
      <c r="AK264" s="655"/>
      <c r="AL264" s="655"/>
    </row>
    <row r="265" spans="1:38" hidden="1" x14ac:dyDescent="0.25">
      <c r="A265" s="653">
        <v>38620</v>
      </c>
      <c r="B265" s="651" t="s">
        <v>1477</v>
      </c>
      <c r="C265" s="675">
        <v>4.5899999999999999E-4</v>
      </c>
      <c r="D265" s="675">
        <v>4.4700000000000002E-4</v>
      </c>
      <c r="E265" s="680">
        <v>414022</v>
      </c>
      <c r="F265" s="651">
        <v>19954570</v>
      </c>
      <c r="G265" s="652">
        <v>14646449</v>
      </c>
      <c r="H265" s="652">
        <v>0</v>
      </c>
      <c r="I265" s="652">
        <v>0</v>
      </c>
      <c r="J265" s="652">
        <v>0</v>
      </c>
      <c r="K265" s="652">
        <v>0</v>
      </c>
      <c r="L265" s="652">
        <f t="shared" si="12"/>
        <v>0</v>
      </c>
      <c r="M265" s="652"/>
      <c r="N265" s="652">
        <v>1050177</v>
      </c>
      <c r="O265" s="652">
        <v>5443</v>
      </c>
      <c r="P265" s="652">
        <v>4033565</v>
      </c>
      <c r="Q265" s="652">
        <v>442550</v>
      </c>
      <c r="R265" s="652">
        <f t="shared" si="13"/>
        <v>5531735</v>
      </c>
      <c r="S265" s="652"/>
      <c r="T265" s="652">
        <f t="shared" si="14"/>
        <v>726147</v>
      </c>
      <c r="U265" s="652">
        <v>-88511</v>
      </c>
      <c r="V265" s="652">
        <v>637636</v>
      </c>
      <c r="W265" s="654"/>
      <c r="X265" s="654"/>
      <c r="Y265" s="654"/>
      <c r="Z265" s="654"/>
      <c r="AA265" s="654"/>
      <c r="AB265" s="654"/>
      <c r="AC265" s="654"/>
      <c r="AD265" s="654"/>
      <c r="AE265" s="655"/>
      <c r="AF265" s="655"/>
      <c r="AG265" s="655"/>
      <c r="AH265" s="655"/>
      <c r="AI265" s="655"/>
      <c r="AJ265" s="655"/>
      <c r="AK265" s="655"/>
      <c r="AL265" s="655"/>
    </row>
    <row r="266" spans="1:38" hidden="1" x14ac:dyDescent="0.25">
      <c r="A266" s="653">
        <v>38700</v>
      </c>
      <c r="B266" s="651" t="s">
        <v>1478</v>
      </c>
      <c r="C266" s="675">
        <v>7.9100000000000004E-4</v>
      </c>
      <c r="D266" s="675">
        <v>8.2299999999999995E-4</v>
      </c>
      <c r="E266" s="680">
        <v>711406</v>
      </c>
      <c r="F266" s="651">
        <v>34389251</v>
      </c>
      <c r="G266" s="652">
        <v>26980726</v>
      </c>
      <c r="H266" s="652">
        <v>0</v>
      </c>
      <c r="I266" s="652">
        <v>0</v>
      </c>
      <c r="J266" s="652">
        <v>0</v>
      </c>
      <c r="K266" s="652">
        <v>1116820</v>
      </c>
      <c r="L266" s="652">
        <f t="shared" si="12"/>
        <v>1116820</v>
      </c>
      <c r="M266" s="652"/>
      <c r="N266" s="652">
        <v>1934568</v>
      </c>
      <c r="O266" s="652">
        <v>10027</v>
      </c>
      <c r="P266" s="652">
        <v>7430369</v>
      </c>
      <c r="Q266" s="652">
        <v>0</v>
      </c>
      <c r="R266" s="652">
        <f t="shared" si="13"/>
        <v>9374964</v>
      </c>
      <c r="S266" s="652"/>
      <c r="T266" s="652">
        <f t="shared" si="14"/>
        <v>1337661</v>
      </c>
      <c r="U266" s="652">
        <v>223364</v>
      </c>
      <c r="V266" s="652">
        <v>1561025</v>
      </c>
      <c r="W266" s="654"/>
      <c r="X266" s="654"/>
      <c r="Y266" s="654"/>
      <c r="Z266" s="654"/>
      <c r="AA266" s="654"/>
      <c r="AB266" s="654"/>
      <c r="AC266" s="654"/>
      <c r="AD266" s="654"/>
      <c r="AE266" s="655"/>
      <c r="AF266" s="655"/>
      <c r="AG266" s="655"/>
      <c r="AH266" s="655"/>
      <c r="AI266" s="655"/>
      <c r="AJ266" s="655"/>
      <c r="AK266" s="655"/>
      <c r="AL266" s="655"/>
    </row>
    <row r="267" spans="1:38" hidden="1" x14ac:dyDescent="0.25">
      <c r="A267" s="653">
        <v>38701</v>
      </c>
      <c r="B267" s="651" t="s">
        <v>1479</v>
      </c>
      <c r="C267" s="675">
        <v>5.1E-5</v>
      </c>
      <c r="D267" s="675">
        <v>4.8000000000000001E-5</v>
      </c>
      <c r="E267" s="680">
        <v>47671</v>
      </c>
      <c r="F267" s="651">
        <v>2200294</v>
      </c>
      <c r="G267" s="652">
        <v>1581166</v>
      </c>
      <c r="H267" s="652">
        <v>0</v>
      </c>
      <c r="I267" s="652">
        <v>0</v>
      </c>
      <c r="J267" s="652">
        <v>0</v>
      </c>
      <c r="K267" s="652">
        <v>0</v>
      </c>
      <c r="L267" s="652">
        <f t="shared" si="12"/>
        <v>0</v>
      </c>
      <c r="M267" s="652"/>
      <c r="N267" s="652">
        <v>113372</v>
      </c>
      <c r="O267" s="652">
        <v>588</v>
      </c>
      <c r="P267" s="652">
        <v>435446</v>
      </c>
      <c r="Q267" s="652">
        <v>83700</v>
      </c>
      <c r="R267" s="652">
        <f t="shared" si="13"/>
        <v>633106</v>
      </c>
      <c r="S267" s="652"/>
      <c r="T267" s="652">
        <f t="shared" si="14"/>
        <v>78392</v>
      </c>
      <c r="U267" s="652">
        <v>-16743</v>
      </c>
      <c r="V267" s="652">
        <v>61649</v>
      </c>
      <c r="W267" s="654"/>
      <c r="X267" s="654"/>
      <c r="Y267" s="654"/>
      <c r="Z267" s="654"/>
      <c r="AA267" s="654"/>
      <c r="AB267" s="654"/>
      <c r="AC267" s="654"/>
      <c r="AD267" s="654"/>
      <c r="AE267" s="655"/>
      <c r="AF267" s="655"/>
      <c r="AG267" s="655"/>
      <c r="AH267" s="655"/>
      <c r="AI267" s="655"/>
      <c r="AJ267" s="655"/>
      <c r="AK267" s="655"/>
      <c r="AL267" s="655"/>
    </row>
    <row r="268" spans="1:38" hidden="1" x14ac:dyDescent="0.25">
      <c r="A268" s="653">
        <v>38800</v>
      </c>
      <c r="B268" s="651" t="s">
        <v>1480</v>
      </c>
      <c r="C268" s="675">
        <v>1.3760000000000001E-3</v>
      </c>
      <c r="D268" s="675">
        <v>1.4E-3</v>
      </c>
      <c r="E268" s="680">
        <v>1240318</v>
      </c>
      <c r="F268" s="651">
        <v>59847902</v>
      </c>
      <c r="G268" s="652">
        <v>45915902</v>
      </c>
      <c r="H268" s="652">
        <v>0</v>
      </c>
      <c r="I268" s="652">
        <v>0</v>
      </c>
      <c r="J268" s="652">
        <v>0</v>
      </c>
      <c r="K268" s="652">
        <v>821860</v>
      </c>
      <c r="L268" s="652">
        <f t="shared" si="12"/>
        <v>821860</v>
      </c>
      <c r="M268" s="652"/>
      <c r="N268" s="652">
        <v>3292255</v>
      </c>
      <c r="O268" s="652">
        <v>17064</v>
      </c>
      <c r="P268" s="652">
        <v>12645030</v>
      </c>
      <c r="Q268" s="652">
        <v>0</v>
      </c>
      <c r="R268" s="652">
        <f t="shared" si="13"/>
        <v>15954349</v>
      </c>
      <c r="S268" s="652"/>
      <c r="T268" s="652">
        <f t="shared" si="14"/>
        <v>2276437</v>
      </c>
      <c r="U268" s="652">
        <v>164369</v>
      </c>
      <c r="V268" s="652">
        <v>2440806</v>
      </c>
      <c r="W268" s="654"/>
      <c r="X268" s="654"/>
      <c r="Y268" s="654"/>
      <c r="Z268" s="654"/>
      <c r="AA268" s="654"/>
      <c r="AB268" s="654"/>
      <c r="AC268" s="654"/>
      <c r="AD268" s="654"/>
      <c r="AE268" s="655"/>
      <c r="AF268" s="655"/>
      <c r="AG268" s="655"/>
      <c r="AH268" s="655"/>
      <c r="AI268" s="655"/>
      <c r="AJ268" s="655"/>
      <c r="AK268" s="655"/>
      <c r="AL268" s="655"/>
    </row>
    <row r="269" spans="1:38" hidden="1" x14ac:dyDescent="0.25">
      <c r="A269" s="653">
        <v>38801</v>
      </c>
      <c r="B269" s="651" t="s">
        <v>1481</v>
      </c>
      <c r="C269" s="675">
        <v>9.3999999999999994E-5</v>
      </c>
      <c r="D269" s="675">
        <v>1.16E-4</v>
      </c>
      <c r="E269" s="680">
        <v>88033</v>
      </c>
      <c r="F269" s="651">
        <v>4079205</v>
      </c>
      <c r="G269" s="652">
        <v>3788251</v>
      </c>
      <c r="H269" s="652">
        <v>0</v>
      </c>
      <c r="I269" s="652">
        <v>0</v>
      </c>
      <c r="J269" s="652">
        <v>0</v>
      </c>
      <c r="K269" s="652">
        <v>771305</v>
      </c>
      <c r="L269" s="652">
        <f t="shared" si="12"/>
        <v>771305</v>
      </c>
      <c r="M269" s="652"/>
      <c r="N269" s="652">
        <v>271625</v>
      </c>
      <c r="O269" s="652">
        <v>1408</v>
      </c>
      <c r="P269" s="652">
        <v>1043267</v>
      </c>
      <c r="Q269" s="652">
        <v>0</v>
      </c>
      <c r="R269" s="652">
        <f t="shared" si="13"/>
        <v>1316300</v>
      </c>
      <c r="S269" s="652"/>
      <c r="T269" s="652">
        <f t="shared" si="14"/>
        <v>187815</v>
      </c>
      <c r="U269" s="652">
        <v>154258</v>
      </c>
      <c r="V269" s="652">
        <v>342073</v>
      </c>
      <c r="W269" s="654"/>
      <c r="X269" s="654"/>
      <c r="Y269" s="654"/>
      <c r="Z269" s="654"/>
      <c r="AA269" s="654"/>
      <c r="AB269" s="654"/>
      <c r="AC269" s="654"/>
      <c r="AD269" s="654"/>
      <c r="AE269" s="655"/>
      <c r="AF269" s="655"/>
      <c r="AG269" s="655"/>
      <c r="AH269" s="655"/>
      <c r="AI269" s="655"/>
      <c r="AJ269" s="655"/>
      <c r="AK269" s="655"/>
      <c r="AL269" s="655"/>
    </row>
    <row r="270" spans="1:38" hidden="1" x14ac:dyDescent="0.25">
      <c r="A270" s="653">
        <v>38900</v>
      </c>
      <c r="B270" s="651" t="s">
        <v>1482</v>
      </c>
      <c r="C270" s="675">
        <v>3.0699999999999998E-4</v>
      </c>
      <c r="D270" s="675">
        <v>2.9399999999999999E-4</v>
      </c>
      <c r="E270" s="680">
        <v>277856</v>
      </c>
      <c r="F270" s="651">
        <v>13342686</v>
      </c>
      <c r="G270" s="652">
        <v>9625201</v>
      </c>
      <c r="H270" s="652">
        <v>0</v>
      </c>
      <c r="I270" s="652">
        <v>0</v>
      </c>
      <c r="J270" s="652">
        <v>0</v>
      </c>
      <c r="K270" s="652">
        <v>0</v>
      </c>
      <c r="L270" s="652">
        <f t="shared" si="12"/>
        <v>0</v>
      </c>
      <c r="M270" s="652"/>
      <c r="N270" s="652">
        <v>690145</v>
      </c>
      <c r="O270" s="652">
        <v>3577</v>
      </c>
      <c r="P270" s="652">
        <v>2650736</v>
      </c>
      <c r="Q270" s="652">
        <v>476975</v>
      </c>
      <c r="R270" s="652">
        <f t="shared" si="13"/>
        <v>3821433</v>
      </c>
      <c r="S270" s="652"/>
      <c r="T270" s="652">
        <f t="shared" si="14"/>
        <v>477202</v>
      </c>
      <c r="U270" s="652">
        <v>-95398</v>
      </c>
      <c r="V270" s="652">
        <v>381804</v>
      </c>
      <c r="W270" s="654"/>
      <c r="X270" s="654"/>
      <c r="Y270" s="654"/>
      <c r="Z270" s="654"/>
      <c r="AA270" s="654"/>
      <c r="AB270" s="654"/>
      <c r="AC270" s="654"/>
      <c r="AD270" s="654"/>
      <c r="AE270" s="655"/>
      <c r="AF270" s="655"/>
      <c r="AG270" s="655"/>
      <c r="AH270" s="655"/>
      <c r="AI270" s="655"/>
      <c r="AJ270" s="655"/>
      <c r="AK270" s="655"/>
      <c r="AL270" s="655"/>
    </row>
    <row r="271" spans="1:38" hidden="1" x14ac:dyDescent="0.25">
      <c r="A271" s="653">
        <v>39000</v>
      </c>
      <c r="B271" s="651" t="s">
        <v>1483</v>
      </c>
      <c r="C271" s="675">
        <v>1.3912000000000001E-2</v>
      </c>
      <c r="D271" s="675">
        <v>1.4548999999999999E-2</v>
      </c>
      <c r="E271" s="680">
        <v>12173982</v>
      </c>
      <c r="F271" s="651">
        <v>605230565</v>
      </c>
      <c r="G271" s="652">
        <v>477021010</v>
      </c>
      <c r="H271" s="652">
        <v>0</v>
      </c>
      <c r="I271" s="652">
        <v>0</v>
      </c>
      <c r="J271" s="652">
        <v>0</v>
      </c>
      <c r="K271" s="652">
        <v>21720385</v>
      </c>
      <c r="L271" s="652">
        <f t="shared" si="12"/>
        <v>21720385</v>
      </c>
      <c r="M271" s="652"/>
      <c r="N271" s="652">
        <v>34203284</v>
      </c>
      <c r="O271" s="652">
        <v>177282</v>
      </c>
      <c r="P271" s="652">
        <v>131369408</v>
      </c>
      <c r="Q271" s="652">
        <v>0</v>
      </c>
      <c r="R271" s="652">
        <f t="shared" si="13"/>
        <v>165749974</v>
      </c>
      <c r="S271" s="652"/>
      <c r="T271" s="652">
        <f t="shared" si="14"/>
        <v>23649936</v>
      </c>
      <c r="U271" s="652">
        <v>4344080</v>
      </c>
      <c r="V271" s="652">
        <v>27994016</v>
      </c>
      <c r="W271" s="654"/>
      <c r="X271" s="654"/>
      <c r="Y271" s="654"/>
      <c r="Z271" s="654"/>
      <c r="AA271" s="654"/>
      <c r="AB271" s="654"/>
      <c r="AC271" s="654"/>
      <c r="AD271" s="654"/>
      <c r="AE271" s="655"/>
      <c r="AF271" s="655"/>
      <c r="AG271" s="655"/>
      <c r="AH271" s="655"/>
      <c r="AI271" s="655"/>
      <c r="AJ271" s="655"/>
      <c r="AK271" s="655"/>
      <c r="AL271" s="655"/>
    </row>
    <row r="272" spans="1:38" hidden="1" x14ac:dyDescent="0.25">
      <c r="A272" s="653">
        <v>39100</v>
      </c>
      <c r="B272" s="651" t="s">
        <v>1484</v>
      </c>
      <c r="C272" s="675">
        <v>2.134E-3</v>
      </c>
      <c r="D272" s="675">
        <v>2.0960000000000002E-3</v>
      </c>
      <c r="E272" s="680">
        <v>2059060</v>
      </c>
      <c r="F272" s="651">
        <v>92849888</v>
      </c>
      <c r="G272" s="652">
        <v>68727085</v>
      </c>
      <c r="H272" s="652">
        <v>0</v>
      </c>
      <c r="I272" s="652">
        <v>0</v>
      </c>
      <c r="J272" s="652">
        <v>0</v>
      </c>
      <c r="K272" s="652">
        <v>0</v>
      </c>
      <c r="L272" s="652">
        <f t="shared" si="12"/>
        <v>0</v>
      </c>
      <c r="M272" s="652"/>
      <c r="N272" s="652">
        <v>4927858</v>
      </c>
      <c r="O272" s="652">
        <v>25542</v>
      </c>
      <c r="P272" s="652">
        <v>18927125</v>
      </c>
      <c r="Q272" s="652">
        <v>1325495</v>
      </c>
      <c r="R272" s="652">
        <f t="shared" si="13"/>
        <v>25206020</v>
      </c>
      <c r="S272" s="652"/>
      <c r="T272" s="652">
        <f t="shared" si="14"/>
        <v>3407379</v>
      </c>
      <c r="U272" s="652">
        <v>-265101</v>
      </c>
      <c r="V272" s="652">
        <v>3142278</v>
      </c>
      <c r="W272" s="654"/>
      <c r="X272" s="654"/>
      <c r="Y272" s="654"/>
      <c r="Z272" s="654"/>
      <c r="AA272" s="654"/>
      <c r="AB272" s="654"/>
      <c r="AC272" s="654"/>
      <c r="AD272" s="654"/>
      <c r="AE272" s="655"/>
      <c r="AF272" s="655"/>
      <c r="AG272" s="655"/>
      <c r="AH272" s="655"/>
      <c r="AI272" s="655"/>
      <c r="AJ272" s="655"/>
      <c r="AK272" s="655"/>
      <c r="AL272" s="655"/>
    </row>
    <row r="273" spans="1:38" hidden="1" x14ac:dyDescent="0.25">
      <c r="A273" s="653">
        <v>39101</v>
      </c>
      <c r="B273" s="651" t="s">
        <v>1485</v>
      </c>
      <c r="C273" s="675">
        <v>1.5200000000000001E-4</v>
      </c>
      <c r="D273" s="675">
        <v>1.7699999999999999E-4</v>
      </c>
      <c r="E273" s="680">
        <v>164659</v>
      </c>
      <c r="F273" s="651">
        <v>6619367</v>
      </c>
      <c r="G273" s="652">
        <v>5792209</v>
      </c>
      <c r="H273" s="652">
        <v>0</v>
      </c>
      <c r="I273" s="652">
        <v>0</v>
      </c>
      <c r="J273" s="652">
        <v>0</v>
      </c>
      <c r="K273" s="652">
        <v>885790</v>
      </c>
      <c r="L273" s="652">
        <f t="shared" si="12"/>
        <v>885790</v>
      </c>
      <c r="M273" s="652"/>
      <c r="N273" s="652">
        <v>415312</v>
      </c>
      <c r="O273" s="652">
        <v>2153</v>
      </c>
      <c r="P273" s="652">
        <v>1595148</v>
      </c>
      <c r="Q273" s="652">
        <v>0</v>
      </c>
      <c r="R273" s="652">
        <f t="shared" si="13"/>
        <v>2012613</v>
      </c>
      <c r="S273" s="652"/>
      <c r="T273" s="652">
        <f t="shared" si="14"/>
        <v>287168</v>
      </c>
      <c r="U273" s="652">
        <v>177155</v>
      </c>
      <c r="V273" s="652">
        <v>464323</v>
      </c>
      <c r="W273" s="654"/>
      <c r="X273" s="654"/>
      <c r="Y273" s="654"/>
      <c r="Z273" s="654"/>
      <c r="AA273" s="654"/>
      <c r="AB273" s="654"/>
      <c r="AC273" s="654"/>
      <c r="AD273" s="654"/>
      <c r="AE273" s="655"/>
      <c r="AF273" s="655"/>
      <c r="AG273" s="655"/>
      <c r="AH273" s="655"/>
      <c r="AI273" s="655"/>
      <c r="AJ273" s="655"/>
      <c r="AK273" s="655"/>
      <c r="AL273" s="655"/>
    </row>
    <row r="274" spans="1:38" hidden="1" x14ac:dyDescent="0.25">
      <c r="A274" s="653">
        <v>39105</v>
      </c>
      <c r="B274" s="651" t="s">
        <v>1486</v>
      </c>
      <c r="C274" s="675">
        <v>8.8099999999999995E-4</v>
      </c>
      <c r="D274" s="675">
        <v>8.1700000000000002E-4</v>
      </c>
      <c r="E274" s="680">
        <v>818634</v>
      </c>
      <c r="F274" s="651">
        <v>38339685</v>
      </c>
      <c r="G274" s="652">
        <v>26774696</v>
      </c>
      <c r="H274" s="652">
        <v>0</v>
      </c>
      <c r="I274" s="652">
        <v>0</v>
      </c>
      <c r="J274" s="652">
        <v>0</v>
      </c>
      <c r="K274" s="652">
        <v>0</v>
      </c>
      <c r="L274" s="652">
        <f t="shared" si="12"/>
        <v>0</v>
      </c>
      <c r="M274" s="652"/>
      <c r="N274" s="652">
        <v>1919795</v>
      </c>
      <c r="O274" s="652">
        <v>9951</v>
      </c>
      <c r="P274" s="652">
        <v>7373629</v>
      </c>
      <c r="Q274" s="652">
        <v>2308690</v>
      </c>
      <c r="R274" s="652">
        <f t="shared" si="13"/>
        <v>11612065</v>
      </c>
      <c r="S274" s="652"/>
      <c r="T274" s="652">
        <f t="shared" si="14"/>
        <v>1327446</v>
      </c>
      <c r="U274" s="652">
        <v>-461737</v>
      </c>
      <c r="V274" s="652">
        <v>865709</v>
      </c>
      <c r="W274" s="654"/>
      <c r="X274" s="654"/>
      <c r="Y274" s="654"/>
      <c r="Z274" s="654"/>
      <c r="AA274" s="654"/>
      <c r="AB274" s="654"/>
      <c r="AC274" s="654"/>
      <c r="AD274" s="654"/>
      <c r="AE274" s="655"/>
      <c r="AF274" s="655"/>
      <c r="AG274" s="655"/>
      <c r="AH274" s="655"/>
      <c r="AI274" s="655"/>
      <c r="AJ274" s="655"/>
      <c r="AK274" s="655"/>
      <c r="AL274" s="655"/>
    </row>
    <row r="275" spans="1:38" hidden="1" x14ac:dyDescent="0.25">
      <c r="A275" s="653">
        <v>39200</v>
      </c>
      <c r="B275" s="651" t="s">
        <v>1487</v>
      </c>
      <c r="C275" s="675">
        <v>5.6204999999999998E-2</v>
      </c>
      <c r="D275" s="675">
        <v>6.0130000000000003E-2</v>
      </c>
      <c r="E275" s="680">
        <v>50854448</v>
      </c>
      <c r="F275" s="651">
        <v>2445108788</v>
      </c>
      <c r="G275" s="652">
        <v>1971459508</v>
      </c>
      <c r="H275" s="652">
        <v>0</v>
      </c>
      <c r="I275" s="652">
        <v>0</v>
      </c>
      <c r="J275" s="652">
        <v>0</v>
      </c>
      <c r="K275" s="652">
        <v>137070230</v>
      </c>
      <c r="L275" s="652">
        <f t="shared" si="12"/>
        <v>137070230</v>
      </c>
      <c r="M275" s="652"/>
      <c r="N275" s="652">
        <v>141357273</v>
      </c>
      <c r="O275" s="652">
        <v>732680</v>
      </c>
      <c r="P275" s="652">
        <v>542930948</v>
      </c>
      <c r="Q275" s="652">
        <v>0</v>
      </c>
      <c r="R275" s="652">
        <f t="shared" si="13"/>
        <v>685020901</v>
      </c>
      <c r="S275" s="652"/>
      <c r="T275" s="652">
        <f t="shared" si="14"/>
        <v>97741798</v>
      </c>
      <c r="U275" s="652">
        <v>27414041</v>
      </c>
      <c r="V275" s="652">
        <v>125155839</v>
      </c>
      <c r="W275" s="654"/>
      <c r="X275" s="654"/>
      <c r="Y275" s="654"/>
      <c r="Z275" s="654"/>
      <c r="AA275" s="654"/>
      <c r="AB275" s="654"/>
      <c r="AC275" s="654"/>
      <c r="AD275" s="654"/>
      <c r="AE275" s="655"/>
      <c r="AF275" s="655"/>
      <c r="AG275" s="655"/>
      <c r="AH275" s="655"/>
      <c r="AI275" s="655"/>
      <c r="AJ275" s="655"/>
      <c r="AK275" s="655"/>
      <c r="AL275" s="655"/>
    </row>
    <row r="276" spans="1:38" hidden="1" x14ac:dyDescent="0.25">
      <c r="A276" s="653">
        <v>39201</v>
      </c>
      <c r="B276" s="651" t="s">
        <v>1488</v>
      </c>
      <c r="C276" s="675">
        <v>1.7899999999999999E-4</v>
      </c>
      <c r="D276" s="675">
        <v>1.84E-4</v>
      </c>
      <c r="E276" s="680">
        <v>124848</v>
      </c>
      <c r="F276" s="651">
        <v>7789433</v>
      </c>
      <c r="G276" s="652">
        <v>6046700</v>
      </c>
      <c r="H276" s="652">
        <v>0</v>
      </c>
      <c r="I276" s="652">
        <v>0</v>
      </c>
      <c r="J276" s="652">
        <v>0</v>
      </c>
      <c r="K276" s="652">
        <v>152810</v>
      </c>
      <c r="L276" s="652">
        <f t="shared" si="12"/>
        <v>152810</v>
      </c>
      <c r="M276" s="652"/>
      <c r="N276" s="652">
        <v>433560</v>
      </c>
      <c r="O276" s="652">
        <v>2247</v>
      </c>
      <c r="P276" s="652">
        <v>1665234</v>
      </c>
      <c r="Q276" s="652">
        <v>0</v>
      </c>
      <c r="R276" s="652">
        <f t="shared" si="13"/>
        <v>2101041</v>
      </c>
      <c r="S276" s="652"/>
      <c r="T276" s="652">
        <f t="shared" si="14"/>
        <v>299786</v>
      </c>
      <c r="U276" s="652">
        <v>30560</v>
      </c>
      <c r="V276" s="652">
        <v>330346</v>
      </c>
      <c r="W276" s="654"/>
      <c r="X276" s="654"/>
      <c r="Y276" s="654"/>
      <c r="Z276" s="654"/>
      <c r="AA276" s="654"/>
      <c r="AB276" s="654"/>
      <c r="AC276" s="654"/>
      <c r="AD276" s="654"/>
      <c r="AE276" s="655"/>
      <c r="AF276" s="655"/>
      <c r="AG276" s="655"/>
      <c r="AH276" s="655"/>
      <c r="AI276" s="655"/>
      <c r="AJ276" s="655"/>
      <c r="AK276" s="655"/>
      <c r="AL276" s="655"/>
    </row>
    <row r="277" spans="1:38" hidden="1" x14ac:dyDescent="0.25">
      <c r="A277" s="653">
        <v>39204</v>
      </c>
      <c r="B277" s="651" t="s">
        <v>1489</v>
      </c>
      <c r="C277" s="675">
        <v>1.17E-4</v>
      </c>
      <c r="D277" s="675">
        <v>1.5699999999999999E-4</v>
      </c>
      <c r="E277" s="680">
        <v>126793</v>
      </c>
      <c r="F277" s="651">
        <v>5067074</v>
      </c>
      <c r="G277" s="652">
        <v>5162785</v>
      </c>
      <c r="H277" s="652">
        <v>0</v>
      </c>
      <c r="I277" s="652">
        <v>0</v>
      </c>
      <c r="J277" s="652">
        <v>0</v>
      </c>
      <c r="K277" s="652">
        <v>1467040</v>
      </c>
      <c r="L277" s="652">
        <f t="shared" si="12"/>
        <v>1467040</v>
      </c>
      <c r="M277" s="652"/>
      <c r="N277" s="652">
        <v>370181</v>
      </c>
      <c r="O277" s="652">
        <v>1919</v>
      </c>
      <c r="P277" s="652">
        <v>1421807</v>
      </c>
      <c r="Q277" s="652">
        <v>0</v>
      </c>
      <c r="R277" s="652">
        <f t="shared" si="13"/>
        <v>1793907</v>
      </c>
      <c r="S277" s="652"/>
      <c r="T277" s="652">
        <f t="shared" si="14"/>
        <v>255963</v>
      </c>
      <c r="U277" s="652">
        <v>293408</v>
      </c>
      <c r="V277" s="652">
        <v>549371</v>
      </c>
      <c r="W277" s="654"/>
      <c r="X277" s="654"/>
      <c r="Y277" s="654"/>
      <c r="Z277" s="654"/>
      <c r="AA277" s="654"/>
      <c r="AB277" s="654"/>
      <c r="AC277" s="654"/>
      <c r="AD277" s="654"/>
      <c r="AE277" s="655"/>
      <c r="AF277" s="655"/>
      <c r="AG277" s="655"/>
      <c r="AH277" s="655"/>
      <c r="AI277" s="655"/>
      <c r="AJ277" s="655"/>
      <c r="AK277" s="655"/>
      <c r="AL277" s="655"/>
    </row>
    <row r="278" spans="1:38" hidden="1" x14ac:dyDescent="0.25">
      <c r="A278" s="653">
        <v>39205</v>
      </c>
      <c r="B278" s="651" t="s">
        <v>1490</v>
      </c>
      <c r="C278" s="675">
        <v>4.3779999999999999E-3</v>
      </c>
      <c r="D278" s="675">
        <v>4.4520000000000002E-3</v>
      </c>
      <c r="E278" s="680">
        <v>4505955</v>
      </c>
      <c r="F278" s="651">
        <v>190464576</v>
      </c>
      <c r="G278" s="652">
        <v>145956593</v>
      </c>
      <c r="H278" s="652">
        <v>0</v>
      </c>
      <c r="I278" s="652">
        <v>0</v>
      </c>
      <c r="J278" s="652">
        <v>0</v>
      </c>
      <c r="K278" s="652">
        <v>2897545</v>
      </c>
      <c r="L278" s="652">
        <f t="shared" si="12"/>
        <v>2897545</v>
      </c>
      <c r="M278" s="652"/>
      <c r="N278" s="652">
        <v>10465356</v>
      </c>
      <c r="O278" s="652">
        <v>54244</v>
      </c>
      <c r="P278" s="652">
        <v>40195779</v>
      </c>
      <c r="Q278" s="652">
        <v>0</v>
      </c>
      <c r="R278" s="652">
        <f t="shared" si="13"/>
        <v>50715379</v>
      </c>
      <c r="S278" s="652"/>
      <c r="T278" s="652">
        <f t="shared" si="14"/>
        <v>7236294</v>
      </c>
      <c r="U278" s="652">
        <v>579513</v>
      </c>
      <c r="V278" s="652">
        <v>7815807</v>
      </c>
      <c r="W278" s="654"/>
      <c r="X278" s="654"/>
      <c r="Y278" s="654"/>
      <c r="Z278" s="654"/>
      <c r="AA278" s="654"/>
      <c r="AB278" s="654"/>
      <c r="AC278" s="654"/>
      <c r="AD278" s="654"/>
      <c r="AE278" s="655"/>
      <c r="AF278" s="655"/>
      <c r="AG278" s="655"/>
      <c r="AH278" s="655"/>
      <c r="AI278" s="655"/>
      <c r="AJ278" s="655"/>
      <c r="AK278" s="655"/>
      <c r="AL278" s="655"/>
    </row>
    <row r="279" spans="1:38" hidden="1" x14ac:dyDescent="0.25">
      <c r="A279" s="653">
        <v>39208</v>
      </c>
      <c r="B279" s="651" t="s">
        <v>1491</v>
      </c>
      <c r="C279" s="675">
        <v>3.6099999999999999E-4</v>
      </c>
      <c r="D279" s="675">
        <v>3.6200000000000002E-4</v>
      </c>
      <c r="E279" s="680">
        <v>269680</v>
      </c>
      <c r="F279" s="651">
        <v>15695302</v>
      </c>
      <c r="G279" s="652">
        <v>11860088</v>
      </c>
      <c r="H279" s="652">
        <v>0</v>
      </c>
      <c r="I279" s="652">
        <v>0</v>
      </c>
      <c r="J279" s="652">
        <v>0</v>
      </c>
      <c r="K279" s="652">
        <v>0</v>
      </c>
      <c r="L279" s="652">
        <f t="shared" si="12"/>
        <v>0</v>
      </c>
      <c r="M279" s="652"/>
      <c r="N279" s="652">
        <v>850390</v>
      </c>
      <c r="O279" s="652">
        <v>4408</v>
      </c>
      <c r="P279" s="652">
        <v>3266214</v>
      </c>
      <c r="Q279" s="652">
        <v>27105</v>
      </c>
      <c r="R279" s="652">
        <f t="shared" si="13"/>
        <v>4148117</v>
      </c>
      <c r="S279" s="652"/>
      <c r="T279" s="652">
        <f t="shared" si="14"/>
        <v>588004</v>
      </c>
      <c r="U279" s="652">
        <v>-5422</v>
      </c>
      <c r="V279" s="652">
        <v>582582</v>
      </c>
      <c r="W279" s="654"/>
      <c r="X279" s="654"/>
      <c r="Y279" s="654"/>
      <c r="Z279" s="654"/>
      <c r="AA279" s="654"/>
      <c r="AB279" s="654"/>
      <c r="AC279" s="654"/>
      <c r="AD279" s="654"/>
      <c r="AE279" s="655"/>
      <c r="AF279" s="655"/>
      <c r="AG279" s="655"/>
      <c r="AH279" s="655"/>
      <c r="AI279" s="655"/>
      <c r="AJ279" s="655"/>
      <c r="AK279" s="655"/>
      <c r="AL279" s="655"/>
    </row>
    <row r="280" spans="1:38" hidden="1" x14ac:dyDescent="0.25">
      <c r="A280" s="653">
        <v>39209</v>
      </c>
      <c r="B280" s="651" t="s">
        <v>1492</v>
      </c>
      <c r="C280" s="675">
        <v>1.7799999999999999E-4</v>
      </c>
      <c r="D280" s="675">
        <v>1.8599999999999999E-4</v>
      </c>
      <c r="E280" s="680">
        <v>140661</v>
      </c>
      <c r="F280" s="651">
        <v>7736162</v>
      </c>
      <c r="G280" s="652">
        <v>6111570</v>
      </c>
      <c r="H280" s="652">
        <v>0</v>
      </c>
      <c r="I280" s="652">
        <v>0</v>
      </c>
      <c r="J280" s="652">
        <v>0</v>
      </c>
      <c r="K280" s="652">
        <v>280540</v>
      </c>
      <c r="L280" s="652">
        <f t="shared" si="12"/>
        <v>280540</v>
      </c>
      <c r="M280" s="652"/>
      <c r="N280" s="652">
        <v>438211</v>
      </c>
      <c r="O280" s="652">
        <v>2271</v>
      </c>
      <c r="P280" s="652">
        <v>1683099</v>
      </c>
      <c r="Q280" s="652">
        <v>0</v>
      </c>
      <c r="R280" s="652">
        <f t="shared" si="13"/>
        <v>2123581</v>
      </c>
      <c r="S280" s="652"/>
      <c r="T280" s="652">
        <f t="shared" si="14"/>
        <v>303002</v>
      </c>
      <c r="U280" s="652">
        <v>56108</v>
      </c>
      <c r="V280" s="652">
        <v>359110</v>
      </c>
      <c r="W280" s="654"/>
      <c r="X280" s="654"/>
      <c r="Y280" s="654"/>
      <c r="Z280" s="654"/>
      <c r="AA280" s="654"/>
      <c r="AB280" s="654"/>
      <c r="AC280" s="654"/>
      <c r="AD280" s="654"/>
      <c r="AE280" s="655"/>
      <c r="AF280" s="655"/>
      <c r="AG280" s="655"/>
      <c r="AH280" s="655"/>
      <c r="AI280" s="655"/>
      <c r="AJ280" s="655"/>
      <c r="AK280" s="655"/>
      <c r="AL280" s="655"/>
    </row>
    <row r="281" spans="1:38" hidden="1" x14ac:dyDescent="0.25">
      <c r="A281" s="653">
        <v>39300</v>
      </c>
      <c r="B281" s="651" t="s">
        <v>1493</v>
      </c>
      <c r="C281" s="675">
        <v>8.4500000000000005E-4</v>
      </c>
      <c r="D281" s="675">
        <v>7.9799999999999999E-4</v>
      </c>
      <c r="E281" s="680">
        <v>751062</v>
      </c>
      <c r="F281" s="651">
        <v>36758380</v>
      </c>
      <c r="G281" s="652">
        <v>26150045</v>
      </c>
      <c r="H281" s="652">
        <v>0</v>
      </c>
      <c r="I281" s="652">
        <v>0</v>
      </c>
      <c r="J281" s="652">
        <v>0</v>
      </c>
      <c r="K281" s="652">
        <v>0</v>
      </c>
      <c r="L281" s="652">
        <f t="shared" si="12"/>
        <v>0</v>
      </c>
      <c r="M281" s="652"/>
      <c r="N281" s="652">
        <v>1875006</v>
      </c>
      <c r="O281" s="652">
        <v>9718</v>
      </c>
      <c r="P281" s="652">
        <v>7201603</v>
      </c>
      <c r="Q281" s="652">
        <v>1722850</v>
      </c>
      <c r="R281" s="652">
        <f t="shared" si="13"/>
        <v>10809177</v>
      </c>
      <c r="S281" s="652"/>
      <c r="T281" s="652">
        <f t="shared" si="14"/>
        <v>1296477</v>
      </c>
      <c r="U281" s="652">
        <v>-344573</v>
      </c>
      <c r="V281" s="652">
        <v>951904</v>
      </c>
      <c r="W281" s="654"/>
      <c r="X281" s="654"/>
      <c r="Y281" s="654"/>
      <c r="Z281" s="654"/>
      <c r="AA281" s="654"/>
      <c r="AB281" s="654"/>
      <c r="AC281" s="654"/>
      <c r="AD281" s="654"/>
      <c r="AE281" s="655"/>
      <c r="AF281" s="655"/>
      <c r="AG281" s="655"/>
      <c r="AH281" s="655"/>
      <c r="AI281" s="655"/>
      <c r="AJ281" s="655"/>
      <c r="AK281" s="655"/>
      <c r="AL281" s="655"/>
    </row>
    <row r="282" spans="1:38" hidden="1" x14ac:dyDescent="0.25">
      <c r="A282" s="653">
        <v>39301</v>
      </c>
      <c r="B282" s="651" t="s">
        <v>1494</v>
      </c>
      <c r="C282" s="675">
        <v>4.8000000000000001E-5</v>
      </c>
      <c r="D282" s="675">
        <v>5.7000000000000003E-5</v>
      </c>
      <c r="E282" s="680">
        <v>46898</v>
      </c>
      <c r="F282" s="651">
        <v>2106938</v>
      </c>
      <c r="G282" s="652">
        <v>1875079</v>
      </c>
      <c r="H282" s="652">
        <v>0</v>
      </c>
      <c r="I282" s="652">
        <v>0</v>
      </c>
      <c r="J282" s="652">
        <v>0</v>
      </c>
      <c r="K282" s="652">
        <v>311340</v>
      </c>
      <c r="L282" s="652">
        <f t="shared" si="12"/>
        <v>311340</v>
      </c>
      <c r="M282" s="652"/>
      <c r="N282" s="652">
        <v>134447</v>
      </c>
      <c r="O282" s="652">
        <v>697</v>
      </c>
      <c r="P282" s="652">
        <v>516388</v>
      </c>
      <c r="Q282" s="652">
        <v>0</v>
      </c>
      <c r="R282" s="652">
        <f t="shared" si="13"/>
        <v>651532</v>
      </c>
      <c r="S282" s="652"/>
      <c r="T282" s="652">
        <f t="shared" si="14"/>
        <v>92963</v>
      </c>
      <c r="U282" s="652">
        <v>62268</v>
      </c>
      <c r="V282" s="652">
        <v>155231</v>
      </c>
      <c r="W282" s="654"/>
      <c r="X282" s="654"/>
      <c r="Y282" s="654"/>
      <c r="Z282" s="654"/>
      <c r="AA282" s="654"/>
      <c r="AB282" s="654"/>
      <c r="AC282" s="654"/>
      <c r="AD282" s="654"/>
      <c r="AE282" s="655"/>
      <c r="AF282" s="655"/>
      <c r="AG282" s="655"/>
      <c r="AH282" s="655"/>
      <c r="AI282" s="655"/>
      <c r="AJ282" s="655"/>
      <c r="AK282" s="655"/>
      <c r="AL282" s="655"/>
    </row>
    <row r="283" spans="1:38" hidden="1" x14ac:dyDescent="0.25">
      <c r="A283" s="653">
        <v>39400</v>
      </c>
      <c r="B283" s="651" t="s">
        <v>1495</v>
      </c>
      <c r="C283" s="675">
        <v>5.6899999999999995E-4</v>
      </c>
      <c r="D283" s="675">
        <v>5.44E-4</v>
      </c>
      <c r="E283" s="680">
        <v>571664</v>
      </c>
      <c r="F283" s="651">
        <v>24740346</v>
      </c>
      <c r="G283" s="652">
        <v>17845774</v>
      </c>
      <c r="H283" s="652">
        <v>0</v>
      </c>
      <c r="I283" s="652">
        <v>0</v>
      </c>
      <c r="J283" s="652">
        <v>0</v>
      </c>
      <c r="K283" s="652">
        <v>0</v>
      </c>
      <c r="L283" s="652">
        <f t="shared" si="12"/>
        <v>0</v>
      </c>
      <c r="M283" s="652"/>
      <c r="N283" s="652">
        <v>1279575</v>
      </c>
      <c r="O283" s="652">
        <v>6632</v>
      </c>
      <c r="P283" s="652">
        <v>4914645</v>
      </c>
      <c r="Q283" s="652">
        <v>839020</v>
      </c>
      <c r="R283" s="652">
        <f t="shared" si="13"/>
        <v>7039872</v>
      </c>
      <c r="S283" s="652"/>
      <c r="T283" s="652">
        <f t="shared" si="14"/>
        <v>884765</v>
      </c>
      <c r="U283" s="652">
        <v>-167801</v>
      </c>
      <c r="V283" s="652">
        <v>716964</v>
      </c>
      <c r="W283" s="654"/>
      <c r="X283" s="654"/>
      <c r="Y283" s="654"/>
      <c r="Z283" s="654"/>
      <c r="AA283" s="654"/>
      <c r="AB283" s="654"/>
      <c r="AC283" s="654"/>
      <c r="AD283" s="654"/>
      <c r="AE283" s="655"/>
      <c r="AF283" s="655"/>
      <c r="AG283" s="655"/>
      <c r="AH283" s="655"/>
      <c r="AI283" s="655"/>
      <c r="AJ283" s="655"/>
      <c r="AK283" s="655"/>
      <c r="AL283" s="655"/>
    </row>
    <row r="284" spans="1:38" hidden="1" x14ac:dyDescent="0.25">
      <c r="A284" s="653">
        <v>39401</v>
      </c>
      <c r="B284" s="651" t="s">
        <v>1496</v>
      </c>
      <c r="C284" s="675">
        <v>1.9699999999999999E-4</v>
      </c>
      <c r="D284" s="675">
        <v>2.8499999999999999E-4</v>
      </c>
      <c r="E284" s="680">
        <v>204108</v>
      </c>
      <c r="F284" s="651">
        <v>8571277</v>
      </c>
      <c r="G284" s="652">
        <v>9358530</v>
      </c>
      <c r="H284" s="652">
        <v>0</v>
      </c>
      <c r="I284" s="652">
        <v>0</v>
      </c>
      <c r="J284" s="652">
        <v>0</v>
      </c>
      <c r="K284" s="652">
        <v>3149315</v>
      </c>
      <c r="L284" s="652">
        <f t="shared" si="12"/>
        <v>3149315</v>
      </c>
      <c r="M284" s="652"/>
      <c r="N284" s="652">
        <v>671024</v>
      </c>
      <c r="O284" s="652">
        <v>3478</v>
      </c>
      <c r="P284" s="652">
        <v>2577296</v>
      </c>
      <c r="Q284" s="652">
        <v>0</v>
      </c>
      <c r="R284" s="652">
        <f t="shared" si="13"/>
        <v>3251798</v>
      </c>
      <c r="S284" s="652"/>
      <c r="T284" s="652">
        <f t="shared" si="14"/>
        <v>463981</v>
      </c>
      <c r="U284" s="652">
        <v>629864</v>
      </c>
      <c r="V284" s="652">
        <v>1093845</v>
      </c>
      <c r="W284" s="654"/>
      <c r="X284" s="654"/>
      <c r="Y284" s="654"/>
      <c r="Z284" s="654"/>
      <c r="AA284" s="654"/>
      <c r="AB284" s="654"/>
      <c r="AC284" s="654"/>
      <c r="AD284" s="654"/>
      <c r="AE284" s="655"/>
      <c r="AF284" s="655"/>
      <c r="AG284" s="655"/>
      <c r="AH284" s="655"/>
      <c r="AI284" s="655"/>
      <c r="AJ284" s="655"/>
      <c r="AK284" s="655"/>
      <c r="AL284" s="655"/>
    </row>
    <row r="285" spans="1:38" hidden="1" x14ac:dyDescent="0.25">
      <c r="A285" s="653">
        <v>39500</v>
      </c>
      <c r="B285" s="651" t="s">
        <v>1497</v>
      </c>
      <c r="C285" s="675">
        <v>1.725E-3</v>
      </c>
      <c r="D285" s="675">
        <v>1.7979999999999999E-3</v>
      </c>
      <c r="E285" s="680">
        <v>1597594</v>
      </c>
      <c r="F285" s="651">
        <v>75034823</v>
      </c>
      <c r="G285" s="652">
        <v>58945383</v>
      </c>
      <c r="H285" s="652">
        <v>0</v>
      </c>
      <c r="I285" s="652">
        <v>0</v>
      </c>
      <c r="J285" s="652">
        <v>0</v>
      </c>
      <c r="K285" s="652">
        <v>2556185</v>
      </c>
      <c r="L285" s="652">
        <f t="shared" si="12"/>
        <v>2556185</v>
      </c>
      <c r="M285" s="652"/>
      <c r="N285" s="652">
        <v>4226492</v>
      </c>
      <c r="O285" s="652">
        <v>21907</v>
      </c>
      <c r="P285" s="652">
        <v>16233289</v>
      </c>
      <c r="Q285" s="652">
        <v>0</v>
      </c>
      <c r="R285" s="652">
        <f t="shared" si="13"/>
        <v>20481688</v>
      </c>
      <c r="S285" s="652"/>
      <c r="T285" s="652">
        <f t="shared" si="14"/>
        <v>2922417</v>
      </c>
      <c r="U285" s="652">
        <v>511240</v>
      </c>
      <c r="V285" s="652">
        <v>3433657</v>
      </c>
      <c r="W285" s="654"/>
      <c r="X285" s="654"/>
      <c r="Y285" s="654"/>
      <c r="Z285" s="654"/>
      <c r="AA285" s="654"/>
      <c r="AB285" s="654"/>
      <c r="AC285" s="654"/>
      <c r="AD285" s="654"/>
      <c r="AE285" s="655"/>
      <c r="AF285" s="655"/>
      <c r="AG285" s="655"/>
      <c r="AH285" s="655"/>
      <c r="AI285" s="655"/>
      <c r="AJ285" s="655"/>
      <c r="AK285" s="655"/>
      <c r="AL285" s="655"/>
    </row>
    <row r="286" spans="1:38" hidden="1" x14ac:dyDescent="0.25">
      <c r="A286" s="653">
        <v>39501</v>
      </c>
      <c r="B286" s="651" t="s">
        <v>1498</v>
      </c>
      <c r="C286" s="675">
        <v>5.7000000000000003E-5</v>
      </c>
      <c r="D286" s="675">
        <v>5.8E-5</v>
      </c>
      <c r="E286" s="680">
        <v>50228</v>
      </c>
      <c r="F286" s="651">
        <v>2469483</v>
      </c>
      <c r="G286" s="652">
        <v>1889920</v>
      </c>
      <c r="H286" s="652">
        <v>0</v>
      </c>
      <c r="I286" s="652">
        <v>0</v>
      </c>
      <c r="J286" s="652">
        <v>0</v>
      </c>
      <c r="K286" s="652">
        <v>28045</v>
      </c>
      <c r="L286" s="652">
        <f t="shared" si="12"/>
        <v>28045</v>
      </c>
      <c r="M286" s="652"/>
      <c r="N286" s="652">
        <v>135511</v>
      </c>
      <c r="O286" s="652">
        <v>702</v>
      </c>
      <c r="P286" s="652">
        <v>520475</v>
      </c>
      <c r="Q286" s="652">
        <v>0</v>
      </c>
      <c r="R286" s="652">
        <f t="shared" si="13"/>
        <v>656688</v>
      </c>
      <c r="S286" s="652"/>
      <c r="T286" s="652">
        <f t="shared" si="14"/>
        <v>93699</v>
      </c>
      <c r="U286" s="652">
        <v>5609</v>
      </c>
      <c r="V286" s="652">
        <v>99308</v>
      </c>
      <c r="W286" s="654"/>
      <c r="X286" s="654"/>
      <c r="Y286" s="654"/>
      <c r="Z286" s="654"/>
      <c r="AA286" s="654"/>
      <c r="AB286" s="654"/>
      <c r="AC286" s="654"/>
      <c r="AD286" s="654"/>
      <c r="AE286" s="655"/>
      <c r="AF286" s="655"/>
      <c r="AG286" s="655"/>
      <c r="AH286" s="655"/>
      <c r="AI286" s="655"/>
      <c r="AJ286" s="655"/>
      <c r="AK286" s="655"/>
      <c r="AL286" s="655"/>
    </row>
    <row r="287" spans="1:38" hidden="1" x14ac:dyDescent="0.25">
      <c r="A287" s="653">
        <v>39600</v>
      </c>
      <c r="B287" s="651" t="s">
        <v>1499</v>
      </c>
      <c r="C287" s="675">
        <v>5.574E-3</v>
      </c>
      <c r="D287" s="675">
        <v>5.8500000000000002E-3</v>
      </c>
      <c r="E287" s="680">
        <v>5456550</v>
      </c>
      <c r="F287" s="651">
        <v>242477716</v>
      </c>
      <c r="G287" s="652">
        <v>191786814</v>
      </c>
      <c r="H287" s="652">
        <v>0</v>
      </c>
      <c r="I287" s="652">
        <v>0</v>
      </c>
      <c r="J287" s="652">
        <v>0</v>
      </c>
      <c r="K287" s="652">
        <v>9914270</v>
      </c>
      <c r="L287" s="652">
        <f t="shared" si="12"/>
        <v>9914270</v>
      </c>
      <c r="M287" s="652"/>
      <c r="N287" s="652">
        <v>13751467</v>
      </c>
      <c r="O287" s="652">
        <v>71276</v>
      </c>
      <c r="P287" s="652">
        <v>52817213</v>
      </c>
      <c r="Q287" s="652">
        <v>0</v>
      </c>
      <c r="R287" s="652">
        <f t="shared" si="13"/>
        <v>66639956</v>
      </c>
      <c r="S287" s="652"/>
      <c r="T287" s="652">
        <f t="shared" si="14"/>
        <v>9508482</v>
      </c>
      <c r="U287" s="652">
        <v>1982853</v>
      </c>
      <c r="V287" s="652">
        <v>11491335</v>
      </c>
      <c r="W287" s="654"/>
      <c r="X287" s="654"/>
      <c r="Y287" s="654"/>
      <c r="Z287" s="654"/>
      <c r="AA287" s="654"/>
      <c r="AB287" s="654"/>
      <c r="AC287" s="654"/>
      <c r="AD287" s="654"/>
      <c r="AE287" s="655"/>
      <c r="AF287" s="655"/>
      <c r="AG287" s="655"/>
      <c r="AH287" s="655"/>
      <c r="AI287" s="655"/>
      <c r="AJ287" s="655"/>
      <c r="AK287" s="655"/>
      <c r="AL287" s="655"/>
    </row>
    <row r="288" spans="1:38" hidden="1" x14ac:dyDescent="0.25">
      <c r="A288" s="653">
        <v>39605</v>
      </c>
      <c r="B288" s="651" t="s">
        <v>1500</v>
      </c>
      <c r="C288" s="675">
        <v>8.0199999999999998E-4</v>
      </c>
      <c r="D288" s="675">
        <v>7.8799999999999996E-4</v>
      </c>
      <c r="E288" s="680">
        <v>808650</v>
      </c>
      <c r="F288" s="651">
        <v>34892598</v>
      </c>
      <c r="G288" s="652">
        <v>25826219</v>
      </c>
      <c r="H288" s="652">
        <v>0</v>
      </c>
      <c r="I288" s="652">
        <v>0</v>
      </c>
      <c r="J288" s="652">
        <v>0</v>
      </c>
      <c r="K288" s="652">
        <v>0</v>
      </c>
      <c r="L288" s="652">
        <f t="shared" si="12"/>
        <v>0</v>
      </c>
      <c r="M288" s="652"/>
      <c r="N288" s="652">
        <v>1851787</v>
      </c>
      <c r="O288" s="652">
        <v>9598</v>
      </c>
      <c r="P288" s="652">
        <v>7112423</v>
      </c>
      <c r="Q288" s="652">
        <v>470285</v>
      </c>
      <c r="R288" s="652">
        <f t="shared" si="13"/>
        <v>9444093</v>
      </c>
      <c r="S288" s="652"/>
      <c r="T288" s="652">
        <f t="shared" si="14"/>
        <v>1280422</v>
      </c>
      <c r="U288" s="652">
        <v>-94058</v>
      </c>
      <c r="V288" s="652">
        <v>1186364</v>
      </c>
      <c r="W288" s="654"/>
      <c r="X288" s="654"/>
      <c r="Y288" s="654"/>
      <c r="Z288" s="654"/>
      <c r="AA288" s="654"/>
      <c r="AB288" s="654"/>
      <c r="AC288" s="654"/>
      <c r="AD288" s="654"/>
      <c r="AE288" s="655"/>
      <c r="AF288" s="655"/>
      <c r="AG288" s="655"/>
      <c r="AH288" s="655"/>
      <c r="AI288" s="655"/>
      <c r="AJ288" s="655"/>
      <c r="AK288" s="655"/>
      <c r="AL288" s="655"/>
    </row>
    <row r="289" spans="1:38" hidden="1" x14ac:dyDescent="0.25">
      <c r="A289" s="653">
        <v>39700</v>
      </c>
      <c r="B289" s="651" t="s">
        <v>1501</v>
      </c>
      <c r="C289" s="675">
        <v>3.3779999999999999E-3</v>
      </c>
      <c r="D289" s="675">
        <v>3.4359999999999998E-3</v>
      </c>
      <c r="E289" s="680">
        <v>3011694</v>
      </c>
      <c r="F289" s="651">
        <v>146936988</v>
      </c>
      <c r="G289" s="652">
        <v>112661025</v>
      </c>
      <c r="H289" s="652">
        <v>0</v>
      </c>
      <c r="I289" s="652">
        <v>0</v>
      </c>
      <c r="J289" s="652">
        <v>0</v>
      </c>
      <c r="K289" s="652">
        <v>1913650</v>
      </c>
      <c r="L289" s="652">
        <f t="shared" si="12"/>
        <v>1913650</v>
      </c>
      <c r="M289" s="652"/>
      <c r="N289" s="652">
        <v>8078003</v>
      </c>
      <c r="O289" s="652">
        <v>41870</v>
      </c>
      <c r="P289" s="652">
        <v>31026332</v>
      </c>
      <c r="Q289" s="652">
        <v>0</v>
      </c>
      <c r="R289" s="652">
        <f t="shared" si="13"/>
        <v>39146205</v>
      </c>
      <c r="S289" s="652"/>
      <c r="T289" s="652">
        <f t="shared" si="14"/>
        <v>5585553</v>
      </c>
      <c r="U289" s="652">
        <v>382733</v>
      </c>
      <c r="V289" s="652">
        <v>5968286</v>
      </c>
      <c r="W289" s="654"/>
      <c r="X289" s="654"/>
      <c r="Y289" s="654"/>
      <c r="Z289" s="654"/>
      <c r="AA289" s="654"/>
      <c r="AB289" s="654"/>
      <c r="AC289" s="654"/>
      <c r="AD289" s="654"/>
      <c r="AE289" s="655"/>
      <c r="AF289" s="655"/>
      <c r="AG289" s="655"/>
      <c r="AH289" s="655"/>
      <c r="AI289" s="655"/>
      <c r="AJ289" s="655"/>
      <c r="AK289" s="655"/>
      <c r="AL289" s="655"/>
    </row>
    <row r="290" spans="1:38" hidden="1" x14ac:dyDescent="0.25">
      <c r="A290" s="653">
        <v>39703</v>
      </c>
      <c r="B290" s="651" t="s">
        <v>1502</v>
      </c>
      <c r="C290" s="675">
        <v>1.05E-4</v>
      </c>
      <c r="D290" s="675">
        <v>1.3999999999999999E-4</v>
      </c>
      <c r="E290" s="680">
        <v>103237</v>
      </c>
      <c r="F290" s="651">
        <v>4579289</v>
      </c>
      <c r="G290" s="652">
        <v>4599680</v>
      </c>
      <c r="H290" s="652">
        <v>0</v>
      </c>
      <c r="I290" s="652">
        <v>0</v>
      </c>
      <c r="J290" s="652">
        <v>0</v>
      </c>
      <c r="K290" s="652">
        <v>1244855</v>
      </c>
      <c r="L290" s="652">
        <f t="shared" si="12"/>
        <v>1244855</v>
      </c>
      <c r="M290" s="652"/>
      <c r="N290" s="652">
        <v>329805</v>
      </c>
      <c r="O290" s="652">
        <v>1709</v>
      </c>
      <c r="P290" s="652">
        <v>1266731</v>
      </c>
      <c r="Q290" s="652">
        <v>0</v>
      </c>
      <c r="R290" s="652">
        <f t="shared" si="13"/>
        <v>1598245</v>
      </c>
      <c r="S290" s="652"/>
      <c r="T290" s="652">
        <f t="shared" si="14"/>
        <v>228045</v>
      </c>
      <c r="U290" s="652">
        <v>248973</v>
      </c>
      <c r="V290" s="652">
        <v>477018</v>
      </c>
      <c r="W290" s="654"/>
      <c r="X290" s="654"/>
      <c r="Y290" s="654"/>
      <c r="Z290" s="654"/>
      <c r="AA290" s="654"/>
      <c r="AB290" s="654"/>
      <c r="AC290" s="654"/>
      <c r="AD290" s="654"/>
      <c r="AE290" s="655"/>
      <c r="AF290" s="655"/>
      <c r="AG290" s="655"/>
      <c r="AH290" s="655"/>
      <c r="AI290" s="655"/>
      <c r="AJ290" s="655"/>
      <c r="AK290" s="655"/>
      <c r="AL290" s="655"/>
    </row>
    <row r="291" spans="1:38" hidden="1" x14ac:dyDescent="0.25">
      <c r="A291" s="653">
        <v>39705</v>
      </c>
      <c r="B291" s="651" t="s">
        <v>1503</v>
      </c>
      <c r="C291" s="675">
        <v>7.9299999999999998E-4</v>
      </c>
      <c r="D291" s="675">
        <v>7.4700000000000005E-4</v>
      </c>
      <c r="E291" s="680">
        <v>792758</v>
      </c>
      <c r="F291" s="651">
        <v>34482795</v>
      </c>
      <c r="G291" s="652">
        <v>24476663</v>
      </c>
      <c r="H291" s="652">
        <v>0</v>
      </c>
      <c r="I291" s="652">
        <v>0</v>
      </c>
      <c r="J291" s="652">
        <v>0</v>
      </c>
      <c r="K291" s="652">
        <v>0</v>
      </c>
      <c r="L291" s="652">
        <f t="shared" si="12"/>
        <v>0</v>
      </c>
      <c r="M291" s="652"/>
      <c r="N291" s="652">
        <v>1755022</v>
      </c>
      <c r="O291" s="652">
        <v>9097</v>
      </c>
      <c r="P291" s="652">
        <v>6740761</v>
      </c>
      <c r="Q291" s="652">
        <v>1601675</v>
      </c>
      <c r="R291" s="652">
        <f t="shared" si="13"/>
        <v>10106555</v>
      </c>
      <c r="S291" s="652"/>
      <c r="T291" s="652">
        <f t="shared" si="14"/>
        <v>1213514</v>
      </c>
      <c r="U291" s="652">
        <v>-320334</v>
      </c>
      <c r="V291" s="652">
        <v>893180</v>
      </c>
      <c r="W291" s="654"/>
      <c r="X291" s="654"/>
      <c r="Y291" s="654"/>
      <c r="Z291" s="654"/>
      <c r="AA291" s="654"/>
      <c r="AB291" s="654"/>
      <c r="AC291" s="654"/>
      <c r="AD291" s="654"/>
      <c r="AE291" s="655"/>
      <c r="AF291" s="655"/>
      <c r="AG291" s="655"/>
      <c r="AH291" s="655"/>
      <c r="AI291" s="655"/>
      <c r="AJ291" s="655"/>
      <c r="AK291" s="655"/>
      <c r="AL291" s="655"/>
    </row>
    <row r="292" spans="1:38" hidden="1" x14ac:dyDescent="0.25">
      <c r="A292" s="653">
        <v>39800</v>
      </c>
      <c r="B292" s="651" t="s">
        <v>1504</v>
      </c>
      <c r="C292" s="675">
        <v>3.738E-3</v>
      </c>
      <c r="D292" s="675">
        <v>3.8010000000000001E-3</v>
      </c>
      <c r="E292" s="680">
        <v>3511032</v>
      </c>
      <c r="F292" s="651">
        <v>162616721</v>
      </c>
      <c r="G292" s="652">
        <v>124608101</v>
      </c>
      <c r="H292" s="652">
        <v>0</v>
      </c>
      <c r="I292" s="652">
        <v>0</v>
      </c>
      <c r="J292" s="652">
        <v>0</v>
      </c>
      <c r="K292" s="652">
        <v>2184990</v>
      </c>
      <c r="L292" s="652">
        <f t="shared" si="12"/>
        <v>2184990</v>
      </c>
      <c r="M292" s="652"/>
      <c r="N292" s="652">
        <v>8934630</v>
      </c>
      <c r="O292" s="652">
        <v>46310</v>
      </c>
      <c r="P292" s="652">
        <v>34316502</v>
      </c>
      <c r="Q292" s="652">
        <v>0</v>
      </c>
      <c r="R292" s="652">
        <f t="shared" si="13"/>
        <v>43297442</v>
      </c>
      <c r="S292" s="652"/>
      <c r="T292" s="652">
        <f t="shared" si="14"/>
        <v>6177870</v>
      </c>
      <c r="U292" s="652">
        <v>436994</v>
      </c>
      <c r="V292" s="652">
        <v>6614864</v>
      </c>
      <c r="W292" s="654"/>
      <c r="X292" s="654"/>
      <c r="Y292" s="654"/>
      <c r="Z292" s="654"/>
      <c r="AA292" s="654"/>
      <c r="AB292" s="654"/>
      <c r="AC292" s="654"/>
      <c r="AD292" s="654"/>
      <c r="AE292" s="655"/>
      <c r="AF292" s="655"/>
      <c r="AG292" s="655"/>
      <c r="AH292" s="655"/>
      <c r="AI292" s="655"/>
      <c r="AJ292" s="655"/>
      <c r="AK292" s="655"/>
      <c r="AL292" s="655"/>
    </row>
    <row r="293" spans="1:38" hidden="1" x14ac:dyDescent="0.25">
      <c r="A293" s="653">
        <v>39805</v>
      </c>
      <c r="B293" s="651" t="s">
        <v>1505</v>
      </c>
      <c r="C293" s="675">
        <v>4.2000000000000002E-4</v>
      </c>
      <c r="D293" s="675">
        <v>4.1399999999999998E-4</v>
      </c>
      <c r="E293" s="680">
        <v>444300</v>
      </c>
      <c r="F293" s="651">
        <v>18289854</v>
      </c>
      <c r="G293" s="652">
        <v>13581219</v>
      </c>
      <c r="H293" s="652">
        <v>0</v>
      </c>
      <c r="I293" s="652">
        <v>0</v>
      </c>
      <c r="J293" s="652">
        <v>0</v>
      </c>
      <c r="K293" s="652">
        <v>0</v>
      </c>
      <c r="L293" s="652">
        <f t="shared" si="12"/>
        <v>0</v>
      </c>
      <c r="M293" s="652"/>
      <c r="N293" s="652">
        <v>973798</v>
      </c>
      <c r="O293" s="652">
        <v>5047</v>
      </c>
      <c r="P293" s="652">
        <v>3740206</v>
      </c>
      <c r="Q293" s="652">
        <v>182180</v>
      </c>
      <c r="R293" s="652">
        <f t="shared" si="13"/>
        <v>4901231</v>
      </c>
      <c r="S293" s="652"/>
      <c r="T293" s="652">
        <f t="shared" si="14"/>
        <v>673335</v>
      </c>
      <c r="U293" s="652">
        <v>-36438</v>
      </c>
      <c r="V293" s="652">
        <v>636897</v>
      </c>
      <c r="W293" s="654"/>
      <c r="X293" s="654"/>
      <c r="Y293" s="654"/>
      <c r="Z293" s="654"/>
      <c r="AA293" s="654"/>
      <c r="AB293" s="654"/>
      <c r="AC293" s="654"/>
      <c r="AD293" s="654"/>
      <c r="AE293" s="655"/>
      <c r="AF293" s="655"/>
      <c r="AG293" s="655"/>
      <c r="AH293" s="655"/>
      <c r="AI293" s="655"/>
      <c r="AJ293" s="655"/>
      <c r="AK293" s="655"/>
      <c r="AL293" s="655"/>
    </row>
    <row r="294" spans="1:38" hidden="1" x14ac:dyDescent="0.25">
      <c r="A294" s="653">
        <v>39900</v>
      </c>
      <c r="B294" s="651" t="s">
        <v>1506</v>
      </c>
      <c r="C294" s="675">
        <v>1.846E-3</v>
      </c>
      <c r="D294" s="675">
        <v>1.933E-3</v>
      </c>
      <c r="E294" s="680">
        <v>1788994</v>
      </c>
      <c r="F294" s="651">
        <v>80317095</v>
      </c>
      <c r="G294" s="652">
        <v>63360414</v>
      </c>
      <c r="H294" s="652">
        <v>0</v>
      </c>
      <c r="I294" s="652">
        <v>0</v>
      </c>
      <c r="J294" s="652">
        <v>0</v>
      </c>
      <c r="K294" s="652">
        <v>3088980</v>
      </c>
      <c r="L294" s="652">
        <f t="shared" si="12"/>
        <v>3088980</v>
      </c>
      <c r="M294" s="652"/>
      <c r="N294" s="652">
        <v>4543058</v>
      </c>
      <c r="O294" s="652">
        <v>23547</v>
      </c>
      <c r="P294" s="652">
        <v>17449169</v>
      </c>
      <c r="Q294" s="652">
        <v>0</v>
      </c>
      <c r="R294" s="652">
        <f t="shared" si="13"/>
        <v>22015774</v>
      </c>
      <c r="S294" s="652"/>
      <c r="T294" s="652">
        <f t="shared" si="14"/>
        <v>3141308</v>
      </c>
      <c r="U294" s="652">
        <v>617800</v>
      </c>
      <c r="V294" s="652">
        <v>3759108</v>
      </c>
      <c r="W294" s="654"/>
      <c r="X294" s="654"/>
      <c r="Y294" s="654"/>
      <c r="Z294" s="654"/>
      <c r="AA294" s="654"/>
      <c r="AB294" s="654"/>
      <c r="AC294" s="654"/>
      <c r="AD294" s="654"/>
      <c r="AE294" s="655"/>
      <c r="AF294" s="655"/>
      <c r="AG294" s="655"/>
      <c r="AH294" s="655"/>
      <c r="AI294" s="655"/>
      <c r="AJ294" s="655"/>
      <c r="AK294" s="655"/>
      <c r="AL294" s="655"/>
    </row>
    <row r="295" spans="1:38" hidden="1" x14ac:dyDescent="0.25">
      <c r="A295" s="653">
        <v>40000</v>
      </c>
      <c r="B295" s="651" t="s">
        <v>1507</v>
      </c>
      <c r="C295" s="675">
        <v>2.9910000000000002E-3</v>
      </c>
      <c r="D295" s="675">
        <v>2.689E-3</v>
      </c>
      <c r="E295" s="680">
        <v>4229297</v>
      </c>
      <c r="F295" s="651">
        <v>130135168</v>
      </c>
      <c r="G295" s="652">
        <v>88177756</v>
      </c>
      <c r="H295" s="652">
        <v>0</v>
      </c>
      <c r="I295" s="652">
        <v>0</v>
      </c>
      <c r="J295" s="652">
        <v>0</v>
      </c>
      <c r="K295" s="652">
        <v>0</v>
      </c>
      <c r="L295" s="652">
        <f t="shared" si="12"/>
        <v>0</v>
      </c>
      <c r="M295" s="652"/>
      <c r="N295" s="652">
        <v>6322507</v>
      </c>
      <c r="O295" s="652">
        <v>32771</v>
      </c>
      <c r="P295" s="652">
        <v>24283751</v>
      </c>
      <c r="Q295" s="652">
        <v>9550665</v>
      </c>
      <c r="R295" s="652">
        <f t="shared" si="13"/>
        <v>40189694</v>
      </c>
      <c r="S295" s="652"/>
      <c r="T295" s="652">
        <f t="shared" si="14"/>
        <v>4371712</v>
      </c>
      <c r="U295" s="652">
        <v>-1910133</v>
      </c>
      <c r="V295" s="652">
        <v>2461579</v>
      </c>
      <c r="W295" s="654"/>
      <c r="X295" s="654"/>
      <c r="Y295" s="654"/>
      <c r="Z295" s="654"/>
      <c r="AA295" s="654"/>
      <c r="AB295" s="654"/>
      <c r="AC295" s="654"/>
      <c r="AD295" s="654"/>
      <c r="AE295" s="655"/>
      <c r="AF295" s="655"/>
      <c r="AG295" s="655"/>
      <c r="AH295" s="655"/>
      <c r="AI295" s="655"/>
      <c r="AJ295" s="655"/>
      <c r="AK295" s="655"/>
      <c r="AL295" s="655"/>
    </row>
    <row r="296" spans="1:38" hidden="1" x14ac:dyDescent="0.25">
      <c r="A296" s="653">
        <v>51000</v>
      </c>
      <c r="B296" s="651" t="s">
        <v>1508</v>
      </c>
      <c r="C296" s="675">
        <v>2.8162E-2</v>
      </c>
      <c r="D296" s="675">
        <v>2.6616999999999998E-2</v>
      </c>
      <c r="E296" s="680">
        <v>30722249</v>
      </c>
      <c r="F296" s="651">
        <v>1225158068</v>
      </c>
      <c r="G296" s="652">
        <v>872679928</v>
      </c>
      <c r="H296" s="652">
        <v>0</v>
      </c>
      <c r="I296" s="652">
        <v>0</v>
      </c>
      <c r="J296" s="652">
        <v>0</v>
      </c>
      <c r="K296" s="652">
        <v>0</v>
      </c>
      <c r="L296" s="652">
        <f t="shared" si="12"/>
        <v>0</v>
      </c>
      <c r="M296" s="652"/>
      <c r="N296" s="652">
        <v>62572756</v>
      </c>
      <c r="O296" s="652">
        <v>324326</v>
      </c>
      <c r="P296" s="652">
        <v>240332068</v>
      </c>
      <c r="Q296" s="652">
        <v>52120280</v>
      </c>
      <c r="R296" s="652">
        <f t="shared" si="13"/>
        <v>355349430</v>
      </c>
      <c r="S296" s="652"/>
      <c r="T296" s="652">
        <f t="shared" si="14"/>
        <v>43266070</v>
      </c>
      <c r="U296" s="652">
        <v>-10424057</v>
      </c>
      <c r="V296" s="652">
        <v>32842013</v>
      </c>
      <c r="W296" s="654"/>
      <c r="X296" s="654"/>
      <c r="Y296" s="654"/>
      <c r="Z296" s="654"/>
      <c r="AA296" s="654"/>
      <c r="AB296" s="654"/>
      <c r="AC296" s="654"/>
      <c r="AD296" s="654"/>
      <c r="AE296" s="655"/>
      <c r="AF296" s="655"/>
      <c r="AG296" s="655"/>
      <c r="AH296" s="655"/>
      <c r="AI296" s="655"/>
      <c r="AJ296" s="655"/>
      <c r="AK296" s="655"/>
      <c r="AL296" s="655"/>
    </row>
    <row r="297" spans="1:38" s="724" customFormat="1" hidden="1" x14ac:dyDescent="0.25">
      <c r="A297" s="656">
        <v>51000.1</v>
      </c>
      <c r="B297" s="657" t="s">
        <v>1509</v>
      </c>
      <c r="C297" s="720">
        <v>1.5E-5</v>
      </c>
      <c r="D297" s="720">
        <v>1.5999999999999999E-5</v>
      </c>
      <c r="E297" s="721">
        <v>0</v>
      </c>
      <c r="F297" s="657">
        <v>662298</v>
      </c>
      <c r="G297" s="658">
        <v>523596</v>
      </c>
      <c r="H297" s="658">
        <v>0</v>
      </c>
      <c r="I297" s="658">
        <v>0</v>
      </c>
      <c r="J297" s="658">
        <v>0</v>
      </c>
      <c r="K297" s="658">
        <v>35715</v>
      </c>
      <c r="L297" s="658">
        <f t="shared" si="12"/>
        <v>35715</v>
      </c>
      <c r="M297" s="658"/>
      <c r="N297" s="658">
        <v>37543</v>
      </c>
      <c r="O297" s="658">
        <v>195</v>
      </c>
      <c r="P297" s="658">
        <v>144196</v>
      </c>
      <c r="Q297" s="658">
        <v>0</v>
      </c>
      <c r="R297" s="658">
        <f t="shared" si="13"/>
        <v>181934</v>
      </c>
      <c r="S297" s="658"/>
      <c r="T297" s="658">
        <f t="shared" si="14"/>
        <v>25959</v>
      </c>
      <c r="U297" s="658">
        <v>7145</v>
      </c>
      <c r="V297" s="658">
        <v>33104</v>
      </c>
      <c r="W297" s="722"/>
      <c r="X297" s="722"/>
      <c r="Y297" s="722"/>
      <c r="Z297" s="722"/>
      <c r="AA297" s="722"/>
      <c r="AB297" s="722"/>
      <c r="AC297" s="722"/>
      <c r="AD297" s="722"/>
      <c r="AE297" s="723"/>
      <c r="AF297" s="723"/>
      <c r="AG297" s="723"/>
      <c r="AH297" s="723"/>
      <c r="AI297" s="723"/>
      <c r="AJ297" s="723"/>
      <c r="AK297" s="723"/>
      <c r="AL297" s="723"/>
    </row>
    <row r="298" spans="1:38" s="724" customFormat="1" hidden="1" x14ac:dyDescent="0.25">
      <c r="A298" s="656">
        <v>51000.2</v>
      </c>
      <c r="B298" s="657" t="s">
        <v>1510</v>
      </c>
      <c r="C298" s="720">
        <v>6.0599999999999998E-4</v>
      </c>
      <c r="D298" s="720">
        <v>6.1399999999999996E-4</v>
      </c>
      <c r="E298" s="721">
        <v>0</v>
      </c>
      <c r="F298" s="657">
        <v>26359384</v>
      </c>
      <c r="G298" s="658">
        <v>20123893</v>
      </c>
      <c r="H298" s="658">
        <v>0</v>
      </c>
      <c r="I298" s="658">
        <v>0</v>
      </c>
      <c r="J298" s="658">
        <v>0</v>
      </c>
      <c r="K298" s="658">
        <v>404300</v>
      </c>
      <c r="L298" s="658">
        <f t="shared" si="12"/>
        <v>404300</v>
      </c>
      <c r="M298" s="658"/>
      <c r="N298" s="658">
        <v>1442920</v>
      </c>
      <c r="O298" s="658">
        <v>7479</v>
      </c>
      <c r="P298" s="658">
        <v>5542028</v>
      </c>
      <c r="Q298" s="658">
        <v>0</v>
      </c>
      <c r="R298" s="658">
        <f t="shared" si="13"/>
        <v>6992427</v>
      </c>
      <c r="S298" s="658"/>
      <c r="T298" s="658">
        <f t="shared" si="14"/>
        <v>997710</v>
      </c>
      <c r="U298" s="658">
        <v>80863</v>
      </c>
      <c r="V298" s="658">
        <v>1078573</v>
      </c>
      <c r="W298" s="722"/>
      <c r="X298" s="722"/>
      <c r="Y298" s="722"/>
      <c r="Z298" s="722"/>
      <c r="AA298" s="722"/>
      <c r="AB298" s="722"/>
      <c r="AC298" s="722"/>
      <c r="AD298" s="722"/>
      <c r="AE298" s="723"/>
      <c r="AF298" s="723"/>
      <c r="AG298" s="723"/>
      <c r="AH298" s="723"/>
      <c r="AI298" s="723"/>
      <c r="AJ298" s="723"/>
      <c r="AK298" s="723"/>
      <c r="AL298" s="723"/>
    </row>
    <row r="299" spans="1:38" hidden="1" x14ac:dyDescent="0.25">
      <c r="A299" s="653">
        <v>60000</v>
      </c>
      <c r="B299" s="651" t="s">
        <v>1511</v>
      </c>
      <c r="C299" s="675">
        <v>1.44E-4</v>
      </c>
      <c r="D299" s="675">
        <v>1.1400000000000001E-4</v>
      </c>
      <c r="E299" s="680">
        <v>210031</v>
      </c>
      <c r="F299" s="651">
        <v>6242641</v>
      </c>
      <c r="G299" s="652">
        <v>3725775</v>
      </c>
      <c r="H299" s="652">
        <v>0</v>
      </c>
      <c r="I299" s="652">
        <v>0</v>
      </c>
      <c r="J299" s="652">
        <v>0</v>
      </c>
      <c r="K299" s="652">
        <v>0</v>
      </c>
      <c r="L299" s="652">
        <f t="shared" si="12"/>
        <v>0</v>
      </c>
      <c r="M299" s="652"/>
      <c r="N299" s="652">
        <v>267145</v>
      </c>
      <c r="O299" s="652">
        <v>1385</v>
      </c>
      <c r="P299" s="652">
        <v>1026061</v>
      </c>
      <c r="Q299" s="652">
        <v>997465</v>
      </c>
      <c r="R299" s="652">
        <f t="shared" si="13"/>
        <v>2292056</v>
      </c>
      <c r="S299" s="652"/>
      <c r="T299" s="652">
        <f t="shared" si="14"/>
        <v>184718</v>
      </c>
      <c r="U299" s="652">
        <v>-199497</v>
      </c>
      <c r="V299" s="652">
        <v>-14779</v>
      </c>
      <c r="W299" s="654"/>
      <c r="X299" s="654"/>
      <c r="Y299" s="654"/>
      <c r="Z299" s="654"/>
      <c r="AA299" s="654"/>
      <c r="AB299" s="654"/>
      <c r="AC299" s="654"/>
      <c r="AD299" s="654"/>
      <c r="AE299" s="655"/>
      <c r="AF299" s="655"/>
      <c r="AG299" s="655"/>
      <c r="AH299" s="655"/>
      <c r="AI299" s="655"/>
      <c r="AJ299" s="655"/>
      <c r="AK299" s="655"/>
      <c r="AL299" s="655"/>
    </row>
    <row r="300" spans="1:38" hidden="1" x14ac:dyDescent="0.25">
      <c r="A300" s="653">
        <v>90901</v>
      </c>
      <c r="B300" s="651" t="s">
        <v>1512</v>
      </c>
      <c r="C300" s="675">
        <v>7.1500000000000003E-4</v>
      </c>
      <c r="D300" s="675">
        <v>8.1599999999999999E-4</v>
      </c>
      <c r="E300" s="680">
        <v>775810</v>
      </c>
      <c r="F300" s="651">
        <v>31096883</v>
      </c>
      <c r="G300" s="652">
        <v>26753885</v>
      </c>
      <c r="H300" s="652">
        <v>0</v>
      </c>
      <c r="I300" s="652">
        <v>0</v>
      </c>
      <c r="J300" s="652">
        <v>0</v>
      </c>
      <c r="K300" s="652">
        <v>3668780</v>
      </c>
      <c r="L300" s="652">
        <f t="shared" si="12"/>
        <v>3668780</v>
      </c>
      <c r="M300" s="652"/>
      <c r="N300" s="652">
        <v>1918303</v>
      </c>
      <c r="O300" s="652">
        <v>9943</v>
      </c>
      <c r="P300" s="652">
        <v>7367898</v>
      </c>
      <c r="Q300" s="652">
        <v>0</v>
      </c>
      <c r="R300" s="652">
        <f t="shared" si="13"/>
        <v>9296144</v>
      </c>
      <c r="S300" s="652"/>
      <c r="T300" s="652">
        <f t="shared" si="14"/>
        <v>1326415</v>
      </c>
      <c r="U300" s="652">
        <v>733761</v>
      </c>
      <c r="V300" s="652">
        <v>2060176</v>
      </c>
      <c r="W300" s="654"/>
      <c r="X300" s="654"/>
      <c r="Y300" s="654"/>
      <c r="Z300" s="654"/>
      <c r="AA300" s="654"/>
      <c r="AB300" s="654"/>
      <c r="AC300" s="654"/>
      <c r="AD300" s="654"/>
      <c r="AE300" s="655"/>
      <c r="AF300" s="655"/>
      <c r="AG300" s="655"/>
      <c r="AH300" s="655"/>
      <c r="AI300" s="655"/>
      <c r="AJ300" s="655"/>
      <c r="AK300" s="655"/>
      <c r="AL300" s="655"/>
    </row>
    <row r="301" spans="1:38" hidden="1" x14ac:dyDescent="0.25">
      <c r="A301" s="653">
        <v>91041</v>
      </c>
      <c r="B301" s="651" t="s">
        <v>1513</v>
      </c>
      <c r="C301" s="675">
        <v>1.2999999999999999E-4</v>
      </c>
      <c r="D301" s="675">
        <v>1.4899999999999999E-4</v>
      </c>
      <c r="E301" s="680">
        <v>123098</v>
      </c>
      <c r="F301" s="651">
        <v>5639786</v>
      </c>
      <c r="G301" s="652">
        <v>4886483</v>
      </c>
      <c r="H301" s="652">
        <v>0</v>
      </c>
      <c r="I301" s="652">
        <v>0</v>
      </c>
      <c r="J301" s="652">
        <v>0</v>
      </c>
      <c r="K301" s="652">
        <v>687860</v>
      </c>
      <c r="L301" s="652">
        <f t="shared" si="12"/>
        <v>687860</v>
      </c>
      <c r="M301" s="652"/>
      <c r="N301" s="652">
        <v>350370</v>
      </c>
      <c r="O301" s="652">
        <v>1816</v>
      </c>
      <c r="P301" s="652">
        <v>1345715</v>
      </c>
      <c r="Q301" s="652">
        <v>0</v>
      </c>
      <c r="R301" s="652">
        <f t="shared" si="13"/>
        <v>1697901</v>
      </c>
      <c r="S301" s="652"/>
      <c r="T301" s="652">
        <f t="shared" si="14"/>
        <v>242264</v>
      </c>
      <c r="U301" s="652">
        <v>137572</v>
      </c>
      <c r="V301" s="652">
        <v>379836</v>
      </c>
      <c r="W301" s="654"/>
      <c r="X301" s="654"/>
      <c r="Y301" s="654"/>
      <c r="Z301" s="654"/>
      <c r="AA301" s="654"/>
      <c r="AB301" s="654"/>
      <c r="AC301" s="654"/>
      <c r="AD301" s="654"/>
      <c r="AE301" s="655"/>
      <c r="AF301" s="655"/>
      <c r="AG301" s="655"/>
      <c r="AH301" s="655"/>
      <c r="AI301" s="655"/>
      <c r="AJ301" s="655"/>
      <c r="AK301" s="655"/>
      <c r="AL301" s="655"/>
    </row>
    <row r="302" spans="1:38" hidden="1" x14ac:dyDescent="0.25">
      <c r="A302" s="653">
        <v>91111</v>
      </c>
      <c r="B302" s="651" t="s">
        <v>1514</v>
      </c>
      <c r="C302" s="675">
        <v>6.9999999999999994E-5</v>
      </c>
      <c r="D302" s="675">
        <v>8.3999999999999995E-5</v>
      </c>
      <c r="E302" s="680">
        <v>84491</v>
      </c>
      <c r="F302" s="651">
        <v>3047101</v>
      </c>
      <c r="G302" s="652">
        <v>2769848</v>
      </c>
      <c r="H302" s="652">
        <v>0</v>
      </c>
      <c r="I302" s="652">
        <v>0</v>
      </c>
      <c r="J302" s="652">
        <v>0</v>
      </c>
      <c r="K302" s="652">
        <v>526955</v>
      </c>
      <c r="L302" s="652">
        <f t="shared" si="12"/>
        <v>526955</v>
      </c>
      <c r="M302" s="652"/>
      <c r="N302" s="652">
        <v>198603</v>
      </c>
      <c r="O302" s="652">
        <v>1029</v>
      </c>
      <c r="P302" s="652">
        <v>762804</v>
      </c>
      <c r="Q302" s="652">
        <v>0</v>
      </c>
      <c r="R302" s="652">
        <f t="shared" si="13"/>
        <v>962436</v>
      </c>
      <c r="S302" s="652"/>
      <c r="T302" s="652">
        <f t="shared" si="14"/>
        <v>137325</v>
      </c>
      <c r="U302" s="652">
        <v>105395</v>
      </c>
      <c r="V302" s="652">
        <v>242720</v>
      </c>
      <c r="W302" s="654"/>
      <c r="X302" s="654"/>
      <c r="Y302" s="654"/>
      <c r="Z302" s="654"/>
      <c r="AA302" s="654"/>
      <c r="AB302" s="654"/>
      <c r="AC302" s="654"/>
      <c r="AD302" s="654"/>
      <c r="AE302" s="655"/>
      <c r="AF302" s="655"/>
      <c r="AG302" s="655"/>
      <c r="AH302" s="655"/>
      <c r="AI302" s="655"/>
      <c r="AJ302" s="655"/>
      <c r="AK302" s="655"/>
      <c r="AL302" s="655"/>
    </row>
    <row r="303" spans="1:38" hidden="1" x14ac:dyDescent="0.25">
      <c r="A303" s="653">
        <v>91151</v>
      </c>
      <c r="B303" s="651" t="s">
        <v>1515</v>
      </c>
      <c r="C303" s="675">
        <v>2.04E-4</v>
      </c>
      <c r="D303" s="675">
        <v>2.32E-4</v>
      </c>
      <c r="E303" s="680">
        <v>199971</v>
      </c>
      <c r="F303" s="651">
        <v>8868324</v>
      </c>
      <c r="G303" s="652">
        <v>7606034</v>
      </c>
      <c r="H303" s="652">
        <v>0</v>
      </c>
      <c r="I303" s="652">
        <v>0</v>
      </c>
      <c r="J303" s="652">
        <v>0</v>
      </c>
      <c r="K303" s="652">
        <v>1002870</v>
      </c>
      <c r="L303" s="652">
        <f t="shared" si="12"/>
        <v>1002870</v>
      </c>
      <c r="M303" s="652"/>
      <c r="N303" s="652">
        <v>545367</v>
      </c>
      <c r="O303" s="652">
        <v>2827</v>
      </c>
      <c r="P303" s="652">
        <v>2094667</v>
      </c>
      <c r="Q303" s="652">
        <v>0</v>
      </c>
      <c r="R303" s="652">
        <f t="shared" si="13"/>
        <v>2642861</v>
      </c>
      <c r="S303" s="652"/>
      <c r="T303" s="652">
        <f t="shared" si="14"/>
        <v>377095</v>
      </c>
      <c r="U303" s="652">
        <v>200576</v>
      </c>
      <c r="V303" s="652">
        <v>577671</v>
      </c>
      <c r="W303" s="654"/>
      <c r="X303" s="654"/>
      <c r="Y303" s="654"/>
      <c r="Z303" s="654"/>
      <c r="AA303" s="654"/>
      <c r="AB303" s="654"/>
      <c r="AC303" s="654"/>
      <c r="AD303" s="654"/>
      <c r="AE303" s="655"/>
      <c r="AF303" s="655"/>
      <c r="AG303" s="655"/>
      <c r="AH303" s="655"/>
      <c r="AI303" s="655"/>
      <c r="AJ303" s="655"/>
      <c r="AK303" s="655"/>
      <c r="AL303" s="655"/>
    </row>
    <row r="304" spans="1:38" hidden="1" x14ac:dyDescent="0.25">
      <c r="A304" s="653">
        <v>98101</v>
      </c>
      <c r="B304" s="651" t="s">
        <v>1516</v>
      </c>
      <c r="C304" s="675">
        <v>9.2599999999999996E-4</v>
      </c>
      <c r="D304" s="675">
        <v>1.042E-3</v>
      </c>
      <c r="E304" s="680">
        <v>951746</v>
      </c>
      <c r="F304" s="651">
        <v>40276690</v>
      </c>
      <c r="G304" s="652">
        <v>34160722</v>
      </c>
      <c r="H304" s="652">
        <v>0</v>
      </c>
      <c r="I304" s="652">
        <v>0</v>
      </c>
      <c r="J304" s="652">
        <v>0</v>
      </c>
      <c r="K304" s="652">
        <v>4176610</v>
      </c>
      <c r="L304" s="652">
        <f t="shared" si="12"/>
        <v>4176610</v>
      </c>
      <c r="M304" s="652"/>
      <c r="N304" s="652">
        <v>2449387</v>
      </c>
      <c r="O304" s="652">
        <v>12696</v>
      </c>
      <c r="P304" s="652">
        <v>9407707</v>
      </c>
      <c r="Q304" s="652">
        <v>0</v>
      </c>
      <c r="R304" s="652">
        <f t="shared" si="13"/>
        <v>11869790</v>
      </c>
      <c r="S304" s="652"/>
      <c r="T304" s="652">
        <f t="shared" si="14"/>
        <v>1693634</v>
      </c>
      <c r="U304" s="652">
        <v>835323</v>
      </c>
      <c r="V304" s="652">
        <v>2528957</v>
      </c>
      <c r="W304" s="654"/>
      <c r="X304" s="654"/>
      <c r="Y304" s="654"/>
      <c r="Z304" s="654"/>
      <c r="AA304" s="654"/>
      <c r="AB304" s="654"/>
      <c r="AC304" s="654"/>
      <c r="AD304" s="654"/>
      <c r="AE304" s="655"/>
      <c r="AF304" s="655"/>
      <c r="AG304" s="655"/>
      <c r="AH304" s="655"/>
      <c r="AI304" s="655"/>
      <c r="AJ304" s="655"/>
      <c r="AK304" s="655"/>
      <c r="AL304" s="655"/>
    </row>
    <row r="305" spans="1:38" hidden="1" x14ac:dyDescent="0.25">
      <c r="A305" s="653">
        <v>98103</v>
      </c>
      <c r="B305" s="651" t="s">
        <v>1517</v>
      </c>
      <c r="C305" s="675">
        <v>1.8599999999999999E-4</v>
      </c>
      <c r="D305" s="675">
        <v>1.92E-4</v>
      </c>
      <c r="E305" s="680">
        <v>204485</v>
      </c>
      <c r="F305" s="651">
        <v>8105226</v>
      </c>
      <c r="G305" s="652">
        <v>6289173</v>
      </c>
      <c r="H305" s="652">
        <v>0</v>
      </c>
      <c r="I305" s="652">
        <v>0</v>
      </c>
      <c r="J305" s="652">
        <v>0</v>
      </c>
      <c r="K305" s="652">
        <v>218265</v>
      </c>
      <c r="L305" s="652">
        <f t="shared" si="12"/>
        <v>218265</v>
      </c>
      <c r="M305" s="652"/>
      <c r="N305" s="652">
        <v>450945</v>
      </c>
      <c r="O305" s="652">
        <v>2337</v>
      </c>
      <c r="P305" s="652">
        <v>1732010</v>
      </c>
      <c r="Q305" s="652">
        <v>0</v>
      </c>
      <c r="R305" s="652">
        <f t="shared" si="13"/>
        <v>2185292</v>
      </c>
      <c r="S305" s="652"/>
      <c r="T305" s="652">
        <f t="shared" si="14"/>
        <v>311807</v>
      </c>
      <c r="U305" s="652">
        <v>43652</v>
      </c>
      <c r="V305" s="652">
        <v>355459</v>
      </c>
      <c r="W305" s="654"/>
      <c r="X305" s="654"/>
      <c r="Y305" s="654"/>
      <c r="Z305" s="654"/>
      <c r="AA305" s="654"/>
      <c r="AB305" s="654"/>
      <c r="AC305" s="654"/>
      <c r="AD305" s="654"/>
      <c r="AE305" s="655"/>
      <c r="AF305" s="655"/>
      <c r="AG305" s="655"/>
      <c r="AH305" s="655"/>
      <c r="AI305" s="655"/>
      <c r="AJ305" s="655"/>
      <c r="AK305" s="655"/>
      <c r="AL305" s="655"/>
    </row>
    <row r="306" spans="1:38" hidden="1" x14ac:dyDescent="0.25">
      <c r="A306" s="653">
        <v>98111</v>
      </c>
      <c r="B306" s="651" t="s">
        <v>1518</v>
      </c>
      <c r="C306" s="675">
        <v>3.5199999999999999E-4</v>
      </c>
      <c r="D306" s="675">
        <v>3.6999999999999999E-4</v>
      </c>
      <c r="E306" s="680">
        <v>339230</v>
      </c>
      <c r="F306" s="651">
        <v>15328314</v>
      </c>
      <c r="G306" s="652">
        <v>12123671</v>
      </c>
      <c r="H306" s="652">
        <v>0</v>
      </c>
      <c r="I306" s="652">
        <v>0</v>
      </c>
      <c r="J306" s="652">
        <v>0</v>
      </c>
      <c r="K306" s="652">
        <v>621765</v>
      </c>
      <c r="L306" s="652">
        <f t="shared" si="12"/>
        <v>621765</v>
      </c>
      <c r="M306" s="652"/>
      <c r="N306" s="652">
        <v>869290</v>
      </c>
      <c r="O306" s="652">
        <v>4506</v>
      </c>
      <c r="P306" s="652">
        <v>3338804</v>
      </c>
      <c r="Q306" s="652">
        <v>0</v>
      </c>
      <c r="R306" s="652">
        <f t="shared" si="13"/>
        <v>4212600</v>
      </c>
      <c r="S306" s="652"/>
      <c r="T306" s="652">
        <f t="shared" si="14"/>
        <v>601072</v>
      </c>
      <c r="U306" s="652">
        <v>124349</v>
      </c>
      <c r="V306" s="652">
        <v>725421</v>
      </c>
      <c r="W306" s="654"/>
      <c r="X306" s="654"/>
      <c r="Y306" s="654"/>
      <c r="Z306" s="654"/>
      <c r="AA306" s="654"/>
      <c r="AB306" s="654"/>
      <c r="AC306" s="654"/>
      <c r="AD306" s="654"/>
      <c r="AE306" s="655"/>
      <c r="AF306" s="655"/>
      <c r="AG306" s="655"/>
      <c r="AH306" s="655"/>
      <c r="AI306" s="655"/>
      <c r="AJ306" s="655"/>
      <c r="AK306" s="655"/>
      <c r="AL306" s="655"/>
    </row>
    <row r="307" spans="1:38" hidden="1" x14ac:dyDescent="0.25">
      <c r="A307" s="653">
        <v>98131</v>
      </c>
      <c r="B307" s="651" t="s">
        <v>1519</v>
      </c>
      <c r="C307" s="675">
        <v>9.8999999999999994E-5</v>
      </c>
      <c r="D307" s="675">
        <v>9.0000000000000006E-5</v>
      </c>
      <c r="E307" s="680">
        <v>93765</v>
      </c>
      <c r="F307" s="651">
        <v>4316628</v>
      </c>
      <c r="G307" s="652">
        <v>2950894</v>
      </c>
      <c r="H307" s="652">
        <v>0</v>
      </c>
      <c r="I307" s="652">
        <v>0</v>
      </c>
      <c r="J307" s="652">
        <v>0</v>
      </c>
      <c r="K307" s="652">
        <v>0</v>
      </c>
      <c r="L307" s="652">
        <f t="shared" si="12"/>
        <v>0</v>
      </c>
      <c r="M307" s="652"/>
      <c r="N307" s="652">
        <v>211585</v>
      </c>
      <c r="O307" s="652">
        <v>1097</v>
      </c>
      <c r="P307" s="652">
        <v>812663</v>
      </c>
      <c r="Q307" s="652">
        <v>327435</v>
      </c>
      <c r="R307" s="652">
        <f t="shared" si="13"/>
        <v>1352780</v>
      </c>
      <c r="S307" s="652"/>
      <c r="T307" s="652">
        <f t="shared" si="14"/>
        <v>146301</v>
      </c>
      <c r="U307" s="652">
        <v>-65490</v>
      </c>
      <c r="V307" s="652">
        <v>80811</v>
      </c>
      <c r="W307" s="654"/>
      <c r="X307" s="654"/>
      <c r="Y307" s="654"/>
      <c r="Z307" s="654"/>
      <c r="AA307" s="654"/>
      <c r="AB307" s="654"/>
      <c r="AC307" s="654"/>
      <c r="AD307" s="654"/>
      <c r="AE307" s="655"/>
      <c r="AF307" s="655"/>
      <c r="AG307" s="655"/>
      <c r="AH307" s="655"/>
      <c r="AI307" s="655"/>
      <c r="AJ307" s="655"/>
      <c r="AK307" s="655"/>
      <c r="AL307" s="655"/>
    </row>
    <row r="308" spans="1:38" hidden="1" x14ac:dyDescent="0.25">
      <c r="A308" s="653">
        <v>99401</v>
      </c>
      <c r="B308" s="651" t="s">
        <v>1520</v>
      </c>
      <c r="C308" s="675">
        <v>3.0400000000000002E-4</v>
      </c>
      <c r="D308" s="675">
        <v>3.3399999999999999E-4</v>
      </c>
      <c r="E308" s="680">
        <v>328714</v>
      </c>
      <c r="F308" s="651">
        <v>13222163</v>
      </c>
      <c r="G308" s="652">
        <v>10959935</v>
      </c>
      <c r="H308" s="652">
        <v>0</v>
      </c>
      <c r="I308" s="652">
        <v>0</v>
      </c>
      <c r="J308" s="652">
        <v>0</v>
      </c>
      <c r="K308" s="652">
        <v>1109455</v>
      </c>
      <c r="L308" s="652">
        <f t="shared" si="12"/>
        <v>1109455</v>
      </c>
      <c r="M308" s="652"/>
      <c r="N308" s="652">
        <v>785847</v>
      </c>
      <c r="O308" s="652">
        <v>4073</v>
      </c>
      <c r="P308" s="652">
        <v>3018316</v>
      </c>
      <c r="Q308" s="652">
        <v>0</v>
      </c>
      <c r="R308" s="652">
        <f t="shared" si="13"/>
        <v>3808236</v>
      </c>
      <c r="S308" s="652"/>
      <c r="T308" s="652">
        <f t="shared" si="14"/>
        <v>543376</v>
      </c>
      <c r="U308" s="652">
        <v>221891</v>
      </c>
      <c r="V308" s="652">
        <v>765267</v>
      </c>
      <c r="W308" s="654"/>
      <c r="X308" s="654"/>
      <c r="Y308" s="654"/>
      <c r="Z308" s="654"/>
      <c r="AA308" s="654"/>
      <c r="AB308" s="654"/>
      <c r="AC308" s="654"/>
      <c r="AD308" s="654"/>
      <c r="AE308" s="655"/>
      <c r="AF308" s="655"/>
      <c r="AG308" s="655"/>
      <c r="AH308" s="655"/>
      <c r="AI308" s="655"/>
      <c r="AJ308" s="655"/>
      <c r="AK308" s="655"/>
      <c r="AL308" s="655"/>
    </row>
    <row r="309" spans="1:38" hidden="1" x14ac:dyDescent="0.25">
      <c r="A309" s="653">
        <v>99521</v>
      </c>
      <c r="B309" s="651" t="s">
        <v>1521</v>
      </c>
      <c r="C309" s="675">
        <v>1.35E-4</v>
      </c>
      <c r="D309" s="675">
        <v>1.54E-4</v>
      </c>
      <c r="E309" s="680">
        <v>139509</v>
      </c>
      <c r="F309" s="651">
        <v>5884069</v>
      </c>
      <c r="G309" s="652">
        <v>5058674</v>
      </c>
      <c r="H309" s="652">
        <v>0</v>
      </c>
      <c r="I309" s="652">
        <v>0</v>
      </c>
      <c r="J309" s="652">
        <v>0</v>
      </c>
      <c r="K309" s="652">
        <v>684205</v>
      </c>
      <c r="L309" s="652">
        <f t="shared" si="12"/>
        <v>684205</v>
      </c>
      <c r="M309" s="652"/>
      <c r="N309" s="652">
        <v>362716</v>
      </c>
      <c r="O309" s="652">
        <v>1880</v>
      </c>
      <c r="P309" s="652">
        <v>1393136</v>
      </c>
      <c r="Q309" s="652">
        <v>0</v>
      </c>
      <c r="R309" s="652">
        <f t="shared" si="13"/>
        <v>1757732</v>
      </c>
      <c r="S309" s="652"/>
      <c r="T309" s="652">
        <f t="shared" si="14"/>
        <v>250801</v>
      </c>
      <c r="U309" s="652">
        <v>136840</v>
      </c>
      <c r="V309" s="652">
        <v>387641</v>
      </c>
      <c r="W309" s="654"/>
      <c r="X309" s="654"/>
      <c r="Y309" s="654"/>
      <c r="Z309" s="654"/>
      <c r="AA309" s="654"/>
      <c r="AB309" s="654"/>
      <c r="AC309" s="654"/>
      <c r="AD309" s="654"/>
      <c r="AE309" s="655"/>
      <c r="AF309" s="655"/>
      <c r="AG309" s="655"/>
      <c r="AH309" s="655"/>
      <c r="AI309" s="655"/>
      <c r="AJ309" s="655"/>
      <c r="AK309" s="655"/>
      <c r="AL309" s="655"/>
    </row>
    <row r="310" spans="1:38" hidden="1" x14ac:dyDescent="0.25">
      <c r="A310" s="653">
        <v>99831</v>
      </c>
      <c r="B310" s="651" t="s">
        <v>1522</v>
      </c>
      <c r="C310" s="675">
        <v>1.7E-5</v>
      </c>
      <c r="D310" s="675">
        <v>2.4000000000000001E-5</v>
      </c>
      <c r="E310" s="680">
        <v>22260</v>
      </c>
      <c r="F310" s="651">
        <v>749922</v>
      </c>
      <c r="G310" s="659">
        <v>771058</v>
      </c>
      <c r="H310" s="659">
        <v>0</v>
      </c>
      <c r="I310" s="659">
        <v>0</v>
      </c>
      <c r="J310" s="659">
        <v>0</v>
      </c>
      <c r="K310" s="659">
        <v>227575</v>
      </c>
      <c r="L310" s="659">
        <f t="shared" si="12"/>
        <v>227575</v>
      </c>
      <c r="M310" s="659"/>
      <c r="N310" s="659">
        <v>55286</v>
      </c>
      <c r="O310" s="659">
        <v>287</v>
      </c>
      <c r="P310" s="659">
        <v>212346</v>
      </c>
      <c r="Q310" s="659">
        <v>0</v>
      </c>
      <c r="R310" s="659">
        <f t="shared" si="13"/>
        <v>267919</v>
      </c>
      <c r="S310" s="659"/>
      <c r="T310" s="659">
        <f t="shared" si="14"/>
        <v>38228</v>
      </c>
      <c r="U310" s="659">
        <v>45512</v>
      </c>
      <c r="V310" s="659">
        <v>83740</v>
      </c>
      <c r="W310" s="654"/>
      <c r="X310" s="654"/>
      <c r="Y310" s="654"/>
      <c r="Z310" s="654"/>
      <c r="AA310" s="654"/>
      <c r="AB310" s="654"/>
      <c r="AC310" s="654"/>
      <c r="AD310" s="654"/>
      <c r="AE310" s="655"/>
      <c r="AF310" s="655"/>
      <c r="AG310" s="655"/>
      <c r="AH310" s="655"/>
      <c r="AI310" s="655"/>
      <c r="AJ310" s="655"/>
      <c r="AK310" s="655"/>
      <c r="AL310" s="655"/>
    </row>
    <row r="311" spans="1:38" x14ac:dyDescent="0.25">
      <c r="A311" s="761" t="s">
        <v>1525</v>
      </c>
      <c r="B311" s="651" t="s">
        <v>1163</v>
      </c>
      <c r="C311" s="675">
        <v>3.6999999999999998E-5</v>
      </c>
      <c r="D311" s="675">
        <v>3.6999999999999998E-5</v>
      </c>
      <c r="E311" s="680">
        <v>28290</v>
      </c>
      <c r="F311" s="651">
        <v>1598454</v>
      </c>
      <c r="G311" s="652">
        <v>1204359</v>
      </c>
      <c r="H311" s="652">
        <v>0</v>
      </c>
      <c r="I311" s="652">
        <v>0</v>
      </c>
      <c r="J311" s="652">
        <v>0</v>
      </c>
      <c r="K311" s="652">
        <v>0</v>
      </c>
      <c r="L311" s="652">
        <v>0</v>
      </c>
      <c r="M311" s="652"/>
      <c r="N311" s="652">
        <v>86355</v>
      </c>
      <c r="O311" s="652">
        <v>448</v>
      </c>
      <c r="P311" s="652">
        <v>331675</v>
      </c>
      <c r="Q311" s="652">
        <v>5865</v>
      </c>
      <c r="R311" s="652">
        <v>424343</v>
      </c>
      <c r="S311" s="652"/>
      <c r="T311" s="652">
        <v>59710</v>
      </c>
      <c r="U311" s="652">
        <v>-1173</v>
      </c>
      <c r="V311" s="652">
        <v>58537</v>
      </c>
      <c r="W311" s="654"/>
      <c r="X311" s="654"/>
      <c r="Y311" s="654"/>
      <c r="Z311" s="654"/>
      <c r="AA311" s="654"/>
      <c r="AB311" s="654"/>
      <c r="AC311" s="654"/>
      <c r="AD311" s="654"/>
      <c r="AE311" s="655"/>
      <c r="AF311" s="655"/>
      <c r="AG311" s="655"/>
      <c r="AH311" s="655"/>
      <c r="AI311" s="655"/>
      <c r="AJ311" s="655"/>
      <c r="AK311" s="655"/>
      <c r="AL311" s="655"/>
    </row>
    <row r="312" spans="1:38" ht="18" customHeight="1" x14ac:dyDescent="0.25">
      <c r="A312" s="660"/>
      <c r="B312" s="661" t="s">
        <v>466</v>
      </c>
      <c r="C312" s="676"/>
      <c r="D312" s="676"/>
      <c r="E312" s="680">
        <f>SUM(E6:E310)</f>
        <v>949949851</v>
      </c>
      <c r="F312" s="662">
        <f>SUM(F7:F310)</f>
        <v>43503399006</v>
      </c>
      <c r="G312" s="662">
        <f>SUM(G7:G310)</f>
        <v>32786624459</v>
      </c>
      <c r="H312" s="662">
        <v>0</v>
      </c>
      <c r="I312" s="662">
        <v>0</v>
      </c>
      <c r="J312" s="662">
        <v>0</v>
      </c>
      <c r="K312" s="662">
        <f>SUM(K7:K310)</f>
        <v>1069202810</v>
      </c>
      <c r="L312" s="652">
        <f>SUM(L7:L310)</f>
        <v>1069202810</v>
      </c>
      <c r="M312" s="652"/>
      <c r="N312" s="652">
        <f>SUM(N7:N310)</f>
        <v>2350861287</v>
      </c>
      <c r="O312" s="652">
        <f>SUM(O7:O310)</f>
        <v>12184938</v>
      </c>
      <c r="P312" s="652">
        <f>SUM(P7:P310)</f>
        <v>9029286691</v>
      </c>
      <c r="Q312" s="652">
        <f>SUM(Q7:Q310)</f>
        <v>1069202771</v>
      </c>
      <c r="R312" s="652">
        <f>SUM(R7:R310)</f>
        <v>12461535687</v>
      </c>
      <c r="S312" s="652"/>
      <c r="T312" s="652">
        <f t="shared" si="14"/>
        <v>1625508214</v>
      </c>
      <c r="U312" s="662">
        <f>SUM(U7:U310)</f>
        <v>-50</v>
      </c>
      <c r="V312" s="662">
        <f>SUM(V7:V310)</f>
        <v>1625508164</v>
      </c>
      <c r="W312" s="654"/>
      <c r="X312" s="654"/>
      <c r="Y312" s="654"/>
      <c r="Z312" s="654"/>
      <c r="AA312" s="654"/>
      <c r="AB312" s="654"/>
      <c r="AC312" s="654"/>
      <c r="AD312" s="654"/>
    </row>
    <row r="313" spans="1:38" ht="18" customHeight="1" x14ac:dyDescent="0.25">
      <c r="A313" s="663"/>
      <c r="B313" s="664"/>
      <c r="C313" s="677"/>
      <c r="D313" s="677"/>
      <c r="E313" s="677"/>
      <c r="F313" s="664"/>
      <c r="G313" s="665"/>
      <c r="I313" s="665"/>
      <c r="J313" s="665"/>
      <c r="K313" s="665"/>
      <c r="L313" s="665"/>
      <c r="M313" s="665"/>
      <c r="N313" s="665"/>
      <c r="O313" s="665"/>
      <c r="P313" s="665"/>
      <c r="Q313" s="665"/>
      <c r="R313" s="665"/>
      <c r="S313" s="665"/>
      <c r="T313" s="667"/>
      <c r="U313" s="665"/>
      <c r="V313" s="665"/>
      <c r="W313" s="665"/>
      <c r="X313" s="665"/>
      <c r="Y313" s="665"/>
      <c r="Z313" s="665"/>
      <c r="AA313" s="665"/>
      <c r="AB313" s="665"/>
      <c r="AC313" s="665"/>
      <c r="AD313" s="665"/>
    </row>
    <row r="314" spans="1:38" ht="18" customHeight="1" x14ac:dyDescent="0.25"/>
    <row r="315" spans="1:38" ht="18" customHeight="1" x14ac:dyDescent="0.25">
      <c r="B315" s="651" t="s">
        <v>1220</v>
      </c>
      <c r="C315" s="650" t="s">
        <v>533</v>
      </c>
    </row>
    <row r="316" spans="1:38" ht="18" customHeight="1" x14ac:dyDescent="0.25">
      <c r="B316" s="651" t="s">
        <v>1355</v>
      </c>
      <c r="C316" s="653">
        <v>33501</v>
      </c>
    </row>
    <row r="317" spans="1:38" ht="18" customHeight="1" x14ac:dyDescent="0.25">
      <c r="B317" s="651" t="s">
        <v>1417</v>
      </c>
      <c r="C317" s="653">
        <v>36301</v>
      </c>
      <c r="D317" s="675"/>
      <c r="E317" s="675"/>
      <c r="F317" s="650"/>
    </row>
    <row r="318" spans="1:38" ht="18" customHeight="1" x14ac:dyDescent="0.25">
      <c r="B318" s="651" t="s">
        <v>1225</v>
      </c>
      <c r="C318" s="653">
        <v>10800</v>
      </c>
      <c r="D318" s="675"/>
      <c r="E318" s="675"/>
      <c r="F318" s="653"/>
    </row>
    <row r="319" spans="1:38" ht="18" customHeight="1" x14ac:dyDescent="0.25">
      <c r="B319" s="651" t="s">
        <v>1279</v>
      </c>
      <c r="C319" s="653">
        <v>30105</v>
      </c>
      <c r="D319" s="675"/>
      <c r="E319" s="675"/>
      <c r="F319" s="653"/>
    </row>
    <row r="320" spans="1:38" ht="18" customHeight="1" x14ac:dyDescent="0.25">
      <c r="B320" s="651" t="s">
        <v>1275</v>
      </c>
      <c r="C320" s="653">
        <v>30100</v>
      </c>
      <c r="D320" s="675"/>
      <c r="E320" s="675"/>
      <c r="F320" s="653"/>
      <c r="V320" s="669"/>
    </row>
    <row r="321" spans="2:22" ht="18" customHeight="1" x14ac:dyDescent="0.25">
      <c r="B321" s="651" t="s">
        <v>1280</v>
      </c>
      <c r="C321" s="653">
        <v>30200</v>
      </c>
      <c r="D321" s="675"/>
      <c r="E321" s="675"/>
      <c r="F321" s="653"/>
    </row>
    <row r="322" spans="2:22" ht="18" customHeight="1" x14ac:dyDescent="0.25">
      <c r="B322" s="651" t="s">
        <v>1281</v>
      </c>
      <c r="C322" s="653">
        <v>30300</v>
      </c>
      <c r="D322" s="675"/>
      <c r="E322" s="675"/>
      <c r="F322" s="653"/>
    </row>
    <row r="323" spans="2:22" ht="18" customHeight="1" x14ac:dyDescent="0.25">
      <c r="B323" s="651" t="s">
        <v>1379</v>
      </c>
      <c r="C323" s="653">
        <v>34901</v>
      </c>
      <c r="D323" s="675"/>
      <c r="E323" s="675"/>
      <c r="F323" s="653"/>
    </row>
    <row r="324" spans="2:22" ht="18" customHeight="1" x14ac:dyDescent="0.25">
      <c r="B324" s="651" t="s">
        <v>1282</v>
      </c>
      <c r="C324" s="653">
        <v>30400</v>
      </c>
      <c r="D324" s="675"/>
      <c r="E324" s="675"/>
      <c r="F324" s="653"/>
    </row>
    <row r="325" spans="2:22" ht="18" customHeight="1" x14ac:dyDescent="0.25">
      <c r="B325" s="651" t="s">
        <v>1254</v>
      </c>
      <c r="C325" s="653">
        <v>20100</v>
      </c>
      <c r="D325" s="675"/>
      <c r="E325" s="675"/>
      <c r="F325" s="653"/>
    </row>
    <row r="326" spans="2:22" ht="18" customHeight="1" x14ac:dyDescent="0.25">
      <c r="B326" s="651" t="s">
        <v>1436</v>
      </c>
      <c r="C326" s="653">
        <v>36901</v>
      </c>
      <c r="D326" s="675"/>
      <c r="E326" s="675"/>
      <c r="F326" s="653"/>
    </row>
    <row r="327" spans="2:22" ht="18" customHeight="1" x14ac:dyDescent="0.25">
      <c r="B327" s="651" t="s">
        <v>1352</v>
      </c>
      <c r="C327" s="653">
        <v>33402</v>
      </c>
      <c r="D327" s="675"/>
      <c r="E327" s="675"/>
      <c r="F327" s="653"/>
    </row>
    <row r="328" spans="2:22" ht="18" customHeight="1" x14ac:dyDescent="0.25">
      <c r="B328" s="651" t="s">
        <v>1284</v>
      </c>
      <c r="C328" s="653">
        <v>30500</v>
      </c>
      <c r="D328" s="675"/>
      <c r="E328" s="675"/>
      <c r="F328" s="653"/>
      <c r="V328" s="669"/>
    </row>
    <row r="329" spans="2:22" ht="18" customHeight="1" x14ac:dyDescent="0.25">
      <c r="B329" s="651" t="s">
        <v>1451</v>
      </c>
      <c r="C329" s="653">
        <v>37610</v>
      </c>
      <c r="D329" s="675"/>
      <c r="E329" s="675"/>
      <c r="F329" s="653"/>
      <c r="V329" s="670"/>
    </row>
    <row r="330" spans="2:22" ht="18" customHeight="1" x14ac:dyDescent="0.25">
      <c r="B330" s="651" t="s">
        <v>1298</v>
      </c>
      <c r="C330" s="653">
        <v>31110</v>
      </c>
      <c r="D330" s="675"/>
      <c r="E330" s="675"/>
      <c r="F330" s="653"/>
      <c r="V330" s="669"/>
    </row>
    <row r="331" spans="2:22" ht="18" customHeight="1" x14ac:dyDescent="0.25">
      <c r="B331" s="651" t="s">
        <v>1297</v>
      </c>
      <c r="C331" s="653">
        <v>31105</v>
      </c>
      <c r="D331" s="675"/>
      <c r="E331" s="675"/>
      <c r="F331" s="653"/>
    </row>
    <row r="332" spans="2:22" ht="18" customHeight="1" x14ac:dyDescent="0.25">
      <c r="B332" s="651" t="s">
        <v>1285</v>
      </c>
      <c r="C332" s="653">
        <v>30600</v>
      </c>
      <c r="D332" s="675"/>
      <c r="E332" s="675"/>
      <c r="F332" s="653"/>
    </row>
    <row r="333" spans="2:22" ht="18" customHeight="1" x14ac:dyDescent="0.25">
      <c r="B333" s="651" t="s">
        <v>1248</v>
      </c>
      <c r="C333" s="653">
        <v>18600</v>
      </c>
      <c r="D333" s="675"/>
      <c r="E333" s="675"/>
      <c r="F333" s="653"/>
    </row>
    <row r="334" spans="2:22" ht="18" customHeight="1" x14ac:dyDescent="0.25">
      <c r="B334" s="651" t="s">
        <v>1345</v>
      </c>
      <c r="C334" s="653">
        <v>33206</v>
      </c>
      <c r="D334" s="675"/>
      <c r="E334" s="675"/>
      <c r="F334" s="653"/>
    </row>
    <row r="335" spans="2:22" ht="18" customHeight="1" x14ac:dyDescent="0.25">
      <c r="B335" s="651" t="s">
        <v>1288</v>
      </c>
      <c r="C335" s="653">
        <v>30705</v>
      </c>
      <c r="D335" s="675"/>
      <c r="E335" s="675"/>
      <c r="F335" s="653"/>
    </row>
    <row r="336" spans="2:22" ht="18" customHeight="1" x14ac:dyDescent="0.25">
      <c r="B336" s="651" t="s">
        <v>1287</v>
      </c>
      <c r="C336" s="653">
        <v>30700</v>
      </c>
      <c r="D336" s="675"/>
      <c r="E336" s="675"/>
      <c r="F336" s="653"/>
    </row>
    <row r="337" spans="2:38" ht="18" customHeight="1" x14ac:dyDescent="0.25">
      <c r="B337" s="651" t="s">
        <v>1289</v>
      </c>
      <c r="C337" s="653">
        <v>30800</v>
      </c>
      <c r="D337" s="675"/>
      <c r="E337" s="675"/>
      <c r="F337" s="653"/>
    </row>
    <row r="338" spans="2:38" ht="18" customHeight="1" x14ac:dyDescent="0.25">
      <c r="B338" s="651" t="s">
        <v>1458</v>
      </c>
      <c r="C338" s="653">
        <v>37901</v>
      </c>
      <c r="D338" s="675"/>
      <c r="E338" s="675"/>
      <c r="F338" s="653"/>
    </row>
    <row r="339" spans="2:38" s="668" customFormat="1" ht="18" customHeight="1" x14ac:dyDescent="0.25">
      <c r="B339" s="651" t="s">
        <v>1291</v>
      </c>
      <c r="C339" s="653">
        <v>30905</v>
      </c>
      <c r="D339" s="675"/>
      <c r="E339" s="675"/>
      <c r="F339" s="653"/>
      <c r="H339" s="666"/>
      <c r="I339" s="636"/>
      <c r="J339" s="636"/>
      <c r="K339" s="636"/>
      <c r="L339" s="636"/>
      <c r="M339" s="636"/>
      <c r="N339" s="636"/>
      <c r="O339" s="636"/>
      <c r="P339" s="636"/>
      <c r="Q339" s="636"/>
      <c r="R339" s="636"/>
      <c r="S339" s="636"/>
      <c r="T339" s="636"/>
      <c r="U339" s="636"/>
      <c r="V339" s="636"/>
      <c r="W339" s="636"/>
      <c r="X339" s="636"/>
      <c r="Y339" s="636"/>
      <c r="Z339" s="636"/>
      <c r="AA339" s="636"/>
      <c r="AB339" s="636"/>
      <c r="AC339" s="636"/>
      <c r="AD339" s="636"/>
      <c r="AE339" s="636"/>
      <c r="AF339" s="636"/>
      <c r="AG339" s="636"/>
      <c r="AH339" s="636"/>
      <c r="AI339" s="636"/>
      <c r="AJ339" s="636"/>
      <c r="AK339" s="636"/>
      <c r="AL339" s="636"/>
    </row>
    <row r="340" spans="2:38" s="668" customFormat="1" ht="18" customHeight="1" x14ac:dyDescent="0.25">
      <c r="B340" s="651" t="s">
        <v>1512</v>
      </c>
      <c r="C340" s="653">
        <v>90901</v>
      </c>
      <c r="D340" s="675"/>
      <c r="E340" s="675"/>
      <c r="F340" s="653"/>
      <c r="H340" s="666"/>
      <c r="I340" s="636"/>
      <c r="J340" s="636"/>
      <c r="K340" s="636"/>
      <c r="L340" s="636"/>
      <c r="M340" s="636"/>
      <c r="N340" s="636"/>
      <c r="O340" s="636"/>
      <c r="P340" s="636"/>
      <c r="Q340" s="636"/>
      <c r="R340" s="636"/>
      <c r="S340" s="636"/>
      <c r="T340" s="636"/>
      <c r="U340" s="636"/>
      <c r="V340" s="636"/>
      <c r="W340" s="636"/>
      <c r="X340" s="636"/>
      <c r="Y340" s="636"/>
      <c r="Z340" s="636"/>
      <c r="AA340" s="636"/>
      <c r="AB340" s="636"/>
      <c r="AC340" s="636"/>
      <c r="AD340" s="636"/>
      <c r="AE340" s="636"/>
      <c r="AF340" s="636"/>
      <c r="AG340" s="636"/>
      <c r="AH340" s="636"/>
      <c r="AI340" s="636"/>
      <c r="AJ340" s="636"/>
      <c r="AK340" s="636"/>
      <c r="AL340" s="636"/>
    </row>
    <row r="341" spans="2:38" s="668" customFormat="1" ht="18" customHeight="1" x14ac:dyDescent="0.25">
      <c r="B341" s="651" t="s">
        <v>1290</v>
      </c>
      <c r="C341" s="653">
        <v>30900</v>
      </c>
      <c r="D341" s="675"/>
      <c r="E341" s="675"/>
      <c r="F341" s="653"/>
      <c r="H341" s="666"/>
      <c r="I341" s="636"/>
      <c r="J341" s="636"/>
      <c r="K341" s="636"/>
      <c r="L341" s="636"/>
      <c r="M341" s="636"/>
      <c r="N341" s="636"/>
      <c r="O341" s="636"/>
      <c r="P341" s="636"/>
      <c r="Q341" s="636"/>
      <c r="R341" s="636"/>
      <c r="S341" s="636"/>
      <c r="T341" s="636"/>
      <c r="U341" s="636"/>
      <c r="V341" s="636"/>
      <c r="W341" s="636"/>
      <c r="X341" s="636"/>
      <c r="Y341" s="636"/>
      <c r="Z341" s="636"/>
      <c r="AA341" s="636"/>
      <c r="AB341" s="636"/>
      <c r="AC341" s="636"/>
      <c r="AD341" s="636"/>
      <c r="AE341" s="636"/>
      <c r="AF341" s="636"/>
      <c r="AG341" s="636"/>
      <c r="AH341" s="636"/>
      <c r="AI341" s="636"/>
      <c r="AJ341" s="636"/>
      <c r="AK341" s="636"/>
      <c r="AL341" s="636"/>
    </row>
    <row r="342" spans="2:38" s="668" customFormat="1" ht="36" customHeight="1" x14ac:dyDescent="0.25">
      <c r="B342" s="651" t="s">
        <v>1373</v>
      </c>
      <c r="C342" s="653">
        <v>34505</v>
      </c>
      <c r="D342" s="675"/>
      <c r="E342" s="675"/>
      <c r="F342" s="653"/>
      <c r="H342" s="666"/>
      <c r="I342" s="636"/>
      <c r="J342" s="636"/>
      <c r="K342" s="636"/>
      <c r="L342" s="636"/>
      <c r="M342" s="636"/>
      <c r="N342" s="636"/>
      <c r="O342" s="636"/>
      <c r="P342" s="636"/>
      <c r="Q342" s="636"/>
      <c r="R342" s="636"/>
      <c r="S342" s="636"/>
      <c r="T342" s="636"/>
      <c r="U342" s="636"/>
      <c r="V342" s="636"/>
      <c r="W342" s="636"/>
      <c r="X342" s="636"/>
      <c r="Y342" s="636"/>
      <c r="Z342" s="636"/>
      <c r="AA342" s="636"/>
      <c r="AB342" s="636"/>
      <c r="AC342" s="636"/>
      <c r="AD342" s="636"/>
      <c r="AE342" s="636"/>
      <c r="AF342" s="636"/>
      <c r="AG342" s="636"/>
      <c r="AH342" s="636"/>
      <c r="AI342" s="636"/>
      <c r="AJ342" s="636"/>
      <c r="AK342" s="636"/>
      <c r="AL342" s="636"/>
    </row>
    <row r="343" spans="2:38" s="668" customFormat="1" ht="18" customHeight="1" x14ac:dyDescent="0.25">
      <c r="B343" s="651" t="s">
        <v>1481</v>
      </c>
      <c r="C343" s="653">
        <v>38801</v>
      </c>
      <c r="D343" s="675"/>
      <c r="E343" s="675"/>
      <c r="F343" s="653"/>
      <c r="H343" s="666"/>
      <c r="I343" s="636"/>
      <c r="J343" s="636"/>
      <c r="K343" s="636"/>
      <c r="L343" s="636"/>
      <c r="M343" s="636"/>
      <c r="N343" s="636"/>
      <c r="O343" s="636"/>
      <c r="P343" s="636"/>
      <c r="Q343" s="636"/>
      <c r="R343" s="636"/>
      <c r="S343" s="636"/>
      <c r="T343" s="636"/>
      <c r="U343" s="636"/>
      <c r="V343" s="636"/>
      <c r="W343" s="636"/>
      <c r="X343" s="636"/>
      <c r="Y343" s="636"/>
      <c r="Z343" s="636"/>
      <c r="AA343" s="636"/>
      <c r="AB343" s="636"/>
      <c r="AC343" s="636"/>
      <c r="AD343" s="636"/>
      <c r="AE343" s="636"/>
      <c r="AF343" s="636"/>
      <c r="AG343" s="636"/>
      <c r="AH343" s="636"/>
      <c r="AI343" s="636"/>
      <c r="AJ343" s="636"/>
      <c r="AK343" s="636"/>
      <c r="AL343" s="636"/>
    </row>
    <row r="344" spans="2:38" s="668" customFormat="1" ht="18" customHeight="1" x14ac:dyDescent="0.25">
      <c r="B344" s="651" t="s">
        <v>1473</v>
      </c>
      <c r="C344" s="653">
        <v>38601</v>
      </c>
      <c r="D344" s="675"/>
      <c r="E344" s="675"/>
      <c r="F344" s="653"/>
      <c r="H344" s="666"/>
      <c r="I344" s="636"/>
      <c r="J344" s="636"/>
      <c r="K344" s="636"/>
      <c r="L344" s="636"/>
      <c r="M344" s="636"/>
      <c r="N344" s="636"/>
      <c r="O344" s="636"/>
      <c r="P344" s="636"/>
      <c r="Q344" s="636"/>
      <c r="R344" s="636"/>
      <c r="S344" s="636"/>
      <c r="T344" s="636"/>
      <c r="U344" s="636"/>
      <c r="V344" s="636"/>
      <c r="W344" s="636"/>
      <c r="X344" s="636"/>
      <c r="Y344" s="636"/>
      <c r="Z344" s="636"/>
      <c r="AA344" s="636"/>
      <c r="AB344" s="636"/>
      <c r="AC344" s="636"/>
      <c r="AD344" s="636"/>
      <c r="AE344" s="636"/>
      <c r="AF344" s="636"/>
      <c r="AG344" s="636"/>
      <c r="AH344" s="636"/>
      <c r="AI344" s="636"/>
      <c r="AJ344" s="636"/>
      <c r="AK344" s="636"/>
      <c r="AL344" s="636"/>
    </row>
    <row r="345" spans="2:38" s="668" customFormat="1" ht="18" customHeight="1" x14ac:dyDescent="0.25">
      <c r="B345" s="651" t="s">
        <v>1293</v>
      </c>
      <c r="C345" s="653">
        <v>31005</v>
      </c>
      <c r="D345" s="675"/>
      <c r="E345" s="675"/>
      <c r="F345" s="653"/>
      <c r="H345" s="666"/>
      <c r="I345" s="636"/>
      <c r="J345" s="636"/>
      <c r="K345" s="636"/>
      <c r="L345" s="636"/>
      <c r="M345" s="636"/>
      <c r="N345" s="636"/>
      <c r="O345" s="636"/>
      <c r="P345" s="636"/>
      <c r="Q345" s="636"/>
      <c r="R345" s="636"/>
      <c r="S345" s="636"/>
      <c r="T345" s="636"/>
      <c r="U345" s="636"/>
      <c r="V345" s="636"/>
      <c r="W345" s="636"/>
      <c r="X345" s="636"/>
      <c r="Y345" s="636"/>
      <c r="Z345" s="636"/>
      <c r="AA345" s="636"/>
      <c r="AB345" s="636"/>
      <c r="AC345" s="636"/>
      <c r="AD345" s="636"/>
      <c r="AE345" s="636"/>
      <c r="AF345" s="636"/>
      <c r="AG345" s="636"/>
      <c r="AH345" s="636"/>
      <c r="AI345" s="636"/>
      <c r="AJ345" s="636"/>
      <c r="AK345" s="636"/>
      <c r="AL345" s="636"/>
    </row>
    <row r="346" spans="2:38" s="668" customFormat="1" ht="18" customHeight="1" x14ac:dyDescent="0.25">
      <c r="B346" s="651" t="s">
        <v>1292</v>
      </c>
      <c r="C346" s="653">
        <v>31000</v>
      </c>
      <c r="D346" s="675"/>
      <c r="E346" s="675"/>
      <c r="F346" s="653"/>
      <c r="H346" s="666"/>
      <c r="I346" s="636"/>
      <c r="J346" s="636"/>
      <c r="K346" s="636"/>
      <c r="L346" s="636"/>
      <c r="M346" s="636"/>
      <c r="N346" s="636"/>
      <c r="O346" s="636"/>
      <c r="P346" s="636"/>
      <c r="Q346" s="636"/>
      <c r="R346" s="636"/>
      <c r="S346" s="636"/>
      <c r="T346" s="636"/>
      <c r="U346" s="636"/>
      <c r="V346" s="636"/>
      <c r="W346" s="636"/>
      <c r="X346" s="636"/>
      <c r="Y346" s="636"/>
      <c r="Z346" s="636"/>
      <c r="AA346" s="636"/>
      <c r="AB346" s="636"/>
      <c r="AC346" s="636"/>
      <c r="AD346" s="636"/>
      <c r="AE346" s="636"/>
      <c r="AF346" s="636"/>
      <c r="AG346" s="636"/>
      <c r="AH346" s="636"/>
      <c r="AI346" s="636"/>
      <c r="AJ346" s="636"/>
      <c r="AK346" s="636"/>
      <c r="AL346" s="636"/>
    </row>
    <row r="347" spans="2:38" s="668" customFormat="1" ht="18" customHeight="1" x14ac:dyDescent="0.25">
      <c r="B347" s="651" t="s">
        <v>1294</v>
      </c>
      <c r="C347" s="653">
        <v>31100</v>
      </c>
      <c r="D347" s="675"/>
      <c r="E347" s="675"/>
      <c r="F347" s="653"/>
      <c r="H347" s="666"/>
      <c r="I347" s="636"/>
      <c r="J347" s="636"/>
      <c r="K347" s="636"/>
      <c r="L347" s="636"/>
      <c r="M347" s="636"/>
      <c r="N347" s="636"/>
      <c r="O347" s="636"/>
      <c r="P347" s="636"/>
      <c r="Q347" s="636"/>
      <c r="R347" s="636"/>
      <c r="S347" s="636"/>
      <c r="T347" s="636"/>
      <c r="U347" s="636"/>
      <c r="V347" s="636"/>
      <c r="W347" s="636"/>
      <c r="X347" s="636"/>
      <c r="Y347" s="636"/>
      <c r="Z347" s="636"/>
      <c r="AA347" s="636"/>
      <c r="AB347" s="636"/>
      <c r="AC347" s="636"/>
      <c r="AD347" s="636"/>
      <c r="AE347" s="636"/>
      <c r="AF347" s="636"/>
      <c r="AG347" s="636"/>
      <c r="AH347" s="636"/>
      <c r="AI347" s="636"/>
      <c r="AJ347" s="636"/>
      <c r="AK347" s="636"/>
      <c r="AL347" s="636"/>
    </row>
    <row r="348" spans="2:38" s="668" customFormat="1" ht="18" customHeight="1" x14ac:dyDescent="0.25">
      <c r="B348" s="651" t="s">
        <v>1299</v>
      </c>
      <c r="C348" s="653">
        <v>31200</v>
      </c>
      <c r="D348" s="675"/>
      <c r="E348" s="675"/>
      <c r="F348" s="653"/>
      <c r="H348" s="666"/>
      <c r="I348" s="636"/>
      <c r="J348" s="636"/>
      <c r="K348" s="636"/>
      <c r="L348" s="636"/>
      <c r="M348" s="636"/>
      <c r="N348" s="636"/>
      <c r="O348" s="636"/>
      <c r="P348" s="636"/>
      <c r="Q348" s="636"/>
      <c r="R348" s="636"/>
      <c r="S348" s="636"/>
      <c r="T348" s="636"/>
      <c r="U348" s="636"/>
      <c r="V348" s="636"/>
      <c r="W348" s="636"/>
      <c r="X348" s="636"/>
      <c r="Y348" s="636"/>
      <c r="Z348" s="636"/>
      <c r="AA348" s="636"/>
      <c r="AB348" s="636"/>
      <c r="AC348" s="636"/>
      <c r="AD348" s="636"/>
      <c r="AE348" s="636"/>
      <c r="AF348" s="636"/>
      <c r="AG348" s="636"/>
      <c r="AH348" s="636"/>
      <c r="AI348" s="636"/>
      <c r="AJ348" s="636"/>
      <c r="AK348" s="636"/>
      <c r="AL348" s="636"/>
    </row>
    <row r="349" spans="2:38" s="668" customFormat="1" ht="18" customHeight="1" x14ac:dyDescent="0.25">
      <c r="B349" s="651" t="s">
        <v>1301</v>
      </c>
      <c r="C349" s="653">
        <v>31300</v>
      </c>
      <c r="D349" s="675"/>
      <c r="E349" s="675"/>
      <c r="F349" s="653"/>
      <c r="H349" s="666"/>
      <c r="I349" s="636"/>
      <c r="J349" s="636"/>
      <c r="K349" s="636"/>
      <c r="L349" s="636"/>
      <c r="M349" s="636"/>
      <c r="N349" s="636"/>
      <c r="O349" s="636"/>
      <c r="P349" s="636"/>
      <c r="Q349" s="636"/>
      <c r="R349" s="636"/>
      <c r="S349" s="636"/>
      <c r="T349" s="636"/>
      <c r="U349" s="636"/>
      <c r="V349" s="636"/>
      <c r="W349" s="636"/>
      <c r="X349" s="636"/>
      <c r="Y349" s="636"/>
      <c r="Z349" s="636"/>
      <c r="AA349" s="636"/>
      <c r="AB349" s="636"/>
      <c r="AC349" s="636"/>
      <c r="AD349" s="636"/>
      <c r="AE349" s="636"/>
      <c r="AF349" s="636"/>
      <c r="AG349" s="636"/>
      <c r="AH349" s="636"/>
      <c r="AI349" s="636"/>
      <c r="AJ349" s="636"/>
      <c r="AK349" s="636"/>
      <c r="AL349" s="636"/>
    </row>
    <row r="350" spans="2:38" s="668" customFormat="1" ht="18" customHeight="1" x14ac:dyDescent="0.25">
      <c r="B350" s="651" t="s">
        <v>1305</v>
      </c>
      <c r="C350" s="653">
        <v>31405</v>
      </c>
      <c r="D350" s="675"/>
      <c r="E350" s="675"/>
      <c r="F350" s="653"/>
      <c r="H350" s="666"/>
      <c r="I350" s="636"/>
      <c r="J350" s="636"/>
      <c r="K350" s="636"/>
      <c r="L350" s="636"/>
      <c r="M350" s="636"/>
      <c r="N350" s="636"/>
      <c r="O350" s="636"/>
      <c r="P350" s="636"/>
      <c r="Q350" s="636"/>
      <c r="R350" s="636"/>
      <c r="S350" s="636"/>
      <c r="T350" s="636"/>
      <c r="U350" s="636"/>
      <c r="V350" s="636"/>
      <c r="W350" s="636"/>
      <c r="X350" s="636"/>
      <c r="Y350" s="636"/>
      <c r="Z350" s="636"/>
      <c r="AA350" s="636"/>
      <c r="AB350" s="636"/>
      <c r="AC350" s="636"/>
      <c r="AD350" s="636"/>
      <c r="AE350" s="636"/>
      <c r="AF350" s="636"/>
      <c r="AG350" s="636"/>
      <c r="AH350" s="636"/>
      <c r="AI350" s="636"/>
      <c r="AJ350" s="636"/>
      <c r="AK350" s="636"/>
      <c r="AL350" s="636"/>
    </row>
    <row r="351" spans="2:38" s="668" customFormat="1" ht="18" customHeight="1" x14ac:dyDescent="0.25">
      <c r="B351" s="651" t="s">
        <v>1304</v>
      </c>
      <c r="C351" s="653">
        <v>31400</v>
      </c>
      <c r="D351" s="675"/>
      <c r="E351" s="675"/>
      <c r="F351" s="653"/>
      <c r="H351" s="666"/>
      <c r="I351" s="636"/>
      <c r="J351" s="636"/>
      <c r="K351" s="636"/>
      <c r="L351" s="636"/>
      <c r="M351" s="636"/>
      <c r="N351" s="636"/>
      <c r="O351" s="636"/>
      <c r="P351" s="636"/>
      <c r="Q351" s="636"/>
      <c r="R351" s="636"/>
      <c r="S351" s="636"/>
      <c r="T351" s="636"/>
      <c r="U351" s="636"/>
      <c r="V351" s="636"/>
      <c r="W351" s="636"/>
      <c r="X351" s="636"/>
      <c r="Y351" s="636"/>
      <c r="Z351" s="636"/>
      <c r="AA351" s="636"/>
      <c r="AB351" s="636"/>
      <c r="AC351" s="636"/>
      <c r="AD351" s="636"/>
      <c r="AE351" s="636"/>
      <c r="AF351" s="636"/>
      <c r="AG351" s="636"/>
      <c r="AH351" s="636"/>
      <c r="AI351" s="636"/>
      <c r="AJ351" s="636"/>
      <c r="AK351" s="636"/>
      <c r="AL351" s="636"/>
    </row>
    <row r="352" spans="2:38" s="668" customFormat="1" ht="18" customHeight="1" x14ac:dyDescent="0.25">
      <c r="B352" s="651" t="s">
        <v>1306</v>
      </c>
      <c r="C352" s="653">
        <v>31500</v>
      </c>
      <c r="D352" s="675"/>
      <c r="E352" s="675"/>
      <c r="F352" s="653"/>
      <c r="H352" s="666"/>
      <c r="I352" s="636"/>
      <c r="J352" s="636"/>
      <c r="K352" s="636"/>
      <c r="L352" s="636"/>
      <c r="M352" s="636"/>
      <c r="N352" s="636"/>
      <c r="O352" s="636"/>
      <c r="P352" s="636"/>
      <c r="Q352" s="636"/>
      <c r="R352" s="636"/>
      <c r="S352" s="636"/>
      <c r="T352" s="636"/>
      <c r="U352" s="636"/>
      <c r="V352" s="636"/>
      <c r="W352" s="636"/>
      <c r="X352" s="636"/>
      <c r="Y352" s="636"/>
      <c r="Z352" s="636"/>
      <c r="AA352" s="636"/>
      <c r="AB352" s="636"/>
      <c r="AC352" s="636"/>
      <c r="AD352" s="636"/>
      <c r="AE352" s="636"/>
      <c r="AF352" s="636"/>
      <c r="AG352" s="636"/>
      <c r="AH352" s="636"/>
      <c r="AI352" s="636"/>
      <c r="AJ352" s="636"/>
      <c r="AK352" s="636"/>
      <c r="AL352" s="636"/>
    </row>
    <row r="353" spans="2:38" s="668" customFormat="1" ht="18" customHeight="1" x14ac:dyDescent="0.25">
      <c r="B353" s="651" t="s">
        <v>1424</v>
      </c>
      <c r="C353" s="653">
        <v>36501</v>
      </c>
      <c r="D353" s="675"/>
      <c r="E353" s="675"/>
      <c r="F353" s="653"/>
      <c r="H353" s="666"/>
      <c r="I353" s="636"/>
      <c r="J353" s="636"/>
      <c r="K353" s="636"/>
      <c r="L353" s="636"/>
      <c r="M353" s="636"/>
      <c r="N353" s="636"/>
      <c r="O353" s="636"/>
      <c r="P353" s="636"/>
      <c r="Q353" s="636"/>
      <c r="R353" s="636"/>
      <c r="S353" s="636"/>
      <c r="T353" s="636"/>
      <c r="U353" s="636"/>
      <c r="V353" s="636"/>
      <c r="W353" s="636"/>
      <c r="X353" s="636"/>
      <c r="Y353" s="636"/>
      <c r="Z353" s="636"/>
      <c r="AA353" s="636"/>
      <c r="AB353" s="636"/>
      <c r="AC353" s="636"/>
      <c r="AD353" s="636"/>
      <c r="AE353" s="636"/>
      <c r="AF353" s="636"/>
      <c r="AG353" s="636"/>
      <c r="AH353" s="636"/>
      <c r="AI353" s="636"/>
      <c r="AJ353" s="636"/>
      <c r="AK353" s="636"/>
      <c r="AL353" s="636"/>
    </row>
    <row r="354" spans="2:38" s="668" customFormat="1" ht="18" customHeight="1" x14ac:dyDescent="0.25">
      <c r="B354" s="651" t="s">
        <v>1426</v>
      </c>
      <c r="C354" s="653">
        <v>36505</v>
      </c>
      <c r="D354" s="675"/>
      <c r="E354" s="675"/>
      <c r="F354" s="653"/>
      <c r="H354" s="666"/>
      <c r="I354" s="636"/>
      <c r="J354" s="636"/>
      <c r="K354" s="636"/>
      <c r="L354" s="636"/>
      <c r="M354" s="636"/>
      <c r="N354" s="636"/>
      <c r="O354" s="636"/>
      <c r="P354" s="636"/>
      <c r="Q354" s="636"/>
      <c r="R354" s="636"/>
      <c r="S354" s="636"/>
      <c r="T354" s="636"/>
      <c r="U354" s="636"/>
      <c r="V354" s="636"/>
      <c r="W354" s="636"/>
      <c r="X354" s="636"/>
      <c r="Y354" s="636"/>
      <c r="Z354" s="636"/>
      <c r="AA354" s="636"/>
      <c r="AB354" s="636"/>
      <c r="AC354" s="636"/>
      <c r="AD354" s="636"/>
      <c r="AE354" s="636"/>
      <c r="AF354" s="636"/>
      <c r="AG354" s="636"/>
      <c r="AH354" s="636"/>
      <c r="AI354" s="636"/>
      <c r="AJ354" s="636"/>
      <c r="AK354" s="636"/>
      <c r="AL354" s="636"/>
    </row>
    <row r="355" spans="2:38" s="668" customFormat="1" ht="18" customHeight="1" x14ac:dyDescent="0.25">
      <c r="B355" s="651" t="s">
        <v>1302</v>
      </c>
      <c r="C355" s="653">
        <v>31301</v>
      </c>
      <c r="D355" s="675"/>
      <c r="E355" s="675"/>
      <c r="F355" s="653"/>
      <c r="H355" s="666"/>
      <c r="I355" s="636"/>
      <c r="J355" s="636"/>
      <c r="K355" s="636"/>
      <c r="L355" s="636"/>
      <c r="M355" s="636"/>
      <c r="N355" s="636"/>
      <c r="O355" s="636"/>
      <c r="P355" s="636"/>
      <c r="Q355" s="636"/>
      <c r="R355" s="636"/>
      <c r="S355" s="636"/>
      <c r="T355" s="636"/>
      <c r="U355" s="636"/>
      <c r="V355" s="636"/>
      <c r="W355" s="636"/>
      <c r="X355" s="636"/>
      <c r="Y355" s="636"/>
      <c r="Z355" s="636"/>
      <c r="AA355" s="636"/>
      <c r="AB355" s="636"/>
      <c r="AC355" s="636"/>
      <c r="AD355" s="636"/>
      <c r="AE355" s="636"/>
      <c r="AF355" s="636"/>
      <c r="AG355" s="636"/>
      <c r="AH355" s="636"/>
      <c r="AI355" s="636"/>
      <c r="AJ355" s="636"/>
      <c r="AK355" s="636"/>
      <c r="AL355" s="636"/>
    </row>
    <row r="356" spans="2:38" s="668" customFormat="1" ht="54" customHeight="1" x14ac:dyDescent="0.25">
      <c r="B356" s="651" t="s">
        <v>1308</v>
      </c>
      <c r="C356" s="653">
        <v>31605</v>
      </c>
      <c r="D356" s="675"/>
      <c r="E356" s="675"/>
      <c r="F356" s="653"/>
      <c r="H356" s="666"/>
      <c r="I356" s="636"/>
      <c r="J356" s="636"/>
      <c r="K356" s="636"/>
      <c r="L356" s="636"/>
      <c r="M356" s="636"/>
      <c r="N356" s="636"/>
      <c r="O356" s="636"/>
      <c r="P356" s="636"/>
      <c r="Q356" s="636"/>
      <c r="R356" s="636"/>
      <c r="S356" s="636"/>
      <c r="T356" s="636"/>
      <c r="U356" s="636"/>
      <c r="V356" s="636"/>
      <c r="W356" s="636"/>
      <c r="X356" s="636"/>
      <c r="Y356" s="636"/>
      <c r="Z356" s="636"/>
      <c r="AA356" s="636"/>
      <c r="AB356" s="636"/>
      <c r="AC356" s="636"/>
      <c r="AD356" s="636"/>
      <c r="AE356" s="636"/>
      <c r="AF356" s="636"/>
      <c r="AG356" s="636"/>
      <c r="AH356" s="636"/>
      <c r="AI356" s="636"/>
      <c r="AJ356" s="636"/>
      <c r="AK356" s="636"/>
      <c r="AL356" s="636"/>
    </row>
    <row r="357" spans="2:38" s="668" customFormat="1" ht="18" customHeight="1" x14ac:dyDescent="0.25">
      <c r="B357" s="651" t="s">
        <v>1307</v>
      </c>
      <c r="C357" s="653">
        <v>31600</v>
      </c>
      <c r="D357" s="675"/>
      <c r="E357" s="675"/>
      <c r="F357" s="653"/>
      <c r="H357" s="666"/>
      <c r="I357" s="636"/>
      <c r="J357" s="636"/>
      <c r="K357" s="636"/>
      <c r="L357" s="636"/>
      <c r="M357" s="636"/>
      <c r="N357" s="636"/>
      <c r="O357" s="636"/>
      <c r="P357" s="636"/>
      <c r="Q357" s="636"/>
      <c r="R357" s="636"/>
      <c r="S357" s="636"/>
      <c r="T357" s="636"/>
      <c r="U357" s="636"/>
      <c r="V357" s="636"/>
      <c r="W357" s="636"/>
      <c r="X357" s="636"/>
      <c r="Y357" s="636"/>
      <c r="Z357" s="636"/>
      <c r="AA357" s="636"/>
      <c r="AB357" s="636"/>
      <c r="AC357" s="636"/>
      <c r="AD357" s="636"/>
      <c r="AE357" s="636"/>
      <c r="AF357" s="636"/>
      <c r="AG357" s="636"/>
      <c r="AH357" s="636"/>
      <c r="AI357" s="636"/>
      <c r="AJ357" s="636"/>
      <c r="AK357" s="636"/>
      <c r="AL357" s="636"/>
    </row>
    <row r="358" spans="2:38" s="668" customFormat="1" ht="18" customHeight="1" x14ac:dyDescent="0.25">
      <c r="B358" s="651" t="s">
        <v>1492</v>
      </c>
      <c r="C358" s="653">
        <v>39209</v>
      </c>
      <c r="D358" s="675"/>
      <c r="E358" s="675"/>
      <c r="F358" s="653"/>
      <c r="H358" s="666"/>
      <c r="I358" s="636"/>
      <c r="J358" s="636"/>
      <c r="K358" s="636"/>
      <c r="L358" s="636"/>
      <c r="M358" s="636"/>
      <c r="N358" s="636"/>
      <c r="O358" s="636"/>
      <c r="P358" s="636"/>
      <c r="Q358" s="636"/>
      <c r="R358" s="636"/>
      <c r="S358" s="636"/>
      <c r="T358" s="636"/>
      <c r="U358" s="636"/>
      <c r="V358" s="636"/>
      <c r="W358" s="636"/>
      <c r="X358" s="636"/>
      <c r="Y358" s="636"/>
      <c r="Z358" s="636"/>
      <c r="AA358" s="636"/>
      <c r="AB358" s="636"/>
      <c r="AC358" s="636"/>
      <c r="AD358" s="636"/>
      <c r="AE358" s="636"/>
      <c r="AF358" s="636"/>
      <c r="AG358" s="636"/>
      <c r="AH358" s="636"/>
      <c r="AI358" s="636"/>
      <c r="AJ358" s="636"/>
      <c r="AK358" s="636"/>
      <c r="AL358" s="636"/>
    </row>
    <row r="359" spans="2:38" s="668" customFormat="1" ht="18" customHeight="1" x14ac:dyDescent="0.25">
      <c r="B359" s="651" t="s">
        <v>1309</v>
      </c>
      <c r="C359" s="653">
        <v>31700</v>
      </c>
      <c r="D359" s="675"/>
      <c r="E359" s="675"/>
      <c r="F359" s="653"/>
      <c r="H359" s="666"/>
      <c r="I359" s="636"/>
      <c r="J359" s="636"/>
      <c r="K359" s="636"/>
      <c r="L359" s="636"/>
      <c r="M359" s="636"/>
      <c r="N359" s="636"/>
      <c r="O359" s="636"/>
      <c r="P359" s="636"/>
      <c r="Q359" s="636"/>
      <c r="R359" s="636"/>
      <c r="S359" s="636"/>
      <c r="T359" s="636"/>
      <c r="U359" s="636"/>
      <c r="V359" s="636"/>
      <c r="W359" s="636"/>
      <c r="X359" s="636"/>
      <c r="Y359" s="636"/>
      <c r="Z359" s="636"/>
      <c r="AA359" s="636"/>
      <c r="AB359" s="636"/>
      <c r="AC359" s="636"/>
      <c r="AD359" s="636"/>
      <c r="AE359" s="636"/>
      <c r="AF359" s="636"/>
      <c r="AG359" s="636"/>
      <c r="AH359" s="636"/>
      <c r="AI359" s="636"/>
      <c r="AJ359" s="636"/>
      <c r="AK359" s="636"/>
      <c r="AL359" s="636"/>
    </row>
    <row r="360" spans="2:38" s="668" customFormat="1" ht="18" customHeight="1" x14ac:dyDescent="0.25">
      <c r="B360" s="651" t="s">
        <v>1310</v>
      </c>
      <c r="C360" s="653">
        <v>31800</v>
      </c>
      <c r="D360" s="675"/>
      <c r="E360" s="675"/>
      <c r="F360" s="653"/>
      <c r="H360" s="666"/>
      <c r="I360" s="636"/>
      <c r="J360" s="636"/>
      <c r="K360" s="636"/>
      <c r="L360" s="636"/>
      <c r="M360" s="636"/>
      <c r="N360" s="636"/>
      <c r="O360" s="636"/>
      <c r="P360" s="636"/>
      <c r="Q360" s="636"/>
      <c r="R360" s="636"/>
      <c r="S360" s="636"/>
      <c r="T360" s="636"/>
      <c r="U360" s="636"/>
      <c r="V360" s="636"/>
      <c r="W360" s="636"/>
      <c r="X360" s="636"/>
      <c r="Y360" s="636"/>
      <c r="Z360" s="636"/>
      <c r="AA360" s="636"/>
      <c r="AB360" s="636"/>
      <c r="AC360" s="636"/>
      <c r="AD360" s="636"/>
      <c r="AE360" s="636"/>
      <c r="AF360" s="636"/>
      <c r="AG360" s="636"/>
      <c r="AH360" s="636"/>
      <c r="AI360" s="636"/>
      <c r="AJ360" s="636"/>
      <c r="AK360" s="636"/>
      <c r="AL360" s="636"/>
    </row>
    <row r="361" spans="2:38" s="668" customFormat="1" ht="18" customHeight="1" x14ac:dyDescent="0.25">
      <c r="B361" s="651" t="s">
        <v>1311</v>
      </c>
      <c r="C361" s="653">
        <v>31805</v>
      </c>
      <c r="D361" s="675"/>
      <c r="E361" s="675"/>
      <c r="F361" s="653"/>
      <c r="H361" s="666"/>
      <c r="I361" s="636"/>
      <c r="J361" s="636"/>
      <c r="K361" s="636"/>
      <c r="L361" s="636"/>
      <c r="M361" s="636"/>
      <c r="N361" s="636"/>
      <c r="O361" s="636"/>
      <c r="P361" s="636"/>
      <c r="Q361" s="636"/>
      <c r="R361" s="636"/>
      <c r="S361" s="636"/>
      <c r="T361" s="636"/>
      <c r="U361" s="636"/>
      <c r="V361" s="636"/>
      <c r="W361" s="636"/>
      <c r="X361" s="636"/>
      <c r="Y361" s="636"/>
      <c r="Z361" s="636"/>
      <c r="AA361" s="636"/>
      <c r="AB361" s="636"/>
      <c r="AC361" s="636"/>
      <c r="AD361" s="636"/>
      <c r="AE361" s="636"/>
      <c r="AF361" s="636"/>
      <c r="AG361" s="636"/>
      <c r="AH361" s="636"/>
      <c r="AI361" s="636"/>
      <c r="AJ361" s="636"/>
      <c r="AK361" s="636"/>
      <c r="AL361" s="636"/>
    </row>
    <row r="362" spans="2:38" s="668" customFormat="1" ht="18" customHeight="1" x14ac:dyDescent="0.25">
      <c r="B362" s="651" t="s">
        <v>1390</v>
      </c>
      <c r="C362" s="653">
        <v>35305</v>
      </c>
      <c r="D362" s="675"/>
      <c r="E362" s="675"/>
      <c r="F362" s="653"/>
      <c r="H362" s="666"/>
      <c r="I362" s="636"/>
      <c r="J362" s="636"/>
      <c r="K362" s="636"/>
      <c r="L362" s="636"/>
      <c r="M362" s="636"/>
      <c r="N362" s="636"/>
      <c r="O362" s="636"/>
      <c r="P362" s="636"/>
      <c r="Q362" s="636"/>
      <c r="R362" s="636"/>
      <c r="S362" s="636"/>
      <c r="T362" s="636"/>
      <c r="U362" s="636"/>
      <c r="V362" s="636"/>
      <c r="W362" s="636"/>
      <c r="X362" s="636"/>
      <c r="Y362" s="636"/>
      <c r="Z362" s="636"/>
      <c r="AA362" s="636"/>
      <c r="AB362" s="636"/>
      <c r="AC362" s="636"/>
      <c r="AD362" s="636"/>
      <c r="AE362" s="636"/>
      <c r="AF362" s="636"/>
      <c r="AG362" s="636"/>
      <c r="AH362" s="636"/>
      <c r="AI362" s="636"/>
      <c r="AJ362" s="636"/>
      <c r="AK362" s="636"/>
      <c r="AL362" s="636"/>
    </row>
    <row r="363" spans="2:38" s="668" customFormat="1" ht="18" customHeight="1" x14ac:dyDescent="0.25">
      <c r="B363" s="651" t="s">
        <v>1341</v>
      </c>
      <c r="C363" s="653">
        <v>33202</v>
      </c>
      <c r="D363" s="675"/>
      <c r="E363" s="675"/>
      <c r="F363" s="653"/>
      <c r="H363" s="666"/>
      <c r="I363" s="636"/>
      <c r="J363" s="636"/>
      <c r="K363" s="636"/>
      <c r="L363" s="636"/>
      <c r="M363" s="636"/>
      <c r="N363" s="636"/>
      <c r="O363" s="636"/>
      <c r="P363" s="636"/>
      <c r="Q363" s="636"/>
      <c r="R363" s="636"/>
      <c r="S363" s="636"/>
      <c r="T363" s="636"/>
      <c r="U363" s="636"/>
      <c r="V363" s="636"/>
      <c r="W363" s="636"/>
      <c r="X363" s="636"/>
      <c r="Y363" s="636"/>
      <c r="Z363" s="636"/>
      <c r="AA363" s="636"/>
      <c r="AB363" s="636"/>
      <c r="AC363" s="636"/>
      <c r="AD363" s="636"/>
      <c r="AE363" s="636"/>
      <c r="AF363" s="636"/>
      <c r="AG363" s="636"/>
      <c r="AH363" s="636"/>
      <c r="AI363" s="636"/>
      <c r="AJ363" s="636"/>
      <c r="AK363" s="636"/>
      <c r="AL363" s="636"/>
    </row>
    <row r="364" spans="2:38" s="668" customFormat="1" ht="18" customHeight="1" x14ac:dyDescent="0.25">
      <c r="B364" s="651" t="s">
        <v>1406</v>
      </c>
      <c r="C364" s="653">
        <v>36005</v>
      </c>
      <c r="D364" s="675"/>
      <c r="E364" s="675"/>
      <c r="F364" s="653"/>
      <c r="H364" s="666"/>
      <c r="I364" s="636"/>
      <c r="J364" s="636"/>
      <c r="K364" s="636"/>
      <c r="L364" s="636"/>
      <c r="M364" s="636"/>
      <c r="N364" s="636"/>
      <c r="O364" s="636"/>
      <c r="P364" s="636"/>
      <c r="Q364" s="636"/>
      <c r="R364" s="636"/>
      <c r="S364" s="636"/>
      <c r="T364" s="636"/>
      <c r="U364" s="636"/>
      <c r="V364" s="636"/>
      <c r="W364" s="636"/>
      <c r="X364" s="636"/>
      <c r="Y364" s="636"/>
      <c r="Z364" s="636"/>
      <c r="AA364" s="636"/>
      <c r="AB364" s="636"/>
      <c r="AC364" s="636"/>
      <c r="AD364" s="636"/>
      <c r="AE364" s="636"/>
      <c r="AF364" s="636"/>
      <c r="AG364" s="636"/>
      <c r="AH364" s="636"/>
      <c r="AI364" s="636"/>
      <c r="AJ364" s="636"/>
      <c r="AK364" s="636"/>
      <c r="AL364" s="636"/>
    </row>
    <row r="365" spans="2:38" s="668" customFormat="1" ht="18" customHeight="1" x14ac:dyDescent="0.25">
      <c r="B365" s="651" t="s">
        <v>1434</v>
      </c>
      <c r="C365" s="653">
        <v>36810</v>
      </c>
      <c r="D365" s="675"/>
      <c r="E365" s="675"/>
      <c r="F365" s="653"/>
      <c r="H365" s="666"/>
      <c r="I365" s="636"/>
      <c r="J365" s="636"/>
      <c r="K365" s="636"/>
      <c r="L365" s="636"/>
      <c r="M365" s="636"/>
      <c r="N365" s="636"/>
      <c r="O365" s="636"/>
      <c r="P365" s="636"/>
      <c r="Q365" s="636"/>
      <c r="R365" s="636"/>
      <c r="S365" s="636"/>
      <c r="T365" s="636"/>
      <c r="U365" s="636"/>
      <c r="V365" s="636"/>
      <c r="W365" s="636"/>
      <c r="X365" s="636"/>
      <c r="Y365" s="636"/>
      <c r="Z365" s="636"/>
      <c r="AA365" s="636"/>
      <c r="AB365" s="636"/>
      <c r="AC365" s="636"/>
      <c r="AD365" s="636"/>
      <c r="AE365" s="636"/>
      <c r="AF365" s="636"/>
      <c r="AG365" s="636"/>
      <c r="AH365" s="636"/>
      <c r="AI365" s="636"/>
      <c r="AJ365" s="636"/>
      <c r="AK365" s="636"/>
      <c r="AL365" s="636"/>
    </row>
    <row r="366" spans="2:38" s="668" customFormat="1" ht="18" customHeight="1" x14ac:dyDescent="0.25">
      <c r="B366" s="651" t="s">
        <v>1410</v>
      </c>
      <c r="C366" s="653">
        <v>36009</v>
      </c>
      <c r="D366" s="675"/>
      <c r="E366" s="675"/>
      <c r="F366" s="653"/>
      <c r="H366" s="666"/>
      <c r="I366" s="636"/>
      <c r="J366" s="636"/>
      <c r="K366" s="636"/>
      <c r="L366" s="636"/>
      <c r="M366" s="636"/>
      <c r="N366" s="636"/>
      <c r="O366" s="636"/>
      <c r="P366" s="636"/>
      <c r="Q366" s="636"/>
      <c r="R366" s="636"/>
      <c r="S366" s="636"/>
      <c r="T366" s="636"/>
      <c r="U366" s="636"/>
      <c r="V366" s="636"/>
      <c r="W366" s="636"/>
      <c r="X366" s="636"/>
      <c r="Y366" s="636"/>
      <c r="Z366" s="636"/>
      <c r="AA366" s="636"/>
      <c r="AB366" s="636"/>
      <c r="AC366" s="636"/>
      <c r="AD366" s="636"/>
      <c r="AE366" s="636"/>
      <c r="AF366" s="636"/>
      <c r="AG366" s="636"/>
      <c r="AH366" s="636"/>
      <c r="AI366" s="636"/>
      <c r="AJ366" s="636"/>
      <c r="AK366" s="636"/>
      <c r="AL366" s="636"/>
    </row>
    <row r="367" spans="2:38" s="668" customFormat="1" ht="18" customHeight="1" x14ac:dyDescent="0.25">
      <c r="B367" s="651" t="s">
        <v>1401</v>
      </c>
      <c r="C367" s="653">
        <v>36000</v>
      </c>
      <c r="D367" s="675"/>
      <c r="E367" s="675"/>
      <c r="F367" s="653"/>
      <c r="H367" s="666"/>
      <c r="I367" s="636"/>
      <c r="J367" s="636"/>
      <c r="K367" s="636"/>
      <c r="L367" s="636"/>
      <c r="M367" s="636"/>
      <c r="N367" s="636"/>
      <c r="O367" s="636"/>
      <c r="P367" s="636"/>
      <c r="Q367" s="636"/>
      <c r="R367" s="636"/>
      <c r="S367" s="636"/>
      <c r="T367" s="636"/>
      <c r="U367" s="636"/>
      <c r="V367" s="636"/>
      <c r="W367" s="636"/>
      <c r="X367" s="636"/>
      <c r="Y367" s="636"/>
      <c r="Z367" s="636"/>
      <c r="AA367" s="636"/>
      <c r="AB367" s="636"/>
      <c r="AC367" s="636"/>
      <c r="AD367" s="636"/>
      <c r="AE367" s="636"/>
      <c r="AF367" s="636"/>
      <c r="AG367" s="636"/>
      <c r="AH367" s="636"/>
      <c r="AI367" s="636"/>
      <c r="AJ367" s="636"/>
      <c r="AK367" s="636"/>
      <c r="AL367" s="636"/>
    </row>
    <row r="368" spans="2:38" s="668" customFormat="1" ht="18" customHeight="1" x14ac:dyDescent="0.25">
      <c r="B368" s="651" t="s">
        <v>1314</v>
      </c>
      <c r="C368" s="653">
        <v>31900</v>
      </c>
      <c r="D368" s="675"/>
      <c r="E368" s="675"/>
      <c r="F368" s="653"/>
      <c r="H368" s="666"/>
      <c r="I368" s="636"/>
      <c r="J368" s="636"/>
      <c r="K368" s="636"/>
      <c r="L368" s="636"/>
      <c r="M368" s="636"/>
      <c r="N368" s="636"/>
      <c r="O368" s="636"/>
      <c r="P368" s="636"/>
      <c r="Q368" s="636"/>
      <c r="R368" s="636"/>
      <c r="S368" s="636"/>
      <c r="T368" s="636"/>
      <c r="U368" s="636"/>
      <c r="V368" s="636"/>
      <c r="W368" s="636"/>
      <c r="X368" s="636"/>
      <c r="Y368" s="636"/>
      <c r="Z368" s="636"/>
      <c r="AA368" s="636"/>
      <c r="AB368" s="636"/>
      <c r="AC368" s="636"/>
      <c r="AD368" s="636"/>
      <c r="AE368" s="636"/>
      <c r="AF368" s="636"/>
      <c r="AG368" s="636"/>
      <c r="AH368" s="636"/>
      <c r="AI368" s="636"/>
      <c r="AJ368" s="636"/>
      <c r="AK368" s="636"/>
      <c r="AL368" s="636"/>
    </row>
    <row r="369" spans="2:38" s="668" customFormat="1" ht="18" customHeight="1" x14ac:dyDescent="0.25">
      <c r="B369" s="651" t="s">
        <v>1315</v>
      </c>
      <c r="C369" s="653">
        <v>32000</v>
      </c>
      <c r="D369" s="675"/>
      <c r="E369" s="675"/>
      <c r="F369" s="653"/>
      <c r="H369" s="666"/>
      <c r="I369" s="636"/>
      <c r="J369" s="636"/>
      <c r="K369" s="636"/>
      <c r="L369" s="636"/>
      <c r="M369" s="636"/>
      <c r="N369" s="636"/>
      <c r="O369" s="636"/>
      <c r="P369" s="636"/>
      <c r="Q369" s="636"/>
      <c r="R369" s="636"/>
      <c r="S369" s="636"/>
      <c r="T369" s="636"/>
      <c r="U369" s="636"/>
      <c r="V369" s="636"/>
      <c r="W369" s="636"/>
      <c r="X369" s="636"/>
      <c r="Y369" s="636"/>
      <c r="Z369" s="636"/>
      <c r="AA369" s="636"/>
      <c r="AB369" s="636"/>
      <c r="AC369" s="636"/>
      <c r="AD369" s="636"/>
      <c r="AE369" s="636"/>
      <c r="AF369" s="636"/>
      <c r="AG369" s="636"/>
      <c r="AH369" s="636"/>
      <c r="AI369" s="636"/>
      <c r="AJ369" s="636"/>
      <c r="AK369" s="636"/>
      <c r="AL369" s="636"/>
    </row>
    <row r="370" spans="2:38" s="668" customFormat="1" ht="18" customHeight="1" x14ac:dyDescent="0.25">
      <c r="B370" s="651" t="s">
        <v>1392</v>
      </c>
      <c r="C370" s="653">
        <v>35401</v>
      </c>
      <c r="D370" s="675"/>
      <c r="E370" s="675"/>
      <c r="F370" s="653"/>
      <c r="H370" s="666"/>
      <c r="I370" s="636"/>
      <c r="J370" s="636"/>
      <c r="K370" s="636"/>
      <c r="L370" s="636"/>
      <c r="M370" s="636"/>
      <c r="N370" s="636"/>
      <c r="O370" s="636"/>
      <c r="P370" s="636"/>
      <c r="Q370" s="636"/>
      <c r="R370" s="636"/>
      <c r="S370" s="636"/>
      <c r="T370" s="636"/>
      <c r="U370" s="636"/>
      <c r="V370" s="636"/>
      <c r="W370" s="636"/>
      <c r="X370" s="636"/>
      <c r="Y370" s="636"/>
      <c r="Z370" s="636"/>
      <c r="AA370" s="636"/>
      <c r="AB370" s="636"/>
      <c r="AC370" s="636"/>
      <c r="AD370" s="636"/>
      <c r="AE370" s="636"/>
      <c r="AF370" s="636"/>
      <c r="AG370" s="636"/>
      <c r="AH370" s="636"/>
      <c r="AI370" s="636"/>
      <c r="AJ370" s="636"/>
      <c r="AK370" s="636"/>
      <c r="AL370" s="636"/>
    </row>
    <row r="371" spans="2:38" s="668" customFormat="1" ht="18" customHeight="1" x14ac:dyDescent="0.25">
      <c r="B371" s="651" t="s">
        <v>1318</v>
      </c>
      <c r="C371" s="653">
        <v>32200</v>
      </c>
      <c r="D371" s="675"/>
      <c r="E371" s="675"/>
      <c r="F371" s="653"/>
      <c r="H371" s="666"/>
      <c r="I371" s="636"/>
      <c r="J371" s="636"/>
      <c r="K371" s="636"/>
      <c r="L371" s="636"/>
      <c r="M371" s="636"/>
      <c r="N371" s="636"/>
      <c r="O371" s="636"/>
      <c r="P371" s="636"/>
      <c r="Q371" s="636"/>
      <c r="R371" s="636"/>
      <c r="S371" s="636"/>
      <c r="T371" s="636"/>
      <c r="U371" s="636"/>
      <c r="V371" s="636"/>
      <c r="W371" s="636"/>
      <c r="X371" s="636"/>
      <c r="Y371" s="636"/>
      <c r="Z371" s="636"/>
      <c r="AA371" s="636"/>
      <c r="AB371" s="636"/>
      <c r="AC371" s="636"/>
      <c r="AD371" s="636"/>
      <c r="AE371" s="636"/>
      <c r="AF371" s="636"/>
      <c r="AG371" s="636"/>
      <c r="AH371" s="636"/>
      <c r="AI371" s="636"/>
      <c r="AJ371" s="636"/>
      <c r="AK371" s="636"/>
      <c r="AL371" s="636"/>
    </row>
    <row r="372" spans="2:38" s="668" customFormat="1" ht="18" customHeight="1" x14ac:dyDescent="0.25">
      <c r="B372" s="651" t="s">
        <v>1319</v>
      </c>
      <c r="C372" s="653">
        <v>32300</v>
      </c>
      <c r="D372" s="675"/>
      <c r="E372" s="675"/>
      <c r="F372" s="653"/>
      <c r="H372" s="666"/>
      <c r="I372" s="636"/>
      <c r="J372" s="636"/>
      <c r="K372" s="636"/>
      <c r="L372" s="636"/>
      <c r="M372" s="636"/>
      <c r="N372" s="636"/>
      <c r="O372" s="636"/>
      <c r="P372" s="636"/>
      <c r="Q372" s="636"/>
      <c r="R372" s="636"/>
      <c r="S372" s="636"/>
      <c r="T372" s="636"/>
      <c r="U372" s="636"/>
      <c r="V372" s="636"/>
      <c r="W372" s="636"/>
      <c r="X372" s="636"/>
      <c r="Y372" s="636"/>
      <c r="Z372" s="636"/>
      <c r="AA372" s="636"/>
      <c r="AB372" s="636"/>
      <c r="AC372" s="636"/>
      <c r="AD372" s="636"/>
      <c r="AE372" s="636"/>
      <c r="AF372" s="636"/>
      <c r="AG372" s="636"/>
      <c r="AH372" s="636"/>
      <c r="AI372" s="636"/>
      <c r="AJ372" s="636"/>
      <c r="AK372" s="636"/>
      <c r="AL372" s="636"/>
    </row>
    <row r="373" spans="2:38" s="668" customFormat="1" ht="18" customHeight="1" x14ac:dyDescent="0.25">
      <c r="B373" s="651" t="s">
        <v>1320</v>
      </c>
      <c r="C373" s="653">
        <v>32305</v>
      </c>
      <c r="D373" s="675"/>
      <c r="E373" s="675"/>
      <c r="F373" s="653"/>
      <c r="H373" s="666"/>
      <c r="I373" s="636"/>
      <c r="J373" s="636"/>
      <c r="K373" s="636"/>
      <c r="L373" s="636"/>
      <c r="M373" s="636"/>
      <c r="N373" s="636"/>
      <c r="O373" s="636"/>
      <c r="P373" s="636"/>
      <c r="Q373" s="636"/>
      <c r="R373" s="636"/>
      <c r="S373" s="636"/>
      <c r="T373" s="636"/>
      <c r="U373" s="636"/>
      <c r="V373" s="636"/>
      <c r="W373" s="636"/>
      <c r="X373" s="636"/>
      <c r="Y373" s="636"/>
      <c r="Z373" s="636"/>
      <c r="AA373" s="636"/>
      <c r="AB373" s="636"/>
      <c r="AC373" s="636"/>
      <c r="AD373" s="636"/>
      <c r="AE373" s="636"/>
      <c r="AF373" s="636"/>
      <c r="AG373" s="636"/>
      <c r="AH373" s="636"/>
      <c r="AI373" s="636"/>
      <c r="AJ373" s="636"/>
      <c r="AK373" s="636"/>
      <c r="AL373" s="636"/>
    </row>
    <row r="374" spans="2:38" s="668" customFormat="1" ht="18" customHeight="1" x14ac:dyDescent="0.25">
      <c r="B374" s="651" t="s">
        <v>1466</v>
      </c>
      <c r="C374" s="653">
        <v>38210</v>
      </c>
      <c r="D374" s="675"/>
      <c r="E374" s="675"/>
      <c r="F374" s="653"/>
      <c r="H374" s="666"/>
      <c r="I374" s="636"/>
      <c r="J374" s="636"/>
      <c r="K374" s="636"/>
      <c r="L374" s="636"/>
      <c r="M374" s="636"/>
      <c r="N374" s="636"/>
      <c r="O374" s="636"/>
      <c r="P374" s="636"/>
      <c r="Q374" s="636"/>
      <c r="R374" s="636"/>
      <c r="S374" s="636"/>
      <c r="T374" s="636"/>
      <c r="U374" s="636"/>
      <c r="V374" s="636"/>
      <c r="W374" s="636"/>
      <c r="X374" s="636"/>
      <c r="Y374" s="636"/>
      <c r="Z374" s="636"/>
      <c r="AA374" s="636"/>
      <c r="AB374" s="636"/>
      <c r="AC374" s="636"/>
      <c r="AD374" s="636"/>
      <c r="AE374" s="636"/>
      <c r="AF374" s="636"/>
      <c r="AG374" s="636"/>
      <c r="AH374" s="636"/>
      <c r="AI374" s="636"/>
      <c r="AJ374" s="636"/>
      <c r="AK374" s="636"/>
      <c r="AL374" s="636"/>
    </row>
    <row r="375" spans="2:38" s="668" customFormat="1" ht="18" customHeight="1" x14ac:dyDescent="0.25">
      <c r="B375" s="651" t="s">
        <v>1276</v>
      </c>
      <c r="C375" s="653">
        <v>30102</v>
      </c>
      <c r="D375" s="675"/>
      <c r="E375" s="675"/>
      <c r="F375" s="653"/>
      <c r="H375" s="666"/>
      <c r="I375" s="636"/>
      <c r="J375" s="636"/>
      <c r="K375" s="636"/>
      <c r="L375" s="636"/>
      <c r="M375" s="636"/>
      <c r="N375" s="636"/>
      <c r="O375" s="636"/>
      <c r="P375" s="636"/>
      <c r="Q375" s="636"/>
      <c r="R375" s="636"/>
      <c r="S375" s="636"/>
      <c r="T375" s="636"/>
      <c r="U375" s="636"/>
      <c r="V375" s="636"/>
      <c r="W375" s="636"/>
      <c r="X375" s="636"/>
      <c r="Y375" s="636"/>
      <c r="Z375" s="636"/>
      <c r="AA375" s="636"/>
      <c r="AB375" s="636"/>
      <c r="AC375" s="636"/>
      <c r="AD375" s="636"/>
      <c r="AE375" s="636"/>
      <c r="AF375" s="636"/>
      <c r="AG375" s="636"/>
      <c r="AH375" s="636"/>
      <c r="AI375" s="636"/>
      <c r="AJ375" s="636"/>
      <c r="AK375" s="636"/>
      <c r="AL375" s="636"/>
    </row>
    <row r="376" spans="2:38" s="668" customFormat="1" ht="18" customHeight="1" x14ac:dyDescent="0.25">
      <c r="B376" s="651" t="s">
        <v>1431</v>
      </c>
      <c r="C376" s="653">
        <v>36705</v>
      </c>
      <c r="D376" s="675"/>
      <c r="E376" s="675"/>
      <c r="F376" s="653"/>
      <c r="H376" s="666"/>
      <c r="I376" s="636"/>
      <c r="J376" s="636"/>
      <c r="K376" s="636"/>
      <c r="L376" s="636"/>
      <c r="M376" s="636"/>
      <c r="N376" s="636"/>
      <c r="O376" s="636"/>
      <c r="P376" s="636"/>
      <c r="Q376" s="636"/>
      <c r="R376" s="636"/>
      <c r="S376" s="636"/>
      <c r="T376" s="636"/>
      <c r="U376" s="636"/>
      <c r="V376" s="636"/>
      <c r="W376" s="636"/>
      <c r="X376" s="636"/>
      <c r="Y376" s="636"/>
      <c r="Z376" s="636"/>
      <c r="AA376" s="636"/>
      <c r="AB376" s="636"/>
      <c r="AC376" s="636"/>
      <c r="AD376" s="636"/>
      <c r="AE376" s="636"/>
      <c r="AF376" s="636"/>
      <c r="AG376" s="636"/>
      <c r="AH376" s="636"/>
      <c r="AI376" s="636"/>
      <c r="AJ376" s="636"/>
      <c r="AK376" s="636"/>
      <c r="AL376" s="636"/>
    </row>
    <row r="377" spans="2:38" s="668" customFormat="1" ht="18" customHeight="1" x14ac:dyDescent="0.25">
      <c r="B377" s="651" t="s">
        <v>1439</v>
      </c>
      <c r="C377" s="653">
        <v>37005</v>
      </c>
      <c r="D377" s="675"/>
      <c r="E377" s="675"/>
      <c r="F377" s="653"/>
      <c r="H377" s="666"/>
      <c r="I377" s="636"/>
      <c r="J377" s="636"/>
      <c r="K377" s="636"/>
      <c r="L377" s="636"/>
      <c r="M377" s="636"/>
      <c r="N377" s="636"/>
      <c r="O377" s="636"/>
      <c r="P377" s="636"/>
      <c r="Q377" s="636"/>
      <c r="R377" s="636"/>
      <c r="S377" s="636"/>
      <c r="T377" s="636"/>
      <c r="U377" s="636"/>
      <c r="V377" s="636"/>
      <c r="W377" s="636"/>
      <c r="X377" s="636"/>
      <c r="Y377" s="636"/>
      <c r="Z377" s="636"/>
      <c r="AA377" s="636"/>
      <c r="AB377" s="636"/>
      <c r="AC377" s="636"/>
      <c r="AD377" s="636"/>
      <c r="AE377" s="636"/>
      <c r="AF377" s="636"/>
      <c r="AG377" s="636"/>
      <c r="AH377" s="636"/>
      <c r="AI377" s="636"/>
      <c r="AJ377" s="636"/>
      <c r="AK377" s="636"/>
      <c r="AL377" s="636"/>
    </row>
    <row r="378" spans="2:38" s="668" customFormat="1" ht="18" customHeight="1" x14ac:dyDescent="0.25">
      <c r="B378" s="651" t="s">
        <v>1321</v>
      </c>
      <c r="C378" s="653">
        <v>32400</v>
      </c>
      <c r="D378" s="675"/>
      <c r="E378" s="675"/>
      <c r="F378" s="653"/>
      <c r="H378" s="666"/>
      <c r="I378" s="636"/>
      <c r="J378" s="636"/>
      <c r="K378" s="636"/>
      <c r="L378" s="636"/>
      <c r="M378" s="636"/>
      <c r="N378" s="636"/>
      <c r="O378" s="636"/>
      <c r="P378" s="636"/>
      <c r="Q378" s="636"/>
      <c r="R378" s="636"/>
      <c r="S378" s="636"/>
      <c r="T378" s="636"/>
      <c r="U378" s="636"/>
      <c r="V378" s="636"/>
      <c r="W378" s="636"/>
      <c r="X378" s="636"/>
      <c r="Y378" s="636"/>
      <c r="Z378" s="636"/>
      <c r="AA378" s="636"/>
      <c r="AB378" s="636"/>
      <c r="AC378" s="636"/>
      <c r="AD378" s="636"/>
      <c r="AE378" s="636"/>
      <c r="AF378" s="636"/>
      <c r="AG378" s="636"/>
      <c r="AH378" s="636"/>
      <c r="AI378" s="636"/>
      <c r="AJ378" s="636"/>
      <c r="AK378" s="636"/>
      <c r="AL378" s="636"/>
    </row>
    <row r="379" spans="2:38" s="668" customFormat="1" ht="18" customHeight="1" x14ac:dyDescent="0.25">
      <c r="B379" s="651" t="s">
        <v>1402</v>
      </c>
      <c r="C379" s="653">
        <v>36001</v>
      </c>
      <c r="D379" s="675"/>
      <c r="E379" s="675"/>
      <c r="F379" s="653"/>
      <c r="H379" s="666"/>
      <c r="I379" s="636"/>
      <c r="J379" s="636"/>
      <c r="K379" s="636"/>
      <c r="L379" s="636"/>
      <c r="M379" s="636"/>
      <c r="N379" s="636"/>
      <c r="O379" s="636"/>
      <c r="P379" s="636"/>
      <c r="Q379" s="636"/>
      <c r="R379" s="636"/>
      <c r="S379" s="636"/>
      <c r="T379" s="636"/>
      <c r="U379" s="636"/>
      <c r="V379" s="636"/>
      <c r="W379" s="636"/>
      <c r="X379" s="636"/>
      <c r="Y379" s="636"/>
      <c r="Z379" s="636"/>
      <c r="AA379" s="636"/>
      <c r="AB379" s="636"/>
      <c r="AC379" s="636"/>
      <c r="AD379" s="636"/>
      <c r="AE379" s="636"/>
      <c r="AF379" s="636"/>
      <c r="AG379" s="636"/>
      <c r="AH379" s="636"/>
      <c r="AI379" s="636"/>
      <c r="AJ379" s="636"/>
      <c r="AK379" s="636"/>
      <c r="AL379" s="636"/>
    </row>
    <row r="380" spans="2:38" s="668" customFormat="1" ht="18" customHeight="1" x14ac:dyDescent="0.25">
      <c r="B380" s="651" t="s">
        <v>1252</v>
      </c>
      <c r="C380" s="653">
        <v>19005</v>
      </c>
      <c r="D380" s="675"/>
      <c r="E380" s="675"/>
      <c r="F380" s="653"/>
      <c r="H380" s="666"/>
      <c r="I380" s="636"/>
      <c r="J380" s="636"/>
      <c r="K380" s="636"/>
      <c r="L380" s="636"/>
      <c r="M380" s="636"/>
      <c r="N380" s="636"/>
      <c r="O380" s="636"/>
      <c r="P380" s="636"/>
      <c r="Q380" s="636"/>
      <c r="R380" s="636"/>
      <c r="S380" s="636"/>
      <c r="T380" s="636"/>
      <c r="U380" s="636"/>
      <c r="V380" s="636"/>
      <c r="W380" s="636"/>
      <c r="X380" s="636"/>
      <c r="Y380" s="636"/>
      <c r="Z380" s="636"/>
      <c r="AA380" s="636"/>
      <c r="AB380" s="636"/>
      <c r="AC380" s="636"/>
      <c r="AD380" s="636"/>
      <c r="AE380" s="636"/>
      <c r="AF380" s="636"/>
      <c r="AG380" s="636"/>
      <c r="AH380" s="636"/>
      <c r="AI380" s="636"/>
      <c r="AJ380" s="636"/>
      <c r="AK380" s="636"/>
      <c r="AL380" s="636"/>
    </row>
    <row r="381" spans="2:38" s="668" customFormat="1" ht="18" customHeight="1" x14ac:dyDescent="0.25">
      <c r="B381" s="651" t="s">
        <v>1404</v>
      </c>
      <c r="C381" s="653">
        <v>36003</v>
      </c>
      <c r="D381" s="675"/>
      <c r="E381" s="675"/>
      <c r="F381" s="653"/>
      <c r="H381" s="666"/>
      <c r="I381" s="636"/>
      <c r="J381" s="636"/>
      <c r="K381" s="636"/>
      <c r="L381" s="636"/>
      <c r="M381" s="636"/>
      <c r="N381" s="636"/>
      <c r="O381" s="636"/>
      <c r="P381" s="636"/>
      <c r="Q381" s="636"/>
      <c r="R381" s="636"/>
      <c r="S381" s="636"/>
      <c r="T381" s="636"/>
      <c r="U381" s="636"/>
      <c r="V381" s="636"/>
      <c r="W381" s="636"/>
      <c r="X381" s="636"/>
      <c r="Y381" s="636"/>
      <c r="Z381" s="636"/>
      <c r="AA381" s="636"/>
      <c r="AB381" s="636"/>
      <c r="AC381" s="636"/>
      <c r="AD381" s="636"/>
      <c r="AE381" s="636"/>
      <c r="AF381" s="636"/>
      <c r="AG381" s="636"/>
      <c r="AH381" s="636"/>
      <c r="AI381" s="636"/>
      <c r="AJ381" s="636"/>
      <c r="AK381" s="636"/>
      <c r="AL381" s="636"/>
    </row>
    <row r="382" spans="2:38" s="668" customFormat="1" ht="18" customHeight="1" x14ac:dyDescent="0.25">
      <c r="B382" s="651" t="s">
        <v>1507</v>
      </c>
      <c r="C382" s="653">
        <v>40000</v>
      </c>
      <c r="D382" s="675"/>
      <c r="E382" s="675"/>
      <c r="F382" s="653"/>
      <c r="H382" s="666"/>
      <c r="I382" s="636"/>
      <c r="J382" s="636"/>
      <c r="K382" s="636"/>
      <c r="L382" s="636"/>
      <c r="M382" s="636"/>
      <c r="N382" s="636"/>
      <c r="O382" s="636"/>
      <c r="P382" s="636"/>
      <c r="Q382" s="636"/>
      <c r="R382" s="636"/>
      <c r="S382" s="636"/>
      <c r="T382" s="636"/>
      <c r="U382" s="636"/>
      <c r="V382" s="636"/>
      <c r="W382" s="636"/>
      <c r="X382" s="636"/>
      <c r="Y382" s="636"/>
      <c r="Z382" s="636"/>
      <c r="AA382" s="636"/>
      <c r="AB382" s="636"/>
      <c r="AC382" s="636"/>
      <c r="AD382" s="636"/>
      <c r="AE382" s="636"/>
      <c r="AF382" s="636"/>
      <c r="AG382" s="636"/>
      <c r="AH382" s="636"/>
      <c r="AI382" s="636"/>
      <c r="AJ382" s="636"/>
      <c r="AK382" s="636"/>
      <c r="AL382" s="636"/>
    </row>
    <row r="383" spans="2:38" s="668" customFormat="1" ht="18" customHeight="1" x14ac:dyDescent="0.25">
      <c r="B383" s="651" t="s">
        <v>1337</v>
      </c>
      <c r="C383" s="653">
        <v>33027</v>
      </c>
      <c r="D383" s="675"/>
      <c r="E383" s="675"/>
      <c r="F383" s="653"/>
      <c r="H383" s="666"/>
      <c r="I383" s="636"/>
      <c r="J383" s="636"/>
      <c r="K383" s="636"/>
      <c r="L383" s="636"/>
      <c r="M383" s="636"/>
      <c r="N383" s="636"/>
      <c r="O383" s="636"/>
      <c r="P383" s="636"/>
      <c r="Q383" s="636"/>
      <c r="R383" s="636"/>
      <c r="S383" s="636"/>
      <c r="T383" s="636"/>
      <c r="U383" s="636"/>
      <c r="V383" s="636"/>
      <c r="W383" s="636"/>
      <c r="X383" s="636"/>
      <c r="Y383" s="636"/>
      <c r="Z383" s="636"/>
      <c r="AA383" s="636"/>
      <c r="AB383" s="636"/>
      <c r="AC383" s="636"/>
      <c r="AD383" s="636"/>
      <c r="AE383" s="636"/>
      <c r="AF383" s="636"/>
      <c r="AG383" s="636"/>
      <c r="AH383" s="636"/>
      <c r="AI383" s="636"/>
      <c r="AJ383" s="636"/>
      <c r="AK383" s="636"/>
      <c r="AL383" s="636"/>
    </row>
    <row r="384" spans="2:38" s="668" customFormat="1" ht="18" customHeight="1" x14ac:dyDescent="0.25">
      <c r="B384" s="651" t="s">
        <v>1405</v>
      </c>
      <c r="C384" s="653">
        <v>36004</v>
      </c>
      <c r="D384" s="675"/>
      <c r="E384" s="675"/>
      <c r="F384" s="653"/>
      <c r="H384" s="666"/>
      <c r="I384" s="636"/>
      <c r="J384" s="636"/>
      <c r="K384" s="636"/>
      <c r="L384" s="636"/>
      <c r="M384" s="636"/>
      <c r="N384" s="636"/>
      <c r="O384" s="636"/>
      <c r="P384" s="636"/>
      <c r="Q384" s="636"/>
      <c r="R384" s="636"/>
      <c r="S384" s="636"/>
      <c r="T384" s="636"/>
      <c r="U384" s="636"/>
      <c r="V384" s="636"/>
      <c r="W384" s="636"/>
      <c r="X384" s="636"/>
      <c r="Y384" s="636"/>
      <c r="Z384" s="636"/>
      <c r="AA384" s="636"/>
      <c r="AB384" s="636"/>
      <c r="AC384" s="636"/>
      <c r="AD384" s="636"/>
      <c r="AE384" s="636"/>
      <c r="AF384" s="636"/>
      <c r="AG384" s="636"/>
      <c r="AH384" s="636"/>
      <c r="AI384" s="636"/>
      <c r="AJ384" s="636"/>
      <c r="AK384" s="636"/>
      <c r="AL384" s="636"/>
    </row>
    <row r="385" spans="2:38" s="668" customFormat="1" ht="18" customHeight="1" x14ac:dyDescent="0.25">
      <c r="B385" s="651" t="s">
        <v>1325</v>
      </c>
      <c r="C385" s="653">
        <v>32505</v>
      </c>
      <c r="D385" s="675"/>
      <c r="E385" s="675"/>
      <c r="F385" s="653"/>
      <c r="H385" s="666"/>
      <c r="I385" s="636"/>
      <c r="J385" s="636"/>
      <c r="K385" s="636"/>
      <c r="L385" s="636"/>
      <c r="M385" s="636"/>
      <c r="N385" s="636"/>
      <c r="O385" s="636"/>
      <c r="P385" s="636"/>
      <c r="Q385" s="636"/>
      <c r="R385" s="636"/>
      <c r="S385" s="636"/>
      <c r="T385" s="636"/>
      <c r="U385" s="636"/>
      <c r="V385" s="636"/>
      <c r="W385" s="636"/>
      <c r="X385" s="636"/>
      <c r="Y385" s="636"/>
      <c r="Z385" s="636"/>
      <c r="AA385" s="636"/>
      <c r="AB385" s="636"/>
      <c r="AC385" s="636"/>
      <c r="AD385" s="636"/>
      <c r="AE385" s="636"/>
      <c r="AF385" s="636"/>
      <c r="AG385" s="636"/>
      <c r="AH385" s="636"/>
      <c r="AI385" s="636"/>
      <c r="AJ385" s="636"/>
      <c r="AK385" s="636"/>
      <c r="AL385" s="636"/>
    </row>
    <row r="386" spans="2:38" s="668" customFormat="1" ht="18" customHeight="1" x14ac:dyDescent="0.25">
      <c r="B386" s="651" t="s">
        <v>1326</v>
      </c>
      <c r="C386" s="653">
        <v>32600</v>
      </c>
      <c r="D386" s="675"/>
      <c r="E386" s="675"/>
      <c r="F386" s="653"/>
      <c r="H386" s="666"/>
      <c r="I386" s="636"/>
      <c r="J386" s="636"/>
      <c r="K386" s="636"/>
      <c r="L386" s="636"/>
      <c r="M386" s="636"/>
      <c r="N386" s="636"/>
      <c r="O386" s="636"/>
      <c r="P386" s="636"/>
      <c r="Q386" s="636"/>
      <c r="R386" s="636"/>
      <c r="S386" s="636"/>
      <c r="T386" s="636"/>
      <c r="U386" s="636"/>
      <c r="V386" s="636"/>
      <c r="W386" s="636"/>
      <c r="X386" s="636"/>
      <c r="Y386" s="636"/>
      <c r="Z386" s="636"/>
      <c r="AA386" s="636"/>
      <c r="AB386" s="636"/>
      <c r="AC386" s="636"/>
      <c r="AD386" s="636"/>
      <c r="AE386" s="636"/>
      <c r="AF386" s="636"/>
      <c r="AG386" s="636"/>
      <c r="AH386" s="636"/>
      <c r="AI386" s="636"/>
      <c r="AJ386" s="636"/>
      <c r="AK386" s="636"/>
      <c r="AL386" s="636"/>
    </row>
    <row r="387" spans="2:38" s="668" customFormat="1" ht="18" customHeight="1" x14ac:dyDescent="0.25">
      <c r="B387" s="651" t="s">
        <v>1328</v>
      </c>
      <c r="C387" s="653">
        <v>32700</v>
      </c>
      <c r="D387" s="675"/>
      <c r="E387" s="675"/>
      <c r="F387" s="653"/>
      <c r="H387" s="666"/>
      <c r="I387" s="636"/>
      <c r="J387" s="636"/>
      <c r="K387" s="636"/>
      <c r="L387" s="636"/>
      <c r="M387" s="636"/>
      <c r="N387" s="636"/>
      <c r="O387" s="636"/>
      <c r="P387" s="636"/>
      <c r="Q387" s="636"/>
      <c r="R387" s="636"/>
      <c r="S387" s="636"/>
      <c r="T387" s="636"/>
      <c r="U387" s="636"/>
      <c r="V387" s="636"/>
      <c r="W387" s="636"/>
      <c r="X387" s="636"/>
      <c r="Y387" s="636"/>
      <c r="Z387" s="636"/>
      <c r="AA387" s="636"/>
      <c r="AB387" s="636"/>
      <c r="AC387" s="636"/>
      <c r="AD387" s="636"/>
      <c r="AE387" s="636"/>
      <c r="AF387" s="636"/>
      <c r="AG387" s="636"/>
      <c r="AH387" s="636"/>
      <c r="AI387" s="636"/>
      <c r="AJ387" s="636"/>
      <c r="AK387" s="636"/>
      <c r="AL387" s="636"/>
    </row>
    <row r="388" spans="2:38" s="668" customFormat="1" ht="18" customHeight="1" x14ac:dyDescent="0.25">
      <c r="B388" s="651" t="s">
        <v>1329</v>
      </c>
      <c r="C388" s="653">
        <v>32800</v>
      </c>
      <c r="D388" s="675"/>
      <c r="E388" s="675"/>
      <c r="F388" s="653"/>
      <c r="H388" s="666"/>
      <c r="I388" s="636"/>
      <c r="J388" s="636"/>
      <c r="K388" s="636"/>
      <c r="L388" s="636"/>
      <c r="M388" s="636"/>
      <c r="N388" s="636"/>
      <c r="O388" s="636"/>
      <c r="P388" s="636"/>
      <c r="Q388" s="636"/>
      <c r="R388" s="636"/>
      <c r="S388" s="636"/>
      <c r="T388" s="636"/>
      <c r="U388" s="636"/>
      <c r="V388" s="636"/>
      <c r="W388" s="636"/>
      <c r="X388" s="636"/>
      <c r="Y388" s="636"/>
      <c r="Z388" s="636"/>
      <c r="AA388" s="636"/>
      <c r="AB388" s="636"/>
      <c r="AC388" s="636"/>
      <c r="AD388" s="636"/>
      <c r="AE388" s="636"/>
      <c r="AF388" s="636"/>
      <c r="AG388" s="636"/>
      <c r="AH388" s="636"/>
      <c r="AI388" s="636"/>
      <c r="AJ388" s="636"/>
      <c r="AK388" s="636"/>
      <c r="AL388" s="636"/>
    </row>
    <row r="389" spans="2:38" s="668" customFormat="1" ht="18" customHeight="1" x14ac:dyDescent="0.25">
      <c r="B389" s="651" t="s">
        <v>1332</v>
      </c>
      <c r="C389" s="653">
        <v>32905</v>
      </c>
      <c r="D389" s="675"/>
      <c r="E389" s="675"/>
      <c r="F389" s="653"/>
      <c r="H389" s="666"/>
      <c r="I389" s="636"/>
      <c r="J389" s="636"/>
      <c r="K389" s="636"/>
      <c r="L389" s="636"/>
      <c r="M389" s="636"/>
      <c r="N389" s="636"/>
      <c r="O389" s="636"/>
      <c r="P389" s="636"/>
      <c r="Q389" s="636"/>
      <c r="R389" s="636"/>
      <c r="S389" s="636"/>
      <c r="T389" s="636"/>
      <c r="U389" s="636"/>
      <c r="V389" s="636"/>
      <c r="W389" s="636"/>
      <c r="X389" s="636"/>
      <c r="Y389" s="636"/>
      <c r="Z389" s="636"/>
      <c r="AA389" s="636"/>
      <c r="AB389" s="636"/>
      <c r="AC389" s="636"/>
      <c r="AD389" s="636"/>
      <c r="AE389" s="636"/>
      <c r="AF389" s="636"/>
      <c r="AG389" s="636"/>
      <c r="AH389" s="636"/>
      <c r="AI389" s="636"/>
      <c r="AJ389" s="636"/>
      <c r="AK389" s="636"/>
      <c r="AL389" s="636"/>
    </row>
    <row r="390" spans="2:38" s="668" customFormat="1" ht="18" customHeight="1" x14ac:dyDescent="0.25">
      <c r="B390" s="651" t="s">
        <v>1330</v>
      </c>
      <c r="C390" s="653">
        <v>32900</v>
      </c>
      <c r="D390" s="675"/>
      <c r="E390" s="675"/>
      <c r="F390" s="653"/>
      <c r="H390" s="66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6"/>
      <c r="AF390" s="636"/>
      <c r="AG390" s="636"/>
      <c r="AH390" s="636"/>
      <c r="AI390" s="636"/>
      <c r="AJ390" s="636"/>
      <c r="AK390" s="636"/>
      <c r="AL390" s="636"/>
    </row>
    <row r="391" spans="2:38" s="668" customFormat="1" ht="18" customHeight="1" x14ac:dyDescent="0.25">
      <c r="B391" s="651" t="s">
        <v>1335</v>
      </c>
      <c r="C391" s="653">
        <v>33000</v>
      </c>
      <c r="D391" s="675"/>
      <c r="E391" s="675"/>
      <c r="F391" s="653"/>
      <c r="H391" s="666"/>
      <c r="I391" s="636"/>
      <c r="J391" s="636"/>
      <c r="K391" s="636"/>
      <c r="L391" s="636"/>
      <c r="M391" s="636"/>
      <c r="N391" s="636"/>
      <c r="O391" s="636"/>
      <c r="P391" s="636"/>
      <c r="Q391" s="636"/>
      <c r="R391" s="636"/>
      <c r="S391" s="636"/>
      <c r="T391" s="636"/>
      <c r="U391" s="636"/>
      <c r="V391" s="636"/>
      <c r="W391" s="636"/>
      <c r="X391" s="636"/>
      <c r="Y391" s="636"/>
      <c r="Z391" s="636"/>
      <c r="AA391" s="636"/>
      <c r="AB391" s="636"/>
      <c r="AC391" s="636"/>
      <c r="AD391" s="636"/>
      <c r="AE391" s="636"/>
      <c r="AF391" s="636"/>
      <c r="AG391" s="636"/>
      <c r="AH391" s="636"/>
      <c r="AI391" s="636"/>
      <c r="AJ391" s="636"/>
      <c r="AK391" s="636"/>
      <c r="AL391" s="636"/>
    </row>
    <row r="392" spans="2:38" s="668" customFormat="1" ht="18" customHeight="1" x14ac:dyDescent="0.25">
      <c r="B392" s="651" t="s">
        <v>1227</v>
      </c>
      <c r="C392" s="653">
        <v>10900</v>
      </c>
      <c r="D392" s="675"/>
      <c r="E392" s="675"/>
      <c r="F392" s="653"/>
      <c r="H392" s="666"/>
      <c r="I392" s="636"/>
      <c r="J392" s="636"/>
      <c r="K392" s="636"/>
      <c r="L392" s="636"/>
      <c r="M392" s="636"/>
      <c r="N392" s="636"/>
      <c r="O392" s="636"/>
      <c r="P392" s="636"/>
      <c r="Q392" s="636"/>
      <c r="R392" s="636"/>
      <c r="S392" s="636"/>
      <c r="T392" s="636"/>
      <c r="U392" s="636"/>
      <c r="V392" s="636"/>
      <c r="W392" s="636"/>
      <c r="X392" s="636"/>
      <c r="Y392" s="636"/>
      <c r="Z392" s="636"/>
      <c r="AA392" s="636"/>
      <c r="AB392" s="636"/>
      <c r="AC392" s="636"/>
      <c r="AD392" s="636"/>
      <c r="AE392" s="636"/>
      <c r="AF392" s="636"/>
      <c r="AG392" s="636"/>
      <c r="AH392" s="636"/>
      <c r="AI392" s="636"/>
      <c r="AJ392" s="636"/>
      <c r="AK392" s="636"/>
      <c r="AL392" s="636"/>
    </row>
    <row r="393" spans="2:38" s="668" customFormat="1" ht="18" customHeight="1" x14ac:dyDescent="0.25">
      <c r="B393" s="651" t="s">
        <v>1247</v>
      </c>
      <c r="C393" s="653">
        <v>18400</v>
      </c>
      <c r="D393" s="675"/>
      <c r="E393" s="675"/>
      <c r="F393" s="653"/>
      <c r="H393" s="666"/>
      <c r="I393" s="636"/>
      <c r="J393" s="636"/>
      <c r="K393" s="636"/>
      <c r="L393" s="636"/>
      <c r="M393" s="636"/>
      <c r="N393" s="636"/>
      <c r="O393" s="636"/>
      <c r="P393" s="636"/>
      <c r="Q393" s="636"/>
      <c r="R393" s="636"/>
      <c r="S393" s="636"/>
      <c r="T393" s="636"/>
      <c r="U393" s="636"/>
      <c r="V393" s="636"/>
      <c r="W393" s="636"/>
      <c r="X393" s="636"/>
      <c r="Y393" s="636"/>
      <c r="Z393" s="636"/>
      <c r="AA393" s="636"/>
      <c r="AB393" s="636"/>
      <c r="AC393" s="636"/>
      <c r="AD393" s="636"/>
      <c r="AE393" s="636"/>
      <c r="AF393" s="636"/>
      <c r="AG393" s="636"/>
      <c r="AH393" s="636"/>
      <c r="AI393" s="636"/>
      <c r="AJ393" s="636"/>
      <c r="AK393" s="636"/>
      <c r="AL393" s="636"/>
    </row>
    <row r="394" spans="2:38" s="668" customFormat="1" ht="18" customHeight="1" x14ac:dyDescent="0.25">
      <c r="B394" s="651" t="s">
        <v>1240</v>
      </c>
      <c r="C394" s="653">
        <v>12510</v>
      </c>
      <c r="D394" s="675"/>
      <c r="E394" s="675"/>
      <c r="F394" s="653"/>
      <c r="H394" s="666"/>
      <c r="I394" s="636"/>
      <c r="J394" s="636"/>
      <c r="K394" s="636"/>
      <c r="L394" s="636"/>
      <c r="M394" s="636"/>
      <c r="N394" s="636"/>
      <c r="O394" s="636"/>
      <c r="P394" s="636"/>
      <c r="Q394" s="636"/>
      <c r="R394" s="636"/>
      <c r="S394" s="636"/>
      <c r="T394" s="636"/>
      <c r="U394" s="636"/>
      <c r="V394" s="636"/>
      <c r="W394" s="636"/>
      <c r="X394" s="636"/>
      <c r="Y394" s="636"/>
      <c r="Z394" s="636"/>
      <c r="AA394" s="636"/>
      <c r="AB394" s="636"/>
      <c r="AC394" s="636"/>
      <c r="AD394" s="636"/>
      <c r="AE394" s="636"/>
      <c r="AF394" s="636"/>
      <c r="AG394" s="636"/>
      <c r="AH394" s="636"/>
      <c r="AI394" s="636"/>
      <c r="AJ394" s="636"/>
      <c r="AK394" s="636"/>
      <c r="AL394" s="636"/>
    </row>
    <row r="395" spans="2:38" s="668" customFormat="1" ht="18" customHeight="1" x14ac:dyDescent="0.25">
      <c r="B395" s="651" t="s">
        <v>1224</v>
      </c>
      <c r="C395" s="653">
        <v>10700</v>
      </c>
      <c r="D395" s="675"/>
      <c r="E395" s="675"/>
      <c r="F395" s="653"/>
      <c r="H395" s="666"/>
      <c r="I395" s="636"/>
      <c r="J395" s="636"/>
      <c r="K395" s="636"/>
      <c r="L395" s="636"/>
      <c r="M395" s="636"/>
      <c r="N395" s="636"/>
      <c r="O395" s="636"/>
      <c r="P395" s="636"/>
      <c r="Q395" s="636"/>
      <c r="R395" s="636"/>
      <c r="S395" s="636"/>
      <c r="T395" s="636"/>
      <c r="U395" s="636"/>
      <c r="V395" s="636"/>
      <c r="W395" s="636"/>
      <c r="X395" s="636"/>
      <c r="Y395" s="636"/>
      <c r="Z395" s="636"/>
      <c r="AA395" s="636"/>
      <c r="AB395" s="636"/>
      <c r="AC395" s="636"/>
      <c r="AD395" s="636"/>
      <c r="AE395" s="636"/>
      <c r="AF395" s="636"/>
      <c r="AG395" s="636"/>
      <c r="AH395" s="636"/>
      <c r="AI395" s="636"/>
      <c r="AJ395" s="636"/>
      <c r="AK395" s="636"/>
      <c r="AL395" s="636"/>
    </row>
    <row r="396" spans="2:38" s="668" customFormat="1" ht="18" customHeight="1" x14ac:dyDescent="0.25">
      <c r="B396" s="651" t="s">
        <v>1222</v>
      </c>
      <c r="C396" s="653">
        <v>10400</v>
      </c>
      <c r="D396" s="675"/>
      <c r="E396" s="675"/>
      <c r="F396" s="653"/>
      <c r="H396" s="666"/>
      <c r="I396" s="636"/>
      <c r="J396" s="636"/>
      <c r="K396" s="636"/>
      <c r="L396" s="636"/>
      <c r="M396" s="636"/>
      <c r="N396" s="636"/>
      <c r="O396" s="636"/>
      <c r="P396" s="636"/>
      <c r="Q396" s="636"/>
      <c r="R396" s="636"/>
      <c r="S396" s="636"/>
      <c r="T396" s="636"/>
      <c r="U396" s="636"/>
      <c r="V396" s="636"/>
      <c r="W396" s="636"/>
      <c r="X396" s="636"/>
      <c r="Y396" s="636"/>
      <c r="Z396" s="636"/>
      <c r="AA396" s="636"/>
      <c r="AB396" s="636"/>
      <c r="AC396" s="636"/>
      <c r="AD396" s="636"/>
      <c r="AE396" s="636"/>
      <c r="AF396" s="636"/>
      <c r="AG396" s="636"/>
      <c r="AH396" s="636"/>
      <c r="AI396" s="636"/>
      <c r="AJ396" s="636"/>
      <c r="AK396" s="636"/>
      <c r="AL396" s="636"/>
    </row>
    <row r="397" spans="2:38" s="668" customFormat="1" ht="18" customHeight="1" x14ac:dyDescent="0.25">
      <c r="B397" s="651" t="s">
        <v>1270</v>
      </c>
      <c r="C397" s="653">
        <v>22000</v>
      </c>
      <c r="D397" s="675"/>
      <c r="E397" s="675"/>
      <c r="F397" s="653"/>
      <c r="H397" s="666"/>
      <c r="I397" s="636"/>
      <c r="J397" s="636"/>
      <c r="K397" s="636"/>
      <c r="L397" s="636"/>
      <c r="M397" s="636"/>
      <c r="N397" s="636"/>
      <c r="O397" s="636"/>
      <c r="P397" s="636"/>
      <c r="Q397" s="636"/>
      <c r="R397" s="636"/>
      <c r="S397" s="636"/>
      <c r="T397" s="636"/>
      <c r="U397" s="636"/>
      <c r="V397" s="636"/>
      <c r="W397" s="636"/>
      <c r="X397" s="636"/>
      <c r="Y397" s="636"/>
      <c r="Z397" s="636"/>
      <c r="AA397" s="636"/>
      <c r="AB397" s="636"/>
      <c r="AC397" s="636"/>
      <c r="AD397" s="636"/>
      <c r="AE397" s="636"/>
      <c r="AF397" s="636"/>
      <c r="AG397" s="636"/>
      <c r="AH397" s="636"/>
      <c r="AI397" s="636"/>
      <c r="AJ397" s="636"/>
      <c r="AK397" s="636"/>
      <c r="AL397" s="636"/>
    </row>
    <row r="398" spans="2:38" s="668" customFormat="1" ht="18" customHeight="1" x14ac:dyDescent="0.25">
      <c r="B398" s="651" t="s">
        <v>1253</v>
      </c>
      <c r="C398" s="653">
        <v>19100</v>
      </c>
      <c r="D398" s="675"/>
      <c r="E398" s="675"/>
      <c r="F398" s="653"/>
      <c r="H398" s="666"/>
      <c r="I398" s="636"/>
      <c r="J398" s="636"/>
      <c r="K398" s="636"/>
      <c r="L398" s="636"/>
      <c r="M398" s="636"/>
      <c r="N398" s="636"/>
      <c r="O398" s="636"/>
      <c r="P398" s="636"/>
      <c r="Q398" s="636"/>
      <c r="R398" s="636"/>
      <c r="S398" s="636"/>
      <c r="T398" s="636"/>
      <c r="U398" s="636"/>
      <c r="V398" s="636"/>
      <c r="W398" s="636"/>
      <c r="X398" s="636"/>
      <c r="Y398" s="636"/>
      <c r="Z398" s="636"/>
      <c r="AA398" s="636"/>
      <c r="AB398" s="636"/>
      <c r="AC398" s="636"/>
      <c r="AD398" s="636"/>
      <c r="AE398" s="636"/>
      <c r="AF398" s="636"/>
      <c r="AG398" s="636"/>
      <c r="AH398" s="636"/>
      <c r="AI398" s="636"/>
      <c r="AJ398" s="636"/>
      <c r="AK398" s="636"/>
      <c r="AL398" s="636"/>
    </row>
    <row r="399" spans="2:38" s="668" customFormat="1" ht="18" customHeight="1" x14ac:dyDescent="0.25">
      <c r="B399" s="651" t="s">
        <v>1338</v>
      </c>
      <c r="C399" s="653">
        <v>33100</v>
      </c>
      <c r="D399" s="675"/>
      <c r="E399" s="675"/>
      <c r="F399" s="653"/>
      <c r="H399" s="666"/>
      <c r="I399" s="636"/>
      <c r="J399" s="636"/>
      <c r="K399" s="636"/>
      <c r="L399" s="636"/>
      <c r="M399" s="636"/>
      <c r="N399" s="636"/>
      <c r="O399" s="636"/>
      <c r="P399" s="636"/>
      <c r="Q399" s="636"/>
      <c r="R399" s="636"/>
      <c r="S399" s="636"/>
      <c r="T399" s="636"/>
      <c r="U399" s="636"/>
      <c r="V399" s="636"/>
      <c r="W399" s="636"/>
      <c r="X399" s="636"/>
      <c r="Y399" s="636"/>
      <c r="Z399" s="636"/>
      <c r="AA399" s="636"/>
      <c r="AB399" s="636"/>
      <c r="AC399" s="636"/>
      <c r="AD399" s="636"/>
      <c r="AE399" s="636"/>
      <c r="AF399" s="636"/>
      <c r="AG399" s="636"/>
      <c r="AH399" s="636"/>
      <c r="AI399" s="636"/>
      <c r="AJ399" s="636"/>
      <c r="AK399" s="636"/>
      <c r="AL399" s="636"/>
    </row>
    <row r="400" spans="2:38" s="668" customFormat="1" ht="18" customHeight="1" x14ac:dyDescent="0.25">
      <c r="B400" s="651" t="s">
        <v>1340</v>
      </c>
      <c r="C400" s="653">
        <v>33200</v>
      </c>
      <c r="D400" s="675"/>
      <c r="E400" s="675"/>
      <c r="F400" s="653"/>
      <c r="H400" s="666"/>
      <c r="I400" s="636"/>
      <c r="J400" s="636"/>
      <c r="K400" s="636"/>
      <c r="L400" s="636"/>
      <c r="M400" s="636"/>
      <c r="N400" s="636"/>
      <c r="O400" s="636"/>
      <c r="P400" s="636"/>
      <c r="Q400" s="636"/>
      <c r="R400" s="636"/>
      <c r="S400" s="636"/>
      <c r="T400" s="636"/>
      <c r="U400" s="636"/>
      <c r="V400" s="636"/>
      <c r="W400" s="636"/>
      <c r="X400" s="636"/>
      <c r="Y400" s="636"/>
      <c r="Z400" s="636"/>
      <c r="AA400" s="636"/>
      <c r="AB400" s="636"/>
      <c r="AC400" s="636"/>
      <c r="AD400" s="636"/>
      <c r="AE400" s="636"/>
      <c r="AF400" s="636"/>
      <c r="AG400" s="636"/>
      <c r="AH400" s="636"/>
      <c r="AI400" s="636"/>
      <c r="AJ400" s="636"/>
      <c r="AK400" s="636"/>
      <c r="AL400" s="636"/>
    </row>
    <row r="401" spans="2:38" s="668" customFormat="1" ht="18" customHeight="1" x14ac:dyDescent="0.25">
      <c r="B401" s="651" t="s">
        <v>1344</v>
      </c>
      <c r="C401" s="653">
        <v>33205</v>
      </c>
      <c r="D401" s="675"/>
      <c r="E401" s="675"/>
      <c r="F401" s="653"/>
      <c r="H401" s="666"/>
      <c r="I401" s="636"/>
      <c r="J401" s="636"/>
      <c r="K401" s="636"/>
      <c r="L401" s="636"/>
      <c r="M401" s="636"/>
      <c r="N401" s="636"/>
      <c r="O401" s="636"/>
      <c r="P401" s="636"/>
      <c r="Q401" s="636"/>
      <c r="R401" s="636"/>
      <c r="S401" s="636"/>
      <c r="T401" s="636"/>
      <c r="U401" s="636"/>
      <c r="V401" s="636"/>
      <c r="W401" s="636"/>
      <c r="X401" s="636"/>
      <c r="Y401" s="636"/>
      <c r="Z401" s="636"/>
      <c r="AA401" s="636"/>
      <c r="AB401" s="636"/>
      <c r="AC401" s="636"/>
      <c r="AD401" s="636"/>
      <c r="AE401" s="636"/>
      <c r="AF401" s="636"/>
      <c r="AG401" s="636"/>
      <c r="AH401" s="636"/>
      <c r="AI401" s="636"/>
      <c r="AJ401" s="636"/>
      <c r="AK401" s="636"/>
      <c r="AL401" s="636"/>
    </row>
    <row r="402" spans="2:38" s="668" customFormat="1" ht="18" customHeight="1" x14ac:dyDescent="0.25">
      <c r="B402" s="651" t="s">
        <v>1256</v>
      </c>
      <c r="C402" s="653">
        <v>20300</v>
      </c>
      <c r="D402" s="675"/>
      <c r="E402" s="675"/>
      <c r="F402" s="653"/>
      <c r="H402" s="666"/>
      <c r="I402" s="636"/>
      <c r="J402" s="636"/>
      <c r="K402" s="636"/>
      <c r="L402" s="636"/>
      <c r="M402" s="636"/>
      <c r="N402" s="636"/>
      <c r="O402" s="636"/>
      <c r="P402" s="636"/>
      <c r="Q402" s="636"/>
      <c r="R402" s="636"/>
      <c r="S402" s="636"/>
      <c r="T402" s="636"/>
      <c r="U402" s="636"/>
      <c r="V402" s="636"/>
      <c r="W402" s="636"/>
      <c r="X402" s="636"/>
      <c r="Y402" s="636"/>
      <c r="Z402" s="636"/>
      <c r="AA402" s="636"/>
      <c r="AB402" s="636"/>
      <c r="AC402" s="636"/>
      <c r="AD402" s="636"/>
      <c r="AE402" s="636"/>
      <c r="AF402" s="636"/>
      <c r="AG402" s="636"/>
      <c r="AH402" s="636"/>
      <c r="AI402" s="636"/>
      <c r="AJ402" s="636"/>
      <c r="AK402" s="636"/>
      <c r="AL402" s="636"/>
    </row>
    <row r="403" spans="2:38" s="668" customFormat="1" ht="18" customHeight="1" x14ac:dyDescent="0.25">
      <c r="B403" s="651" t="s">
        <v>1491</v>
      </c>
      <c r="C403" s="653">
        <v>39208</v>
      </c>
      <c r="D403" s="675"/>
      <c r="E403" s="675"/>
      <c r="F403" s="653"/>
      <c r="H403" s="666"/>
      <c r="I403" s="636"/>
      <c r="J403" s="636"/>
      <c r="K403" s="636"/>
      <c r="L403" s="636"/>
      <c r="M403" s="636"/>
      <c r="N403" s="636"/>
      <c r="O403" s="636"/>
      <c r="P403" s="636"/>
      <c r="Q403" s="636"/>
      <c r="R403" s="636"/>
      <c r="S403" s="636"/>
      <c r="T403" s="636"/>
      <c r="U403" s="636"/>
      <c r="V403" s="636"/>
      <c r="W403" s="636"/>
      <c r="X403" s="636"/>
      <c r="Y403" s="636"/>
      <c r="Z403" s="636"/>
      <c r="AA403" s="636"/>
      <c r="AB403" s="636"/>
      <c r="AC403" s="636"/>
      <c r="AD403" s="636"/>
      <c r="AE403" s="636"/>
      <c r="AF403" s="636"/>
      <c r="AG403" s="636"/>
      <c r="AH403" s="636"/>
      <c r="AI403" s="636"/>
      <c r="AJ403" s="636"/>
      <c r="AK403" s="636"/>
      <c r="AL403" s="636"/>
    </row>
    <row r="404" spans="2:38" s="668" customFormat="1" ht="18" customHeight="1" x14ac:dyDescent="0.25">
      <c r="B404" s="651" t="s">
        <v>1317</v>
      </c>
      <c r="C404" s="653">
        <v>32100</v>
      </c>
      <c r="D404" s="675"/>
      <c r="E404" s="675"/>
      <c r="F404" s="653"/>
      <c r="H404" s="666"/>
      <c r="I404" s="636"/>
      <c r="J404" s="636"/>
      <c r="K404" s="636"/>
      <c r="L404" s="636"/>
      <c r="M404" s="636"/>
      <c r="N404" s="636"/>
      <c r="O404" s="636"/>
      <c r="P404" s="636"/>
      <c r="Q404" s="636"/>
      <c r="R404" s="636"/>
      <c r="S404" s="636"/>
      <c r="T404" s="636"/>
      <c r="U404" s="636"/>
      <c r="V404" s="636"/>
      <c r="W404" s="636"/>
      <c r="X404" s="636"/>
      <c r="Y404" s="636"/>
      <c r="Z404" s="636"/>
      <c r="AA404" s="636"/>
      <c r="AB404" s="636"/>
      <c r="AC404" s="636"/>
      <c r="AD404" s="636"/>
      <c r="AE404" s="636"/>
      <c r="AF404" s="636"/>
      <c r="AG404" s="636"/>
      <c r="AH404" s="636"/>
      <c r="AI404" s="636"/>
      <c r="AJ404" s="636"/>
      <c r="AK404" s="636"/>
      <c r="AL404" s="636"/>
    </row>
    <row r="405" spans="2:38" s="668" customFormat="1" ht="18" customHeight="1" x14ac:dyDescent="0.25">
      <c r="B405" s="651" t="s">
        <v>1349</v>
      </c>
      <c r="C405" s="653">
        <v>33300</v>
      </c>
      <c r="D405" s="675"/>
      <c r="E405" s="675"/>
      <c r="F405" s="653"/>
      <c r="H405" s="666"/>
      <c r="I405" s="636"/>
      <c r="J405" s="636"/>
      <c r="K405" s="636"/>
      <c r="L405" s="636"/>
      <c r="M405" s="636"/>
      <c r="N405" s="636"/>
      <c r="O405" s="636"/>
      <c r="P405" s="636"/>
      <c r="Q405" s="636"/>
      <c r="R405" s="636"/>
      <c r="S405" s="636"/>
      <c r="T405" s="636"/>
      <c r="U405" s="636"/>
      <c r="V405" s="636"/>
      <c r="W405" s="636"/>
      <c r="X405" s="636"/>
      <c r="Y405" s="636"/>
      <c r="Z405" s="636"/>
      <c r="AA405" s="636"/>
      <c r="AB405" s="636"/>
      <c r="AC405" s="636"/>
      <c r="AD405" s="636"/>
      <c r="AE405" s="636"/>
      <c r="AF405" s="636"/>
      <c r="AG405" s="636"/>
      <c r="AH405" s="636"/>
      <c r="AI405" s="636"/>
      <c r="AJ405" s="636"/>
      <c r="AK405" s="636"/>
      <c r="AL405" s="636"/>
    </row>
    <row r="406" spans="2:38" s="668" customFormat="1" ht="18" customHeight="1" x14ac:dyDescent="0.25">
      <c r="B406" s="651" t="s">
        <v>1350</v>
      </c>
      <c r="C406" s="653">
        <v>33305</v>
      </c>
      <c r="D406" s="675"/>
      <c r="E406" s="675"/>
      <c r="F406" s="653"/>
      <c r="H406" s="666"/>
      <c r="I406" s="636"/>
      <c r="J406" s="636"/>
      <c r="K406" s="636"/>
      <c r="L406" s="636"/>
      <c r="M406" s="636"/>
      <c r="N406" s="636"/>
      <c r="O406" s="636"/>
      <c r="P406" s="636"/>
      <c r="Q406" s="636"/>
      <c r="R406" s="636"/>
      <c r="S406" s="636"/>
      <c r="T406" s="636"/>
      <c r="U406" s="636"/>
      <c r="V406" s="636"/>
      <c r="W406" s="636"/>
      <c r="X406" s="636"/>
      <c r="Y406" s="636"/>
      <c r="Z406" s="636"/>
      <c r="AA406" s="636"/>
      <c r="AB406" s="636"/>
      <c r="AC406" s="636"/>
      <c r="AD406" s="636"/>
      <c r="AE406" s="636"/>
      <c r="AF406" s="636"/>
      <c r="AG406" s="636"/>
      <c r="AH406" s="636"/>
      <c r="AI406" s="636"/>
      <c r="AJ406" s="636"/>
      <c r="AK406" s="636"/>
      <c r="AL406" s="636"/>
    </row>
    <row r="407" spans="2:38" s="668" customFormat="1" ht="18" customHeight="1" x14ac:dyDescent="0.25">
      <c r="B407" s="651" t="s">
        <v>1438</v>
      </c>
      <c r="C407" s="653">
        <v>37000</v>
      </c>
      <c r="D407" s="675"/>
      <c r="E407" s="675"/>
      <c r="F407" s="653"/>
      <c r="H407" s="666"/>
      <c r="I407" s="636"/>
      <c r="J407" s="636"/>
      <c r="K407" s="636"/>
      <c r="L407" s="636"/>
      <c r="M407" s="636"/>
      <c r="N407" s="636"/>
      <c r="O407" s="636"/>
      <c r="P407" s="636"/>
      <c r="Q407" s="636"/>
      <c r="R407" s="636"/>
      <c r="S407" s="636"/>
      <c r="T407" s="636"/>
      <c r="U407" s="636"/>
      <c r="V407" s="636"/>
      <c r="W407" s="636"/>
      <c r="X407" s="636"/>
      <c r="Y407" s="636"/>
      <c r="Z407" s="636"/>
      <c r="AA407" s="636"/>
      <c r="AB407" s="636"/>
      <c r="AC407" s="636"/>
      <c r="AD407" s="636"/>
      <c r="AE407" s="636"/>
      <c r="AF407" s="636"/>
      <c r="AG407" s="636"/>
      <c r="AH407" s="636"/>
      <c r="AI407" s="636"/>
      <c r="AJ407" s="636"/>
      <c r="AK407" s="636"/>
      <c r="AL407" s="636"/>
    </row>
    <row r="408" spans="2:38" s="668" customFormat="1" ht="18" customHeight="1" x14ac:dyDescent="0.25">
      <c r="B408" s="651" t="s">
        <v>1257</v>
      </c>
      <c r="C408" s="653">
        <v>20400</v>
      </c>
      <c r="D408" s="675"/>
      <c r="E408" s="675"/>
      <c r="F408" s="653"/>
      <c r="H408" s="666"/>
      <c r="I408" s="636"/>
      <c r="J408" s="636"/>
      <c r="K408" s="636"/>
      <c r="L408" s="636"/>
      <c r="M408" s="636"/>
      <c r="N408" s="636"/>
      <c r="O408" s="636"/>
      <c r="P408" s="636"/>
      <c r="Q408" s="636"/>
      <c r="R408" s="636"/>
      <c r="S408" s="636"/>
      <c r="T408" s="636"/>
      <c r="U408" s="636"/>
      <c r="V408" s="636"/>
      <c r="W408" s="636"/>
      <c r="X408" s="636"/>
      <c r="Y408" s="636"/>
      <c r="Z408" s="636"/>
      <c r="AA408" s="636"/>
      <c r="AB408" s="636"/>
      <c r="AC408" s="636"/>
      <c r="AD408" s="636"/>
      <c r="AE408" s="636"/>
      <c r="AF408" s="636"/>
      <c r="AG408" s="636"/>
      <c r="AH408" s="636"/>
      <c r="AI408" s="636"/>
      <c r="AJ408" s="636"/>
      <c r="AK408" s="636"/>
      <c r="AL408" s="636"/>
    </row>
    <row r="409" spans="2:38" s="668" customFormat="1" ht="18" customHeight="1" x14ac:dyDescent="0.25">
      <c r="B409" s="651" t="s">
        <v>1477</v>
      </c>
      <c r="C409" s="653">
        <v>38620</v>
      </c>
      <c r="D409" s="675"/>
      <c r="E409" s="675"/>
      <c r="F409" s="653"/>
      <c r="H409" s="666"/>
      <c r="I409" s="636"/>
      <c r="J409" s="636"/>
      <c r="K409" s="636"/>
      <c r="L409" s="636"/>
      <c r="M409" s="636"/>
      <c r="N409" s="636"/>
      <c r="O409" s="636"/>
      <c r="P409" s="636"/>
      <c r="Q409" s="636"/>
      <c r="R409" s="636"/>
      <c r="S409" s="636"/>
      <c r="T409" s="636"/>
      <c r="U409" s="636"/>
      <c r="V409" s="636"/>
      <c r="W409" s="636"/>
      <c r="X409" s="636"/>
      <c r="Y409" s="636"/>
      <c r="Z409" s="636"/>
      <c r="AA409" s="636"/>
      <c r="AB409" s="636"/>
      <c r="AC409" s="636"/>
      <c r="AD409" s="636"/>
      <c r="AE409" s="636"/>
      <c r="AF409" s="636"/>
      <c r="AG409" s="636"/>
      <c r="AH409" s="636"/>
      <c r="AI409" s="636"/>
      <c r="AJ409" s="636"/>
      <c r="AK409" s="636"/>
      <c r="AL409" s="636"/>
    </row>
    <row r="410" spans="2:38" s="668" customFormat="1" ht="18" customHeight="1" x14ac:dyDescent="0.25">
      <c r="B410" s="651" t="s">
        <v>1488</v>
      </c>
      <c r="C410" s="653">
        <v>39201</v>
      </c>
      <c r="D410" s="675"/>
      <c r="E410" s="675"/>
      <c r="F410" s="653"/>
      <c r="H410" s="666"/>
      <c r="I410" s="636"/>
      <c r="J410" s="636"/>
      <c r="K410" s="636"/>
      <c r="L410" s="636"/>
      <c r="M410" s="636"/>
      <c r="N410" s="636"/>
      <c r="O410" s="636"/>
      <c r="P410" s="636"/>
      <c r="Q410" s="636"/>
      <c r="R410" s="636"/>
      <c r="S410" s="636"/>
      <c r="T410" s="636"/>
      <c r="U410" s="636"/>
      <c r="V410" s="636"/>
      <c r="W410" s="636"/>
      <c r="X410" s="636"/>
      <c r="Y410" s="636"/>
      <c r="Z410" s="636"/>
      <c r="AA410" s="636"/>
      <c r="AB410" s="636"/>
      <c r="AC410" s="636"/>
      <c r="AD410" s="636"/>
      <c r="AE410" s="636"/>
      <c r="AF410" s="636"/>
      <c r="AG410" s="636"/>
      <c r="AH410" s="636"/>
      <c r="AI410" s="636"/>
      <c r="AJ410" s="636"/>
      <c r="AK410" s="636"/>
      <c r="AL410" s="636"/>
    </row>
    <row r="411" spans="2:38" s="668" customFormat="1" ht="18" customHeight="1" x14ac:dyDescent="0.25">
      <c r="B411" s="651" t="s">
        <v>1232</v>
      </c>
      <c r="C411" s="653">
        <v>11300</v>
      </c>
      <c r="D411" s="675"/>
      <c r="E411" s="675"/>
      <c r="F411" s="653"/>
      <c r="H411" s="666"/>
      <c r="I411" s="636"/>
      <c r="J411" s="636"/>
      <c r="K411" s="636"/>
      <c r="L411" s="636"/>
      <c r="M411" s="636"/>
      <c r="N411" s="636"/>
      <c r="O411" s="636"/>
      <c r="P411" s="636"/>
      <c r="Q411" s="636"/>
      <c r="R411" s="636"/>
      <c r="S411" s="636"/>
      <c r="T411" s="636"/>
      <c r="U411" s="636"/>
      <c r="V411" s="636"/>
      <c r="W411" s="636"/>
      <c r="X411" s="636"/>
      <c r="Y411" s="636"/>
      <c r="Z411" s="636"/>
      <c r="AA411" s="636"/>
      <c r="AB411" s="636"/>
      <c r="AC411" s="636"/>
      <c r="AD411" s="636"/>
      <c r="AE411" s="636"/>
      <c r="AF411" s="636"/>
      <c r="AG411" s="636"/>
      <c r="AH411" s="636"/>
      <c r="AI411" s="636"/>
      <c r="AJ411" s="636"/>
      <c r="AK411" s="636"/>
      <c r="AL411" s="636"/>
    </row>
    <row r="412" spans="2:38" s="668" customFormat="1" ht="18" customHeight="1" x14ac:dyDescent="0.25">
      <c r="B412" s="651" t="s">
        <v>1296</v>
      </c>
      <c r="C412" s="653">
        <v>31102</v>
      </c>
      <c r="D412" s="675"/>
      <c r="E412" s="675"/>
      <c r="F412" s="653"/>
      <c r="H412" s="666"/>
      <c r="I412" s="636"/>
      <c r="J412" s="636"/>
      <c r="K412" s="636"/>
      <c r="L412" s="636"/>
      <c r="M412" s="636"/>
      <c r="N412" s="636"/>
      <c r="O412" s="636"/>
      <c r="P412" s="636"/>
      <c r="Q412" s="636"/>
      <c r="R412" s="636"/>
      <c r="S412" s="636"/>
      <c r="T412" s="636"/>
      <c r="U412" s="636"/>
      <c r="V412" s="636"/>
      <c r="W412" s="636"/>
      <c r="X412" s="636"/>
      <c r="Y412" s="636"/>
      <c r="Z412" s="636"/>
      <c r="AA412" s="636"/>
      <c r="AB412" s="636"/>
      <c r="AC412" s="636"/>
      <c r="AD412" s="636"/>
      <c r="AE412" s="636"/>
      <c r="AF412" s="636"/>
      <c r="AG412" s="636"/>
      <c r="AH412" s="636"/>
      <c r="AI412" s="636"/>
      <c r="AJ412" s="636"/>
      <c r="AK412" s="636"/>
      <c r="AL412" s="636"/>
    </row>
    <row r="413" spans="2:38" s="668" customFormat="1" ht="18" customHeight="1" x14ac:dyDescent="0.25">
      <c r="B413" s="651" t="s">
        <v>1295</v>
      </c>
      <c r="C413" s="653">
        <v>31101</v>
      </c>
      <c r="D413" s="675"/>
      <c r="E413" s="675"/>
      <c r="F413" s="653"/>
      <c r="H413" s="666"/>
      <c r="I413" s="636"/>
      <c r="J413" s="636"/>
      <c r="K413" s="636"/>
      <c r="L413" s="636"/>
      <c r="M413" s="636"/>
      <c r="N413" s="636"/>
      <c r="O413" s="636"/>
      <c r="P413" s="636"/>
      <c r="Q413" s="636"/>
      <c r="R413" s="636"/>
      <c r="S413" s="636"/>
      <c r="T413" s="636"/>
      <c r="U413" s="636"/>
      <c r="V413" s="636"/>
      <c r="W413" s="636"/>
      <c r="X413" s="636"/>
      <c r="Y413" s="636"/>
      <c r="Z413" s="636"/>
      <c r="AA413" s="636"/>
      <c r="AB413" s="636"/>
      <c r="AC413" s="636"/>
      <c r="AD413" s="636"/>
      <c r="AE413" s="636"/>
      <c r="AF413" s="636"/>
      <c r="AG413" s="636"/>
      <c r="AH413" s="636"/>
      <c r="AI413" s="636"/>
      <c r="AJ413" s="636"/>
      <c r="AK413" s="636"/>
      <c r="AL413" s="636"/>
    </row>
    <row r="414" spans="2:38" s="668" customFormat="1" ht="18" customHeight="1" x14ac:dyDescent="0.25">
      <c r="B414" s="651" t="s">
        <v>1258</v>
      </c>
      <c r="C414" s="653">
        <v>20600</v>
      </c>
      <c r="D414" s="675"/>
      <c r="E414" s="675"/>
      <c r="F414" s="653"/>
      <c r="H414" s="666"/>
      <c r="I414" s="636"/>
      <c r="J414" s="636"/>
      <c r="K414" s="636"/>
      <c r="L414" s="636"/>
      <c r="M414" s="636"/>
      <c r="N414" s="636"/>
      <c r="O414" s="636"/>
      <c r="P414" s="636"/>
      <c r="Q414" s="636"/>
      <c r="R414" s="636"/>
      <c r="S414" s="636"/>
      <c r="T414" s="636"/>
      <c r="U414" s="636"/>
      <c r="V414" s="636"/>
      <c r="W414" s="636"/>
      <c r="X414" s="636"/>
      <c r="Y414" s="636"/>
      <c r="Z414" s="636"/>
      <c r="AA414" s="636"/>
      <c r="AB414" s="636"/>
      <c r="AC414" s="636"/>
      <c r="AD414" s="636"/>
      <c r="AE414" s="636"/>
      <c r="AF414" s="636"/>
      <c r="AG414" s="636"/>
      <c r="AH414" s="636"/>
      <c r="AI414" s="636"/>
      <c r="AJ414" s="636"/>
      <c r="AK414" s="636"/>
      <c r="AL414" s="636"/>
    </row>
    <row r="415" spans="2:38" s="668" customFormat="1" ht="18" customHeight="1" x14ac:dyDescent="0.25">
      <c r="B415" s="651" t="s">
        <v>1327</v>
      </c>
      <c r="C415" s="653">
        <v>32605</v>
      </c>
      <c r="D415" s="675"/>
      <c r="E415" s="675"/>
      <c r="F415" s="653"/>
      <c r="H415" s="666"/>
      <c r="I415" s="636"/>
      <c r="J415" s="636"/>
      <c r="K415" s="636"/>
      <c r="L415" s="636"/>
      <c r="M415" s="636"/>
      <c r="N415" s="636"/>
      <c r="O415" s="636"/>
      <c r="P415" s="636"/>
      <c r="Q415" s="636"/>
      <c r="R415" s="636"/>
      <c r="S415" s="636"/>
      <c r="T415" s="636"/>
      <c r="U415" s="636"/>
      <c r="V415" s="636"/>
      <c r="W415" s="636"/>
      <c r="X415" s="636"/>
      <c r="Y415" s="636"/>
      <c r="Z415" s="636"/>
      <c r="AA415" s="636"/>
      <c r="AB415" s="636"/>
      <c r="AC415" s="636"/>
      <c r="AD415" s="636"/>
      <c r="AE415" s="636"/>
      <c r="AF415" s="636"/>
      <c r="AG415" s="636"/>
      <c r="AH415" s="636"/>
      <c r="AI415" s="636"/>
      <c r="AJ415" s="636"/>
      <c r="AK415" s="636"/>
      <c r="AL415" s="636"/>
    </row>
    <row r="416" spans="2:38" s="668" customFormat="1" ht="18" customHeight="1" x14ac:dyDescent="0.25">
      <c r="B416" s="651" t="s">
        <v>1420</v>
      </c>
      <c r="C416" s="653">
        <v>36310</v>
      </c>
      <c r="D416" s="675"/>
      <c r="E416" s="675"/>
      <c r="F416" s="653"/>
      <c r="H416" s="666"/>
      <c r="I416" s="636"/>
      <c r="J416" s="636"/>
      <c r="K416" s="636"/>
      <c r="L416" s="636"/>
      <c r="M416" s="636"/>
      <c r="N416" s="636"/>
      <c r="O416" s="636"/>
      <c r="P416" s="636"/>
      <c r="Q416" s="636"/>
      <c r="R416" s="636"/>
      <c r="S416" s="636"/>
      <c r="T416" s="636"/>
      <c r="U416" s="636"/>
      <c r="V416" s="636"/>
      <c r="W416" s="636"/>
      <c r="X416" s="636"/>
      <c r="Y416" s="636"/>
      <c r="Z416" s="636"/>
      <c r="AA416" s="636"/>
      <c r="AB416" s="636"/>
      <c r="AC416" s="636"/>
      <c r="AD416" s="636"/>
      <c r="AE416" s="636"/>
      <c r="AF416" s="636"/>
      <c r="AG416" s="636"/>
      <c r="AH416" s="636"/>
      <c r="AI416" s="636"/>
      <c r="AJ416" s="636"/>
      <c r="AK416" s="636"/>
      <c r="AL416" s="636"/>
    </row>
    <row r="417" spans="2:38" s="668" customFormat="1" ht="18" customHeight="1" x14ac:dyDescent="0.25">
      <c r="B417" s="651" t="s">
        <v>1353</v>
      </c>
      <c r="C417" s="653">
        <v>33405</v>
      </c>
      <c r="D417" s="675"/>
      <c r="E417" s="675"/>
      <c r="F417" s="653"/>
      <c r="H417" s="666"/>
      <c r="I417" s="636"/>
      <c r="J417" s="636"/>
      <c r="K417" s="636"/>
      <c r="L417" s="636"/>
      <c r="M417" s="636"/>
      <c r="N417" s="636"/>
      <c r="O417" s="636"/>
      <c r="P417" s="636"/>
      <c r="Q417" s="636"/>
      <c r="R417" s="636"/>
      <c r="S417" s="636"/>
      <c r="T417" s="636"/>
      <c r="U417" s="636"/>
      <c r="V417" s="636"/>
      <c r="W417" s="636"/>
      <c r="X417" s="636"/>
      <c r="Y417" s="636"/>
      <c r="Z417" s="636"/>
      <c r="AA417" s="636"/>
      <c r="AB417" s="636"/>
      <c r="AC417" s="636"/>
      <c r="AD417" s="636"/>
      <c r="AE417" s="636"/>
      <c r="AF417" s="636"/>
      <c r="AG417" s="636"/>
      <c r="AH417" s="636"/>
      <c r="AI417" s="636"/>
      <c r="AJ417" s="636"/>
      <c r="AK417" s="636"/>
      <c r="AL417" s="636"/>
    </row>
    <row r="418" spans="2:38" s="668" customFormat="1" ht="18" customHeight="1" x14ac:dyDescent="0.25">
      <c r="B418" s="651" t="s">
        <v>1354</v>
      </c>
      <c r="C418" s="653">
        <v>33500</v>
      </c>
      <c r="D418" s="675"/>
      <c r="E418" s="675"/>
      <c r="F418" s="653"/>
      <c r="H418" s="666"/>
      <c r="I418" s="636"/>
      <c r="J418" s="636"/>
      <c r="K418" s="636"/>
      <c r="L418" s="636"/>
      <c r="M418" s="636"/>
      <c r="N418" s="636"/>
      <c r="O418" s="636"/>
      <c r="P418" s="636"/>
      <c r="Q418" s="636"/>
      <c r="R418" s="636"/>
      <c r="S418" s="636"/>
      <c r="T418" s="636"/>
      <c r="U418" s="636"/>
      <c r="V418" s="636"/>
      <c r="W418" s="636"/>
      <c r="X418" s="636"/>
      <c r="Y418" s="636"/>
      <c r="Z418" s="636"/>
      <c r="AA418" s="636"/>
      <c r="AB418" s="636"/>
      <c r="AC418" s="636"/>
      <c r="AD418" s="636"/>
      <c r="AE418" s="636"/>
      <c r="AF418" s="636"/>
      <c r="AG418" s="636"/>
      <c r="AH418" s="636"/>
      <c r="AI418" s="636"/>
      <c r="AJ418" s="636"/>
      <c r="AK418" s="636"/>
      <c r="AL418" s="636"/>
    </row>
    <row r="419" spans="2:38" s="668" customFormat="1" ht="18" customHeight="1" x14ac:dyDescent="0.25">
      <c r="B419" s="651" t="s">
        <v>1357</v>
      </c>
      <c r="C419" s="653">
        <v>33605</v>
      </c>
      <c r="D419" s="675"/>
      <c r="E419" s="675"/>
      <c r="F419" s="653"/>
      <c r="H419" s="666"/>
      <c r="I419" s="636"/>
      <c r="J419" s="636"/>
      <c r="K419" s="636"/>
      <c r="L419" s="636"/>
      <c r="M419" s="636"/>
      <c r="N419" s="636"/>
      <c r="O419" s="636"/>
      <c r="P419" s="636"/>
      <c r="Q419" s="636"/>
      <c r="R419" s="636"/>
      <c r="S419" s="636"/>
      <c r="T419" s="636"/>
      <c r="U419" s="636"/>
      <c r="V419" s="636"/>
      <c r="W419" s="636"/>
      <c r="X419" s="636"/>
      <c r="Y419" s="636"/>
      <c r="Z419" s="636"/>
      <c r="AA419" s="636"/>
      <c r="AB419" s="636"/>
      <c r="AC419" s="636"/>
      <c r="AD419" s="636"/>
      <c r="AE419" s="636"/>
      <c r="AF419" s="636"/>
      <c r="AG419" s="636"/>
      <c r="AH419" s="636"/>
      <c r="AI419" s="636"/>
      <c r="AJ419" s="636"/>
      <c r="AK419" s="636"/>
      <c r="AL419" s="636"/>
    </row>
    <row r="420" spans="2:38" s="668" customFormat="1" ht="18" customHeight="1" x14ac:dyDescent="0.25">
      <c r="B420" s="651" t="s">
        <v>1428</v>
      </c>
      <c r="C420" s="653">
        <v>36601</v>
      </c>
      <c r="D420" s="675"/>
      <c r="E420" s="675"/>
      <c r="F420" s="653"/>
      <c r="H420" s="666"/>
      <c r="I420" s="636"/>
      <c r="J420" s="636"/>
      <c r="K420" s="636"/>
      <c r="L420" s="636"/>
      <c r="M420" s="636"/>
      <c r="N420" s="636"/>
      <c r="O420" s="636"/>
      <c r="P420" s="636"/>
      <c r="Q420" s="636"/>
      <c r="R420" s="636"/>
      <c r="S420" s="636"/>
      <c r="T420" s="636"/>
      <c r="U420" s="636"/>
      <c r="V420" s="636"/>
      <c r="W420" s="636"/>
      <c r="X420" s="636"/>
      <c r="Y420" s="636"/>
      <c r="Z420" s="636"/>
      <c r="AA420" s="636"/>
      <c r="AB420" s="636"/>
      <c r="AC420" s="636"/>
      <c r="AD420" s="636"/>
      <c r="AE420" s="636"/>
      <c r="AF420" s="636"/>
      <c r="AG420" s="636"/>
      <c r="AH420" s="636"/>
      <c r="AI420" s="636"/>
      <c r="AJ420" s="636"/>
      <c r="AK420" s="636"/>
      <c r="AL420" s="636"/>
    </row>
    <row r="421" spans="2:38" s="668" customFormat="1" ht="18" customHeight="1" x14ac:dyDescent="0.25">
      <c r="B421" s="651" t="s">
        <v>1356</v>
      </c>
      <c r="C421" s="653">
        <v>33600</v>
      </c>
      <c r="D421" s="675"/>
      <c r="E421" s="675"/>
      <c r="F421" s="653"/>
      <c r="H421" s="666"/>
      <c r="I421" s="636"/>
      <c r="J421" s="636"/>
      <c r="K421" s="636"/>
      <c r="L421" s="636"/>
      <c r="M421" s="636"/>
      <c r="N421" s="636"/>
      <c r="O421" s="636"/>
      <c r="P421" s="636"/>
      <c r="Q421" s="636"/>
      <c r="R421" s="636"/>
      <c r="S421" s="636"/>
      <c r="T421" s="636"/>
      <c r="U421" s="636"/>
      <c r="V421" s="636"/>
      <c r="W421" s="636"/>
      <c r="X421" s="636"/>
      <c r="Y421" s="636"/>
      <c r="Z421" s="636"/>
      <c r="AA421" s="636"/>
      <c r="AB421" s="636"/>
      <c r="AC421" s="636"/>
      <c r="AD421" s="636"/>
      <c r="AE421" s="636"/>
      <c r="AF421" s="636"/>
      <c r="AG421" s="636"/>
      <c r="AH421" s="636"/>
      <c r="AI421" s="636"/>
      <c r="AJ421" s="636"/>
      <c r="AK421" s="636"/>
      <c r="AL421" s="636"/>
    </row>
    <row r="422" spans="2:38" s="668" customFormat="1" ht="18" customHeight="1" x14ac:dyDescent="0.25">
      <c r="B422" s="651" t="s">
        <v>1358</v>
      </c>
      <c r="C422" s="653">
        <v>33700</v>
      </c>
      <c r="D422" s="675"/>
      <c r="E422" s="675"/>
      <c r="F422" s="653"/>
      <c r="H422" s="666"/>
      <c r="I422" s="636"/>
      <c r="J422" s="636"/>
      <c r="K422" s="636"/>
      <c r="L422" s="636"/>
      <c r="M422" s="636"/>
      <c r="N422" s="636"/>
      <c r="O422" s="636"/>
      <c r="P422" s="636"/>
      <c r="Q422" s="636"/>
      <c r="R422" s="636"/>
      <c r="S422" s="636"/>
      <c r="T422" s="636"/>
      <c r="U422" s="636"/>
      <c r="V422" s="636"/>
      <c r="W422" s="636"/>
      <c r="X422" s="636"/>
      <c r="Y422" s="636"/>
      <c r="Z422" s="636"/>
      <c r="AA422" s="636"/>
      <c r="AB422" s="636"/>
      <c r="AC422" s="636"/>
      <c r="AD422" s="636"/>
      <c r="AE422" s="636"/>
      <c r="AF422" s="636"/>
      <c r="AG422" s="636"/>
      <c r="AH422" s="636"/>
      <c r="AI422" s="636"/>
      <c r="AJ422" s="636"/>
      <c r="AK422" s="636"/>
      <c r="AL422" s="636"/>
    </row>
    <row r="423" spans="2:38" s="668" customFormat="1" ht="18" customHeight="1" x14ac:dyDescent="0.25">
      <c r="B423" s="651" t="s">
        <v>1238</v>
      </c>
      <c r="C423" s="653">
        <v>12160</v>
      </c>
      <c r="D423" s="675"/>
      <c r="E423" s="675"/>
      <c r="F423" s="653"/>
      <c r="H423" s="666"/>
      <c r="I423" s="636"/>
      <c r="J423" s="636"/>
      <c r="K423" s="636"/>
      <c r="L423" s="636"/>
      <c r="M423" s="636"/>
      <c r="N423" s="636"/>
      <c r="O423" s="636"/>
      <c r="P423" s="636"/>
      <c r="Q423" s="636"/>
      <c r="R423" s="636"/>
      <c r="S423" s="636"/>
      <c r="T423" s="636"/>
      <c r="U423" s="636"/>
      <c r="V423" s="636"/>
      <c r="W423" s="636"/>
      <c r="X423" s="636"/>
      <c r="Y423" s="636"/>
      <c r="Z423" s="636"/>
      <c r="AA423" s="636"/>
      <c r="AB423" s="636"/>
      <c r="AC423" s="636"/>
      <c r="AD423" s="636"/>
      <c r="AE423" s="636"/>
      <c r="AF423" s="636"/>
      <c r="AG423" s="636"/>
      <c r="AH423" s="636"/>
      <c r="AI423" s="636"/>
      <c r="AJ423" s="636"/>
      <c r="AK423" s="636"/>
      <c r="AL423" s="636"/>
    </row>
    <row r="424" spans="2:38" s="668" customFormat="1" ht="18" customHeight="1" x14ac:dyDescent="0.25">
      <c r="B424" s="651" t="s">
        <v>1236</v>
      </c>
      <c r="C424" s="653">
        <v>12100</v>
      </c>
      <c r="D424" s="675"/>
      <c r="E424" s="675"/>
      <c r="F424" s="653"/>
      <c r="H424" s="666"/>
      <c r="I424" s="636"/>
      <c r="J424" s="636"/>
      <c r="K424" s="636"/>
      <c r="L424" s="636"/>
      <c r="M424" s="636"/>
      <c r="N424" s="636"/>
      <c r="O424" s="636"/>
      <c r="P424" s="636"/>
      <c r="Q424" s="636"/>
      <c r="R424" s="636"/>
      <c r="S424" s="636"/>
      <c r="T424" s="636"/>
      <c r="U424" s="636"/>
      <c r="V424" s="636"/>
      <c r="W424" s="636"/>
      <c r="X424" s="636"/>
      <c r="Y424" s="636"/>
      <c r="Z424" s="636"/>
      <c r="AA424" s="636"/>
      <c r="AB424" s="636"/>
      <c r="AC424" s="636"/>
      <c r="AD424" s="636"/>
      <c r="AE424" s="636"/>
      <c r="AF424" s="636"/>
      <c r="AG424" s="636"/>
      <c r="AH424" s="636"/>
      <c r="AI424" s="636"/>
      <c r="AJ424" s="636"/>
      <c r="AK424" s="636"/>
      <c r="AL424" s="636"/>
    </row>
    <row r="425" spans="2:38" s="668" customFormat="1" ht="18" customHeight="1" x14ac:dyDescent="0.25">
      <c r="B425" s="651" t="s">
        <v>1359</v>
      </c>
      <c r="C425" s="653">
        <v>33800</v>
      </c>
      <c r="D425" s="675"/>
      <c r="E425" s="675"/>
      <c r="F425" s="653"/>
      <c r="H425" s="666"/>
      <c r="I425" s="636"/>
      <c r="J425" s="636"/>
      <c r="K425" s="636"/>
      <c r="L425" s="636"/>
      <c r="M425" s="636"/>
      <c r="N425" s="636"/>
      <c r="O425" s="636"/>
      <c r="P425" s="636"/>
      <c r="Q425" s="636"/>
      <c r="R425" s="636"/>
      <c r="S425" s="636"/>
      <c r="T425" s="636"/>
      <c r="U425" s="636"/>
      <c r="V425" s="636"/>
      <c r="W425" s="636"/>
      <c r="X425" s="636"/>
      <c r="Y425" s="636"/>
      <c r="Z425" s="636"/>
      <c r="AA425" s="636"/>
      <c r="AB425" s="636"/>
      <c r="AC425" s="636"/>
      <c r="AD425" s="636"/>
      <c r="AE425" s="636"/>
      <c r="AF425" s="636"/>
      <c r="AG425" s="636"/>
      <c r="AH425" s="636"/>
      <c r="AI425" s="636"/>
      <c r="AJ425" s="636"/>
      <c r="AK425" s="636"/>
      <c r="AL425" s="636"/>
    </row>
    <row r="426" spans="2:38" s="668" customFormat="1" ht="18" customHeight="1" x14ac:dyDescent="0.25">
      <c r="B426" s="651" t="s">
        <v>1286</v>
      </c>
      <c r="C426" s="653">
        <v>30601</v>
      </c>
      <c r="D426" s="675"/>
      <c r="E426" s="675"/>
      <c r="F426" s="653"/>
      <c r="H426" s="666"/>
      <c r="I426" s="636"/>
      <c r="J426" s="636"/>
      <c r="K426" s="636"/>
      <c r="L426" s="636"/>
      <c r="M426" s="636"/>
      <c r="N426" s="636"/>
      <c r="O426" s="636"/>
      <c r="P426" s="636"/>
      <c r="Q426" s="636"/>
      <c r="R426" s="636"/>
      <c r="S426" s="636"/>
      <c r="T426" s="636"/>
      <c r="U426" s="636"/>
      <c r="V426" s="636"/>
      <c r="W426" s="636"/>
      <c r="X426" s="636"/>
      <c r="Y426" s="636"/>
      <c r="Z426" s="636"/>
      <c r="AA426" s="636"/>
      <c r="AB426" s="636"/>
      <c r="AC426" s="636"/>
      <c r="AD426" s="636"/>
      <c r="AE426" s="636"/>
      <c r="AF426" s="636"/>
      <c r="AG426" s="636"/>
      <c r="AH426" s="636"/>
      <c r="AI426" s="636"/>
      <c r="AJ426" s="636"/>
      <c r="AK426" s="636"/>
      <c r="AL426" s="636"/>
    </row>
    <row r="427" spans="2:38" s="668" customFormat="1" ht="18" customHeight="1" x14ac:dyDescent="0.25">
      <c r="B427" s="651" t="s">
        <v>1360</v>
      </c>
      <c r="C427" s="653">
        <v>33900</v>
      </c>
      <c r="D427" s="675"/>
      <c r="E427" s="675"/>
      <c r="F427" s="653"/>
      <c r="H427" s="666"/>
      <c r="I427" s="636"/>
      <c r="J427" s="636"/>
      <c r="K427" s="636"/>
      <c r="L427" s="636"/>
      <c r="M427" s="636"/>
      <c r="N427" s="636"/>
      <c r="O427" s="636"/>
      <c r="P427" s="636"/>
      <c r="Q427" s="636"/>
      <c r="R427" s="636"/>
      <c r="S427" s="636"/>
      <c r="T427" s="636"/>
      <c r="U427" s="636"/>
      <c r="V427" s="636"/>
      <c r="W427" s="636"/>
      <c r="X427" s="636"/>
      <c r="Y427" s="636"/>
      <c r="Z427" s="636"/>
      <c r="AA427" s="636"/>
      <c r="AB427" s="636"/>
      <c r="AC427" s="636"/>
      <c r="AD427" s="636"/>
      <c r="AE427" s="636"/>
      <c r="AF427" s="636"/>
      <c r="AG427" s="636"/>
      <c r="AH427" s="636"/>
      <c r="AI427" s="636"/>
      <c r="AJ427" s="636"/>
      <c r="AK427" s="636"/>
      <c r="AL427" s="636"/>
    </row>
    <row r="428" spans="2:38" s="668" customFormat="1" ht="18" customHeight="1" x14ac:dyDescent="0.25">
      <c r="B428" s="651" t="s">
        <v>1469</v>
      </c>
      <c r="C428" s="653">
        <v>38402</v>
      </c>
      <c r="D428" s="675"/>
      <c r="E428" s="675"/>
      <c r="F428" s="653"/>
      <c r="H428" s="666"/>
      <c r="I428" s="636"/>
      <c r="J428" s="636"/>
      <c r="K428" s="636"/>
      <c r="L428" s="636"/>
      <c r="M428" s="636"/>
      <c r="N428" s="636"/>
      <c r="O428" s="636"/>
      <c r="P428" s="636"/>
      <c r="Q428" s="636"/>
      <c r="R428" s="636"/>
      <c r="S428" s="636"/>
      <c r="T428" s="636"/>
      <c r="U428" s="636"/>
      <c r="V428" s="636"/>
      <c r="W428" s="636"/>
      <c r="X428" s="636"/>
      <c r="Y428" s="636"/>
      <c r="Z428" s="636"/>
      <c r="AA428" s="636"/>
      <c r="AB428" s="636"/>
      <c r="AC428" s="636"/>
      <c r="AD428" s="636"/>
      <c r="AE428" s="636"/>
      <c r="AF428" s="636"/>
      <c r="AG428" s="636"/>
      <c r="AH428" s="636"/>
      <c r="AI428" s="636"/>
      <c r="AJ428" s="636"/>
      <c r="AK428" s="636"/>
      <c r="AL428" s="636"/>
    </row>
    <row r="429" spans="2:38" s="668" customFormat="1" ht="18" customHeight="1" x14ac:dyDescent="0.25">
      <c r="B429" s="651" t="s">
        <v>1361</v>
      </c>
      <c r="C429" s="653">
        <v>34000</v>
      </c>
      <c r="D429" s="675"/>
      <c r="E429" s="675"/>
      <c r="F429" s="653"/>
      <c r="H429" s="666"/>
      <c r="I429" s="636"/>
      <c r="J429" s="636"/>
      <c r="K429" s="636"/>
      <c r="L429" s="636"/>
      <c r="M429" s="636"/>
      <c r="N429" s="636"/>
      <c r="O429" s="636"/>
      <c r="P429" s="636"/>
      <c r="Q429" s="636"/>
      <c r="R429" s="636"/>
      <c r="S429" s="636"/>
      <c r="T429" s="636"/>
      <c r="U429" s="636"/>
      <c r="V429" s="636"/>
      <c r="W429" s="636"/>
      <c r="X429" s="636"/>
      <c r="Y429" s="636"/>
      <c r="Z429" s="636"/>
      <c r="AA429" s="636"/>
      <c r="AB429" s="636"/>
      <c r="AC429" s="636"/>
      <c r="AD429" s="636"/>
      <c r="AE429" s="636"/>
      <c r="AF429" s="636"/>
      <c r="AG429" s="636"/>
      <c r="AH429" s="636"/>
      <c r="AI429" s="636"/>
      <c r="AJ429" s="636"/>
      <c r="AK429" s="636"/>
      <c r="AL429" s="636"/>
    </row>
    <row r="430" spans="2:38" s="668" customFormat="1" ht="18" customHeight="1" x14ac:dyDescent="0.25">
      <c r="B430" s="651" t="s">
        <v>1362</v>
      </c>
      <c r="C430" s="653">
        <v>34100</v>
      </c>
      <c r="D430" s="675"/>
      <c r="E430" s="675"/>
      <c r="F430" s="653"/>
      <c r="H430" s="666"/>
      <c r="I430" s="636"/>
      <c r="J430" s="636"/>
      <c r="K430" s="636"/>
      <c r="L430" s="636"/>
      <c r="M430" s="636"/>
      <c r="N430" s="636"/>
      <c r="O430" s="636"/>
      <c r="P430" s="636"/>
      <c r="Q430" s="636"/>
      <c r="R430" s="636"/>
      <c r="S430" s="636"/>
      <c r="T430" s="636"/>
      <c r="U430" s="636"/>
      <c r="V430" s="636"/>
      <c r="W430" s="636"/>
      <c r="X430" s="636"/>
      <c r="Y430" s="636"/>
      <c r="Z430" s="636"/>
      <c r="AA430" s="636"/>
      <c r="AB430" s="636"/>
      <c r="AC430" s="636"/>
      <c r="AD430" s="636"/>
      <c r="AE430" s="636"/>
      <c r="AF430" s="636"/>
      <c r="AG430" s="636"/>
      <c r="AH430" s="636"/>
      <c r="AI430" s="636"/>
      <c r="AJ430" s="636"/>
      <c r="AK430" s="636"/>
      <c r="AL430" s="636"/>
    </row>
    <row r="431" spans="2:38" s="668" customFormat="1" ht="18" customHeight="1" x14ac:dyDescent="0.25">
      <c r="B431" s="651" t="s">
        <v>1363</v>
      </c>
      <c r="C431" s="653">
        <v>34105</v>
      </c>
      <c r="D431" s="675"/>
      <c r="E431" s="675"/>
      <c r="F431" s="653"/>
      <c r="H431" s="666"/>
      <c r="I431" s="636"/>
      <c r="J431" s="636"/>
      <c r="K431" s="636"/>
      <c r="L431" s="636"/>
      <c r="M431" s="636"/>
      <c r="N431" s="636"/>
      <c r="O431" s="636"/>
      <c r="P431" s="636"/>
      <c r="Q431" s="636"/>
      <c r="R431" s="636"/>
      <c r="S431" s="636"/>
      <c r="T431" s="636"/>
      <c r="U431" s="636"/>
      <c r="V431" s="636"/>
      <c r="W431" s="636"/>
      <c r="X431" s="636"/>
      <c r="Y431" s="636"/>
      <c r="Z431" s="636"/>
      <c r="AA431" s="636"/>
      <c r="AB431" s="636"/>
      <c r="AC431" s="636"/>
      <c r="AD431" s="636"/>
      <c r="AE431" s="636"/>
      <c r="AF431" s="636"/>
      <c r="AG431" s="636"/>
      <c r="AH431" s="636"/>
      <c r="AI431" s="636"/>
      <c r="AJ431" s="636"/>
      <c r="AK431" s="636"/>
      <c r="AL431" s="636"/>
    </row>
    <row r="432" spans="2:38" s="668" customFormat="1" ht="18" customHeight="1" x14ac:dyDescent="0.25">
      <c r="B432" s="651" t="s">
        <v>1365</v>
      </c>
      <c r="C432" s="653">
        <v>34205</v>
      </c>
      <c r="D432" s="675"/>
      <c r="E432" s="675"/>
      <c r="F432" s="653"/>
      <c r="H432" s="666"/>
      <c r="I432" s="636"/>
      <c r="J432" s="636"/>
      <c r="K432" s="636"/>
      <c r="L432" s="636"/>
      <c r="M432" s="636"/>
      <c r="N432" s="636"/>
      <c r="O432" s="636"/>
      <c r="P432" s="636"/>
      <c r="Q432" s="636"/>
      <c r="R432" s="636"/>
      <c r="S432" s="636"/>
      <c r="T432" s="636"/>
      <c r="U432" s="636"/>
      <c r="V432" s="636"/>
      <c r="W432" s="636"/>
      <c r="X432" s="636"/>
      <c r="Y432" s="636"/>
      <c r="Z432" s="636"/>
      <c r="AA432" s="636"/>
      <c r="AB432" s="636"/>
      <c r="AC432" s="636"/>
      <c r="AD432" s="636"/>
      <c r="AE432" s="636"/>
      <c r="AF432" s="636"/>
      <c r="AG432" s="636"/>
      <c r="AH432" s="636"/>
      <c r="AI432" s="636"/>
      <c r="AJ432" s="636"/>
      <c r="AK432" s="636"/>
      <c r="AL432" s="636"/>
    </row>
    <row r="433" spans="2:38" s="668" customFormat="1" ht="18" customHeight="1" x14ac:dyDescent="0.25">
      <c r="B433" s="651" t="s">
        <v>1364</v>
      </c>
      <c r="C433" s="653">
        <v>34200</v>
      </c>
      <c r="D433" s="675"/>
      <c r="E433" s="675"/>
      <c r="F433" s="653"/>
      <c r="H433" s="666"/>
      <c r="I433" s="636"/>
      <c r="J433" s="636"/>
      <c r="K433" s="636"/>
      <c r="L433" s="636"/>
      <c r="M433" s="636"/>
      <c r="N433" s="636"/>
      <c r="O433" s="636"/>
      <c r="P433" s="636"/>
      <c r="Q433" s="636"/>
      <c r="R433" s="636"/>
      <c r="S433" s="636"/>
      <c r="T433" s="636"/>
      <c r="U433" s="636"/>
      <c r="V433" s="636"/>
      <c r="W433" s="636"/>
      <c r="X433" s="636"/>
      <c r="Y433" s="636"/>
      <c r="Z433" s="636"/>
      <c r="AA433" s="636"/>
      <c r="AB433" s="636"/>
      <c r="AC433" s="636"/>
      <c r="AD433" s="636"/>
      <c r="AE433" s="636"/>
      <c r="AF433" s="636"/>
      <c r="AG433" s="636"/>
      <c r="AH433" s="636"/>
      <c r="AI433" s="636"/>
      <c r="AJ433" s="636"/>
      <c r="AK433" s="636"/>
      <c r="AL433" s="636"/>
    </row>
    <row r="434" spans="2:38" x14ac:dyDescent="0.25">
      <c r="B434" s="651" t="s">
        <v>1494</v>
      </c>
      <c r="C434" s="653">
        <v>39301</v>
      </c>
      <c r="D434" s="675"/>
      <c r="E434" s="675"/>
      <c r="F434" s="653"/>
    </row>
    <row r="435" spans="2:38" x14ac:dyDescent="0.25">
      <c r="B435" s="651" t="s">
        <v>1368</v>
      </c>
      <c r="C435" s="653">
        <v>34300</v>
      </c>
      <c r="D435" s="675"/>
      <c r="E435" s="675"/>
      <c r="F435" s="653"/>
    </row>
    <row r="436" spans="2:38" x14ac:dyDescent="0.25">
      <c r="B436" s="651" t="s">
        <v>1369</v>
      </c>
      <c r="C436" s="653">
        <v>34400</v>
      </c>
      <c r="D436" s="675"/>
      <c r="E436" s="675"/>
      <c r="F436" s="653"/>
    </row>
    <row r="437" spans="2:38" x14ac:dyDescent="0.25">
      <c r="B437" s="651" t="s">
        <v>1370</v>
      </c>
      <c r="C437" s="653">
        <v>34405</v>
      </c>
      <c r="D437" s="675"/>
      <c r="E437" s="675"/>
      <c r="F437" s="653"/>
    </row>
    <row r="438" spans="2:38" x14ac:dyDescent="0.25">
      <c r="B438" s="651" t="s">
        <v>1239</v>
      </c>
      <c r="C438" s="653">
        <v>12220</v>
      </c>
      <c r="D438" s="675"/>
      <c r="E438" s="675"/>
      <c r="F438" s="653"/>
    </row>
    <row r="439" spans="2:38" x14ac:dyDescent="0.25">
      <c r="B439" s="651" t="s">
        <v>1342</v>
      </c>
      <c r="C439" s="653">
        <v>33203</v>
      </c>
      <c r="D439" s="675"/>
      <c r="E439" s="675"/>
      <c r="F439" s="653"/>
    </row>
    <row r="440" spans="2:38" x14ac:dyDescent="0.25">
      <c r="B440" s="651" t="s">
        <v>1496</v>
      </c>
      <c r="C440" s="653">
        <v>39401</v>
      </c>
      <c r="D440" s="675"/>
      <c r="E440" s="675"/>
      <c r="F440" s="653"/>
    </row>
    <row r="441" spans="2:38" x14ac:dyDescent="0.25">
      <c r="B441" s="651" t="s">
        <v>1371</v>
      </c>
      <c r="C441" s="653">
        <v>34500</v>
      </c>
      <c r="D441" s="675"/>
      <c r="E441" s="675"/>
      <c r="F441" s="653"/>
    </row>
    <row r="442" spans="2:38" x14ac:dyDescent="0.25">
      <c r="B442" s="651" t="s">
        <v>1374</v>
      </c>
      <c r="C442" s="653">
        <v>34600</v>
      </c>
      <c r="D442" s="675"/>
      <c r="E442" s="675"/>
      <c r="F442" s="653"/>
    </row>
    <row r="443" spans="2:38" x14ac:dyDescent="0.25">
      <c r="B443" s="651" t="s">
        <v>1312</v>
      </c>
      <c r="C443" s="653">
        <v>31810</v>
      </c>
      <c r="D443" s="675"/>
      <c r="E443" s="675"/>
      <c r="F443" s="653"/>
    </row>
    <row r="444" spans="2:38" x14ac:dyDescent="0.25">
      <c r="B444" s="651" t="s">
        <v>1508</v>
      </c>
      <c r="C444" s="653">
        <v>51000</v>
      </c>
      <c r="D444" s="675"/>
      <c r="E444" s="675"/>
      <c r="F444" s="653"/>
    </row>
    <row r="445" spans="2:38" x14ac:dyDescent="0.25">
      <c r="B445" s="651" t="s">
        <v>1376</v>
      </c>
      <c r="C445" s="653">
        <v>34700</v>
      </c>
      <c r="D445" s="675"/>
      <c r="E445" s="675"/>
      <c r="F445" s="653"/>
    </row>
    <row r="446" spans="2:38" x14ac:dyDescent="0.25">
      <c r="B446" s="651" t="s">
        <v>1377</v>
      </c>
      <c r="C446" s="653">
        <v>34800</v>
      </c>
      <c r="D446" s="675"/>
      <c r="E446" s="675"/>
      <c r="F446" s="653"/>
    </row>
    <row r="447" spans="2:38" x14ac:dyDescent="0.25">
      <c r="B447" s="651" t="s">
        <v>1229</v>
      </c>
      <c r="C447" s="653">
        <v>10930</v>
      </c>
      <c r="D447" s="675"/>
      <c r="E447" s="675"/>
      <c r="F447" s="653"/>
    </row>
    <row r="448" spans="2:38" x14ac:dyDescent="0.25">
      <c r="B448" s="651" t="s">
        <v>1241</v>
      </c>
      <c r="C448" s="653">
        <v>12600</v>
      </c>
      <c r="D448" s="675"/>
      <c r="E448" s="675"/>
      <c r="F448" s="653"/>
    </row>
    <row r="449" spans="2:6" x14ac:dyDescent="0.25">
      <c r="B449" s="651" t="s">
        <v>1346</v>
      </c>
      <c r="C449" s="653">
        <v>33207</v>
      </c>
      <c r="D449" s="675"/>
      <c r="E449" s="675"/>
      <c r="F449" s="653"/>
    </row>
    <row r="450" spans="2:6" x14ac:dyDescent="0.25">
      <c r="B450" s="651" t="s">
        <v>1331</v>
      </c>
      <c r="C450" s="653">
        <v>32901</v>
      </c>
      <c r="D450" s="675"/>
      <c r="E450" s="675"/>
      <c r="F450" s="653"/>
    </row>
    <row r="451" spans="2:6" x14ac:dyDescent="0.25">
      <c r="B451" s="651" t="s">
        <v>1378</v>
      </c>
      <c r="C451" s="653">
        <v>34900</v>
      </c>
      <c r="D451" s="675"/>
      <c r="E451" s="675"/>
      <c r="F451" s="653"/>
    </row>
    <row r="452" spans="2:6" x14ac:dyDescent="0.25">
      <c r="B452" s="651" t="s">
        <v>1463</v>
      </c>
      <c r="C452" s="653">
        <v>38105</v>
      </c>
      <c r="D452" s="675"/>
      <c r="E452" s="675"/>
      <c r="F452" s="653"/>
    </row>
    <row r="453" spans="2:6" x14ac:dyDescent="0.25">
      <c r="B453" s="651" t="s">
        <v>1383</v>
      </c>
      <c r="C453" s="653">
        <v>35000</v>
      </c>
      <c r="D453" s="675"/>
      <c r="E453" s="675"/>
      <c r="F453" s="653"/>
    </row>
    <row r="454" spans="2:6" x14ac:dyDescent="0.25">
      <c r="B454" s="651" t="s">
        <v>1339</v>
      </c>
      <c r="C454" s="653">
        <v>33105</v>
      </c>
      <c r="D454" s="675"/>
      <c r="E454" s="675"/>
      <c r="F454" s="653"/>
    </row>
    <row r="455" spans="2:6" x14ac:dyDescent="0.25">
      <c r="B455" s="651" t="s">
        <v>1385</v>
      </c>
      <c r="C455" s="653">
        <v>35100</v>
      </c>
      <c r="D455" s="675"/>
      <c r="E455" s="675"/>
      <c r="F455" s="653"/>
    </row>
    <row r="456" spans="2:6" x14ac:dyDescent="0.25">
      <c r="B456" s="651" t="s">
        <v>1386</v>
      </c>
      <c r="C456" s="653">
        <v>35105</v>
      </c>
      <c r="D456" s="675"/>
      <c r="E456" s="675"/>
      <c r="F456" s="653"/>
    </row>
    <row r="457" spans="2:6" x14ac:dyDescent="0.25">
      <c r="B457" s="651" t="s">
        <v>1388</v>
      </c>
      <c r="C457" s="653">
        <v>35200</v>
      </c>
      <c r="D457" s="675"/>
      <c r="E457" s="675"/>
      <c r="F457" s="653"/>
    </row>
    <row r="458" spans="2:6" x14ac:dyDescent="0.25">
      <c r="B458" s="651" t="s">
        <v>1303</v>
      </c>
      <c r="C458" s="653">
        <v>31320</v>
      </c>
      <c r="D458" s="675"/>
      <c r="E458" s="675"/>
      <c r="F458" s="653"/>
    </row>
    <row r="459" spans="2:6" x14ac:dyDescent="0.25">
      <c r="B459" s="651" t="s">
        <v>1403</v>
      </c>
      <c r="C459" s="653">
        <v>36002</v>
      </c>
      <c r="D459" s="675"/>
      <c r="E459" s="675"/>
      <c r="F459" s="653"/>
    </row>
    <row r="460" spans="2:6" x14ac:dyDescent="0.25">
      <c r="B460" s="651" t="s">
        <v>1412</v>
      </c>
      <c r="C460" s="653">
        <v>36102</v>
      </c>
      <c r="D460" s="675"/>
      <c r="E460" s="675"/>
      <c r="F460" s="653"/>
    </row>
    <row r="461" spans="2:6" x14ac:dyDescent="0.25">
      <c r="B461" s="651" t="s">
        <v>1347</v>
      </c>
      <c r="C461" s="653">
        <v>33208</v>
      </c>
      <c r="D461" s="675"/>
      <c r="E461" s="675"/>
      <c r="F461" s="653"/>
    </row>
    <row r="462" spans="2:6" x14ac:dyDescent="0.25">
      <c r="B462" s="651" t="s">
        <v>1242</v>
      </c>
      <c r="C462" s="653">
        <v>12700</v>
      </c>
      <c r="D462" s="675"/>
      <c r="E462" s="675"/>
      <c r="F462" s="653"/>
    </row>
    <row r="463" spans="2:6" x14ac:dyDescent="0.25">
      <c r="B463" s="651" t="s">
        <v>1407</v>
      </c>
      <c r="C463" s="653">
        <v>36006</v>
      </c>
      <c r="D463" s="675"/>
      <c r="E463" s="675"/>
      <c r="F463" s="653"/>
    </row>
    <row r="464" spans="2:6" x14ac:dyDescent="0.25">
      <c r="B464" s="651" t="s">
        <v>1511</v>
      </c>
      <c r="C464" s="653">
        <v>60000</v>
      </c>
      <c r="D464" s="675"/>
      <c r="E464" s="675"/>
      <c r="F464" s="653"/>
    </row>
    <row r="465" spans="2:6" x14ac:dyDescent="0.25">
      <c r="B465" s="651" t="s">
        <v>1393</v>
      </c>
      <c r="C465" s="653">
        <v>35405</v>
      </c>
      <c r="D465" s="675"/>
      <c r="E465" s="675"/>
      <c r="F465" s="653"/>
    </row>
    <row r="466" spans="2:6" x14ac:dyDescent="0.25">
      <c r="B466" s="651" t="s">
        <v>1391</v>
      </c>
      <c r="C466" s="653">
        <v>35400</v>
      </c>
      <c r="D466" s="675"/>
      <c r="E466" s="675"/>
      <c r="F466" s="653"/>
    </row>
    <row r="467" spans="2:6" x14ac:dyDescent="0.25">
      <c r="B467" s="651" t="s">
        <v>1333</v>
      </c>
      <c r="C467" s="653">
        <v>32910</v>
      </c>
      <c r="D467" s="675"/>
      <c r="E467" s="675"/>
      <c r="F467" s="653"/>
    </row>
    <row r="468" spans="2:6" x14ac:dyDescent="0.25">
      <c r="B468" s="651" t="s">
        <v>1394</v>
      </c>
      <c r="C468" s="653">
        <v>35500</v>
      </c>
      <c r="D468" s="675"/>
      <c r="E468" s="675"/>
      <c r="F468" s="653"/>
    </row>
    <row r="469" spans="2:6" x14ac:dyDescent="0.25">
      <c r="B469" s="651" t="s">
        <v>1237</v>
      </c>
      <c r="C469" s="653">
        <v>12150</v>
      </c>
      <c r="D469" s="675"/>
      <c r="E469" s="675"/>
      <c r="F469" s="653"/>
    </row>
    <row r="470" spans="2:6" x14ac:dyDescent="0.25">
      <c r="B470" s="651" t="s">
        <v>1395</v>
      </c>
      <c r="C470" s="653">
        <v>35600</v>
      </c>
      <c r="D470" s="675"/>
      <c r="E470" s="675"/>
      <c r="F470" s="653"/>
    </row>
    <row r="471" spans="2:6" x14ac:dyDescent="0.25">
      <c r="B471" s="651" t="s">
        <v>1396</v>
      </c>
      <c r="C471" s="653">
        <v>35700</v>
      </c>
      <c r="D471" s="675"/>
      <c r="E471" s="675"/>
      <c r="F471" s="653"/>
    </row>
    <row r="472" spans="2:6" x14ac:dyDescent="0.25">
      <c r="B472" s="651" t="s">
        <v>1398</v>
      </c>
      <c r="C472" s="653">
        <v>35805</v>
      </c>
      <c r="D472" s="675"/>
      <c r="E472" s="675"/>
      <c r="F472" s="653"/>
    </row>
    <row r="473" spans="2:6" x14ac:dyDescent="0.25">
      <c r="B473" s="651" t="s">
        <v>1397</v>
      </c>
      <c r="C473" s="653">
        <v>35800</v>
      </c>
      <c r="D473" s="675"/>
      <c r="E473" s="675"/>
      <c r="F473" s="653"/>
    </row>
    <row r="474" spans="2:6" x14ac:dyDescent="0.25">
      <c r="B474" s="651" t="s">
        <v>1413</v>
      </c>
      <c r="C474" s="653">
        <v>36105</v>
      </c>
      <c r="D474" s="675"/>
      <c r="E474" s="675"/>
      <c r="F474" s="653"/>
    </row>
    <row r="475" spans="2:6" x14ac:dyDescent="0.25">
      <c r="B475" s="651" t="s">
        <v>1399</v>
      </c>
      <c r="C475" s="653">
        <v>35900</v>
      </c>
      <c r="D475" s="675"/>
      <c r="E475" s="675"/>
      <c r="F475" s="653"/>
    </row>
    <row r="476" spans="2:6" x14ac:dyDescent="0.25">
      <c r="B476" s="651" t="s">
        <v>1400</v>
      </c>
      <c r="C476" s="653">
        <v>35905</v>
      </c>
      <c r="D476" s="675"/>
      <c r="E476" s="675"/>
      <c r="F476" s="653"/>
    </row>
    <row r="477" spans="2:6" x14ac:dyDescent="0.25">
      <c r="B477" s="651" t="s">
        <v>1474</v>
      </c>
      <c r="C477" s="653">
        <v>38602</v>
      </c>
      <c r="D477" s="675"/>
      <c r="E477" s="675"/>
      <c r="F477" s="653"/>
    </row>
    <row r="478" spans="2:6" x14ac:dyDescent="0.25">
      <c r="B478" s="651" t="s">
        <v>1381</v>
      </c>
      <c r="C478" s="653">
        <v>34905</v>
      </c>
      <c r="D478" s="675"/>
      <c r="E478" s="675"/>
      <c r="F478" s="653"/>
    </row>
    <row r="479" spans="2:6" x14ac:dyDescent="0.25">
      <c r="B479" s="651" t="s">
        <v>1411</v>
      </c>
      <c r="C479" s="653">
        <v>36100</v>
      </c>
      <c r="D479" s="675"/>
      <c r="E479" s="675"/>
      <c r="F479" s="653"/>
    </row>
    <row r="480" spans="2:6" x14ac:dyDescent="0.25">
      <c r="B480" s="651" t="s">
        <v>1415</v>
      </c>
      <c r="C480" s="653">
        <v>36205</v>
      </c>
      <c r="D480" s="675"/>
      <c r="E480" s="675"/>
      <c r="F480" s="653"/>
    </row>
    <row r="481" spans="2:6" x14ac:dyDescent="0.25">
      <c r="B481" s="651" t="s">
        <v>1414</v>
      </c>
      <c r="C481" s="653">
        <v>36200</v>
      </c>
      <c r="D481" s="675"/>
      <c r="E481" s="675"/>
      <c r="F481" s="653"/>
    </row>
    <row r="482" spans="2:6" x14ac:dyDescent="0.25">
      <c r="B482" s="651" t="s">
        <v>1416</v>
      </c>
      <c r="C482" s="653">
        <v>36300</v>
      </c>
      <c r="D482" s="675"/>
      <c r="E482" s="675"/>
      <c r="F482" s="653"/>
    </row>
    <row r="483" spans="2:6" x14ac:dyDescent="0.25">
      <c r="B483" s="651" t="s">
        <v>1382</v>
      </c>
      <c r="C483" s="653">
        <v>34910</v>
      </c>
      <c r="D483" s="675"/>
      <c r="E483" s="675"/>
      <c r="F483" s="653"/>
    </row>
    <row r="484" spans="2:6" x14ac:dyDescent="0.25">
      <c r="B484" s="651" t="s">
        <v>1476</v>
      </c>
      <c r="C484" s="653">
        <v>38610</v>
      </c>
      <c r="D484" s="675"/>
      <c r="E484" s="675"/>
      <c r="F484" s="653"/>
    </row>
    <row r="485" spans="2:6" x14ac:dyDescent="0.25">
      <c r="B485" s="651" t="s">
        <v>1372</v>
      </c>
      <c r="C485" s="653">
        <v>34501</v>
      </c>
      <c r="D485" s="675"/>
      <c r="E485" s="675"/>
      <c r="F485" s="653"/>
    </row>
    <row r="486" spans="2:6" x14ac:dyDescent="0.25">
      <c r="B486" s="651" t="s">
        <v>1479</v>
      </c>
      <c r="C486" s="653">
        <v>38701</v>
      </c>
      <c r="D486" s="675"/>
      <c r="E486" s="675"/>
      <c r="F486" s="653"/>
    </row>
    <row r="487" spans="2:6" x14ac:dyDescent="0.25">
      <c r="B487" s="651" t="s">
        <v>1259</v>
      </c>
      <c r="C487" s="653">
        <v>20700</v>
      </c>
      <c r="D487" s="675"/>
      <c r="E487" s="675"/>
      <c r="F487" s="653"/>
    </row>
    <row r="488" spans="2:6" x14ac:dyDescent="0.25">
      <c r="B488" s="651" t="s">
        <v>1250</v>
      </c>
      <c r="C488" s="653">
        <v>18740</v>
      </c>
      <c r="D488" s="675"/>
      <c r="E488" s="675"/>
      <c r="F488" s="653"/>
    </row>
    <row r="489" spans="2:6" x14ac:dyDescent="0.25">
      <c r="B489" s="651" t="s">
        <v>1260</v>
      </c>
      <c r="C489" s="653">
        <v>20800</v>
      </c>
      <c r="D489" s="675"/>
      <c r="E489" s="675"/>
      <c r="F489" s="653"/>
    </row>
    <row r="490" spans="2:6" x14ac:dyDescent="0.25">
      <c r="B490" s="651" t="s">
        <v>1233</v>
      </c>
      <c r="C490" s="653">
        <v>11310</v>
      </c>
      <c r="D490" s="675"/>
      <c r="E490" s="675"/>
      <c r="F490" s="653"/>
    </row>
    <row r="491" spans="2:6" x14ac:dyDescent="0.25">
      <c r="B491" s="651" t="s">
        <v>1249</v>
      </c>
      <c r="C491" s="653">
        <v>18690</v>
      </c>
      <c r="D491" s="675"/>
      <c r="E491" s="675"/>
      <c r="F491" s="653"/>
    </row>
    <row r="492" spans="2:6" x14ac:dyDescent="0.25">
      <c r="B492" s="651" t="s">
        <v>1231</v>
      </c>
      <c r="C492" s="653">
        <v>10950</v>
      </c>
      <c r="D492" s="675"/>
      <c r="E492" s="675"/>
      <c r="F492" s="653"/>
    </row>
    <row r="493" spans="2:6" x14ac:dyDescent="0.25">
      <c r="B493" s="651" t="s">
        <v>1255</v>
      </c>
      <c r="C493" s="653">
        <v>20200</v>
      </c>
      <c r="D493" s="675"/>
      <c r="E493" s="675"/>
      <c r="F493" s="653"/>
    </row>
    <row r="494" spans="2:6" x14ac:dyDescent="0.25">
      <c r="B494" s="651" t="s">
        <v>1251</v>
      </c>
      <c r="C494" s="653">
        <v>18780</v>
      </c>
      <c r="D494" s="675"/>
      <c r="E494" s="675"/>
      <c r="F494" s="653"/>
    </row>
    <row r="495" spans="2:6" x14ac:dyDescent="0.25">
      <c r="B495" s="651" t="s">
        <v>1263</v>
      </c>
      <c r="C495" s="653">
        <v>21300</v>
      </c>
      <c r="D495" s="675"/>
      <c r="E495" s="675"/>
      <c r="F495" s="653"/>
    </row>
    <row r="496" spans="2:6" x14ac:dyDescent="0.25">
      <c r="B496" s="651" t="s">
        <v>1168</v>
      </c>
      <c r="C496" s="653">
        <v>37001</v>
      </c>
      <c r="D496" s="675"/>
      <c r="E496" s="675"/>
      <c r="F496" s="653"/>
    </row>
    <row r="497" spans="2:6" x14ac:dyDescent="0.25">
      <c r="B497" s="651" t="s">
        <v>1336</v>
      </c>
      <c r="C497" s="653">
        <v>33001</v>
      </c>
      <c r="D497" s="675"/>
      <c r="E497" s="675"/>
      <c r="F497" s="653"/>
    </row>
    <row r="498" spans="2:6" x14ac:dyDescent="0.25">
      <c r="B498" s="651" t="s">
        <v>1422</v>
      </c>
      <c r="C498" s="653">
        <v>36405</v>
      </c>
      <c r="D498" s="675"/>
      <c r="E498" s="675"/>
      <c r="F498" s="653"/>
    </row>
    <row r="499" spans="2:6" x14ac:dyDescent="0.25">
      <c r="B499" s="651" t="s">
        <v>1421</v>
      </c>
      <c r="C499" s="653">
        <v>36400</v>
      </c>
      <c r="D499" s="675"/>
      <c r="E499" s="675"/>
      <c r="F499" s="653"/>
    </row>
    <row r="500" spans="2:6" x14ac:dyDescent="0.25">
      <c r="B500" s="651" t="s">
        <v>1509</v>
      </c>
      <c r="C500" s="653">
        <v>51000.1</v>
      </c>
      <c r="D500" s="675"/>
      <c r="E500" s="675"/>
      <c r="F500" s="653"/>
    </row>
    <row r="501" spans="2:6" x14ac:dyDescent="0.25">
      <c r="B501" s="651" t="s">
        <v>1510</v>
      </c>
      <c r="C501" s="653">
        <v>51000.2</v>
      </c>
      <c r="D501" s="675"/>
      <c r="E501" s="675"/>
      <c r="F501" s="653"/>
    </row>
    <row r="502" spans="2:6" x14ac:dyDescent="0.25">
      <c r="B502" s="651" t="s">
        <v>1387</v>
      </c>
      <c r="C502" s="653">
        <v>35106</v>
      </c>
      <c r="D502" s="675"/>
      <c r="E502" s="675"/>
      <c r="F502" s="653"/>
    </row>
    <row r="503" spans="2:6" x14ac:dyDescent="0.25">
      <c r="B503" s="651" t="s">
        <v>1324</v>
      </c>
      <c r="C503" s="653">
        <v>32500</v>
      </c>
      <c r="D503" s="675"/>
      <c r="E503" s="675"/>
      <c r="F503" s="653"/>
    </row>
    <row r="504" spans="2:6" x14ac:dyDescent="0.25">
      <c r="B504" s="651" t="s">
        <v>1423</v>
      </c>
      <c r="C504" s="653">
        <v>36500</v>
      </c>
      <c r="D504" s="675"/>
      <c r="E504" s="675"/>
      <c r="F504" s="653"/>
    </row>
    <row r="505" spans="2:6" x14ac:dyDescent="0.25">
      <c r="B505" s="651" t="s">
        <v>1313</v>
      </c>
      <c r="C505" s="653">
        <v>31820</v>
      </c>
      <c r="D505" s="675"/>
      <c r="E505" s="675"/>
      <c r="F505" s="653"/>
    </row>
    <row r="506" spans="2:6" x14ac:dyDescent="0.25">
      <c r="B506" s="651" t="s">
        <v>1221</v>
      </c>
      <c r="C506" s="653">
        <v>10200</v>
      </c>
      <c r="D506" s="675"/>
      <c r="E506" s="675"/>
      <c r="F506" s="653"/>
    </row>
    <row r="507" spans="2:6" x14ac:dyDescent="0.25">
      <c r="B507" s="651" t="s">
        <v>1427</v>
      </c>
      <c r="C507" s="653">
        <v>36600</v>
      </c>
      <c r="D507" s="675"/>
      <c r="E507" s="675"/>
      <c r="F507" s="653"/>
    </row>
    <row r="508" spans="2:6" x14ac:dyDescent="0.25">
      <c r="B508" s="651" t="s">
        <v>1226</v>
      </c>
      <c r="C508" s="653">
        <v>10850</v>
      </c>
      <c r="D508" s="675"/>
      <c r="E508" s="675"/>
      <c r="F508" s="653"/>
    </row>
    <row r="509" spans="2:6" x14ac:dyDescent="0.25">
      <c r="B509" s="651" t="s">
        <v>1228</v>
      </c>
      <c r="C509" s="653">
        <v>10910</v>
      </c>
      <c r="D509" s="675"/>
      <c r="E509" s="675"/>
      <c r="F509" s="653"/>
    </row>
    <row r="510" spans="2:6" x14ac:dyDescent="0.25">
      <c r="B510" s="651" t="s">
        <v>1230</v>
      </c>
      <c r="C510" s="653">
        <v>10940</v>
      </c>
      <c r="D510" s="675"/>
      <c r="E510" s="675"/>
      <c r="F510" s="653"/>
    </row>
    <row r="511" spans="2:6" x14ac:dyDescent="0.25">
      <c r="B511" s="651" t="s">
        <v>1429</v>
      </c>
      <c r="C511" s="653">
        <v>36700</v>
      </c>
      <c r="D511" s="675"/>
      <c r="E511" s="675"/>
      <c r="F511" s="653"/>
    </row>
    <row r="512" spans="2:6" x14ac:dyDescent="0.25">
      <c r="B512" s="651" t="s">
        <v>1433</v>
      </c>
      <c r="C512" s="653">
        <v>36802</v>
      </c>
      <c r="D512" s="675"/>
      <c r="E512" s="675"/>
      <c r="F512" s="653"/>
    </row>
    <row r="513" spans="2:6" x14ac:dyDescent="0.25">
      <c r="B513" s="651" t="s">
        <v>1432</v>
      </c>
      <c r="C513" s="653">
        <v>36800</v>
      </c>
      <c r="D513" s="675"/>
      <c r="E513" s="675"/>
      <c r="F513" s="653"/>
    </row>
    <row r="514" spans="2:6" x14ac:dyDescent="0.25">
      <c r="B514" s="651" t="s">
        <v>1437</v>
      </c>
      <c r="C514" s="653">
        <v>36905</v>
      </c>
      <c r="D514" s="675"/>
      <c r="E514" s="675"/>
      <c r="F514" s="653"/>
    </row>
    <row r="515" spans="2:6" x14ac:dyDescent="0.25">
      <c r="B515" s="651" t="s">
        <v>1435</v>
      </c>
      <c r="C515" s="653">
        <v>36900</v>
      </c>
      <c r="D515" s="675"/>
      <c r="E515" s="675"/>
      <c r="F515" s="653"/>
    </row>
    <row r="516" spans="2:6" x14ac:dyDescent="0.25">
      <c r="B516" s="651" t="s">
        <v>1440</v>
      </c>
      <c r="C516" s="653">
        <v>37100</v>
      </c>
      <c r="D516" s="675"/>
      <c r="E516" s="675"/>
      <c r="F516" s="653"/>
    </row>
    <row r="517" spans="2:6" x14ac:dyDescent="0.25">
      <c r="B517" s="651" t="s">
        <v>1441</v>
      </c>
      <c r="C517" s="653">
        <v>37200</v>
      </c>
      <c r="D517" s="675"/>
      <c r="E517" s="675"/>
      <c r="F517" s="653"/>
    </row>
    <row r="518" spans="2:6" x14ac:dyDescent="0.25">
      <c r="B518" s="651" t="s">
        <v>1442</v>
      </c>
      <c r="C518" s="653">
        <v>37300</v>
      </c>
      <c r="D518" s="675"/>
      <c r="E518" s="675"/>
      <c r="F518" s="653"/>
    </row>
    <row r="519" spans="2:6" x14ac:dyDescent="0.25">
      <c r="B519" s="651" t="s">
        <v>1444</v>
      </c>
      <c r="C519" s="653">
        <v>37305</v>
      </c>
      <c r="D519" s="675"/>
      <c r="E519" s="675"/>
      <c r="F519" s="653"/>
    </row>
    <row r="520" spans="2:6" x14ac:dyDescent="0.25">
      <c r="B520" s="651" t="s">
        <v>1409</v>
      </c>
      <c r="C520" s="653">
        <v>36008</v>
      </c>
      <c r="D520" s="675"/>
      <c r="E520" s="675"/>
      <c r="F520" s="653"/>
    </row>
    <row r="521" spans="2:6" x14ac:dyDescent="0.25">
      <c r="B521" s="651" t="s">
        <v>1502</v>
      </c>
      <c r="C521" s="653">
        <v>39703</v>
      </c>
      <c r="D521" s="675"/>
      <c r="E521" s="675"/>
      <c r="F521" s="653"/>
    </row>
    <row r="522" spans="2:6" x14ac:dyDescent="0.25">
      <c r="B522" s="651" t="s">
        <v>1348</v>
      </c>
      <c r="C522" s="653">
        <v>33209</v>
      </c>
      <c r="D522" s="675"/>
      <c r="E522" s="675"/>
      <c r="F522" s="653"/>
    </row>
    <row r="523" spans="2:6" x14ac:dyDescent="0.25">
      <c r="B523" s="651" t="s">
        <v>1446</v>
      </c>
      <c r="C523" s="653">
        <v>37405</v>
      </c>
      <c r="D523" s="675"/>
      <c r="E523" s="675"/>
      <c r="F523" s="653"/>
    </row>
    <row r="524" spans="2:6" x14ac:dyDescent="0.25">
      <c r="B524" s="651" t="s">
        <v>1445</v>
      </c>
      <c r="C524" s="653">
        <v>37400</v>
      </c>
      <c r="D524" s="675"/>
      <c r="E524" s="675"/>
      <c r="F524" s="653"/>
    </row>
    <row r="525" spans="2:6" x14ac:dyDescent="0.25">
      <c r="B525" s="651" t="s">
        <v>1447</v>
      </c>
      <c r="C525" s="653">
        <v>37500</v>
      </c>
      <c r="D525" s="675"/>
      <c r="E525" s="675"/>
      <c r="F525" s="653"/>
    </row>
    <row r="526" spans="2:6" x14ac:dyDescent="0.25">
      <c r="B526" s="651" t="s">
        <v>1450</v>
      </c>
      <c r="C526" s="653">
        <v>37605</v>
      </c>
      <c r="D526" s="675"/>
      <c r="E526" s="675"/>
      <c r="F526" s="653"/>
    </row>
    <row r="527" spans="2:6" x14ac:dyDescent="0.25">
      <c r="B527" s="651" t="s">
        <v>1448</v>
      </c>
      <c r="C527" s="653">
        <v>37600</v>
      </c>
      <c r="D527" s="675"/>
      <c r="E527" s="675"/>
      <c r="F527" s="653"/>
    </row>
    <row r="528" spans="2:6" x14ac:dyDescent="0.25">
      <c r="B528" s="651" t="s">
        <v>1243</v>
      </c>
      <c r="C528" s="653">
        <v>13500</v>
      </c>
      <c r="D528" s="675"/>
      <c r="E528" s="675"/>
      <c r="F528" s="653"/>
    </row>
    <row r="529" spans="2:6" x14ac:dyDescent="0.25">
      <c r="B529" s="651" t="s">
        <v>1452</v>
      </c>
      <c r="C529" s="653">
        <v>37700</v>
      </c>
      <c r="D529" s="675"/>
      <c r="E529" s="675"/>
      <c r="F529" s="653"/>
    </row>
    <row r="530" spans="2:6" x14ac:dyDescent="0.25">
      <c r="B530" s="651" t="s">
        <v>1453</v>
      </c>
      <c r="C530" s="653">
        <v>37705</v>
      </c>
      <c r="D530" s="675"/>
      <c r="E530" s="675"/>
      <c r="F530" s="653"/>
    </row>
    <row r="531" spans="2:6" x14ac:dyDescent="0.25">
      <c r="B531" s="651" t="s">
        <v>1277</v>
      </c>
      <c r="C531" s="653">
        <v>30103</v>
      </c>
      <c r="D531" s="675"/>
      <c r="E531" s="675"/>
      <c r="F531" s="653"/>
    </row>
    <row r="532" spans="2:6" x14ac:dyDescent="0.25">
      <c r="B532" s="651" t="s">
        <v>1366</v>
      </c>
      <c r="C532" s="653">
        <v>34220</v>
      </c>
      <c r="D532" s="675"/>
      <c r="E532" s="675"/>
      <c r="F532" s="653"/>
    </row>
    <row r="533" spans="2:6" x14ac:dyDescent="0.25">
      <c r="B533" s="651" t="s">
        <v>1375</v>
      </c>
      <c r="C533" s="653">
        <v>34605</v>
      </c>
      <c r="D533" s="675"/>
      <c r="E533" s="675"/>
      <c r="F533" s="653"/>
    </row>
    <row r="534" spans="2:6" x14ac:dyDescent="0.25">
      <c r="B534" s="651" t="s">
        <v>1456</v>
      </c>
      <c r="C534" s="653">
        <v>37805</v>
      </c>
      <c r="D534" s="675"/>
      <c r="E534" s="675"/>
      <c r="F534" s="653"/>
    </row>
    <row r="535" spans="2:6" x14ac:dyDescent="0.25">
      <c r="B535" s="651" t="s">
        <v>1454</v>
      </c>
      <c r="C535" s="653">
        <v>37800</v>
      </c>
      <c r="D535" s="675"/>
      <c r="E535" s="675"/>
      <c r="F535" s="653"/>
    </row>
    <row r="536" spans="2:6" x14ac:dyDescent="0.25">
      <c r="B536" s="651" t="s">
        <v>1459</v>
      </c>
      <c r="C536" s="653">
        <v>37905</v>
      </c>
      <c r="D536" s="675"/>
      <c r="E536" s="675"/>
      <c r="F536" s="653"/>
    </row>
    <row r="537" spans="2:6" x14ac:dyDescent="0.25">
      <c r="B537" s="651" t="s">
        <v>1457</v>
      </c>
      <c r="C537" s="653">
        <v>37900</v>
      </c>
      <c r="D537" s="675"/>
      <c r="E537" s="675"/>
      <c r="F537" s="653"/>
    </row>
    <row r="538" spans="2:6" x14ac:dyDescent="0.25">
      <c r="B538" s="651" t="s">
        <v>1461</v>
      </c>
      <c r="C538" s="653">
        <v>38005</v>
      </c>
      <c r="D538" s="675"/>
      <c r="E538" s="675"/>
      <c r="F538" s="653"/>
    </row>
    <row r="539" spans="2:6" x14ac:dyDescent="0.25">
      <c r="B539" s="651" t="s">
        <v>1460</v>
      </c>
      <c r="C539" s="653">
        <v>38000</v>
      </c>
      <c r="D539" s="675"/>
      <c r="E539" s="675"/>
      <c r="F539" s="653"/>
    </row>
    <row r="540" spans="2:6" x14ac:dyDescent="0.25">
      <c r="B540" s="651" t="s">
        <v>1443</v>
      </c>
      <c r="C540" s="653">
        <v>37301</v>
      </c>
      <c r="D540" s="675"/>
      <c r="E540" s="675"/>
      <c r="F540" s="653"/>
    </row>
    <row r="541" spans="2:6" x14ac:dyDescent="0.25">
      <c r="B541" s="651" t="s">
        <v>1516</v>
      </c>
      <c r="C541" s="653">
        <v>98101</v>
      </c>
      <c r="D541" s="675"/>
      <c r="E541" s="675"/>
      <c r="F541" s="653"/>
    </row>
    <row r="542" spans="2:6" x14ac:dyDescent="0.25">
      <c r="B542" s="651" t="s">
        <v>1462</v>
      </c>
      <c r="C542" s="653">
        <v>38100</v>
      </c>
      <c r="D542" s="675"/>
      <c r="E542" s="675"/>
      <c r="F542" s="653"/>
    </row>
    <row r="543" spans="2:6" x14ac:dyDescent="0.25">
      <c r="B543" s="651" t="s">
        <v>1517</v>
      </c>
      <c r="C543" s="653">
        <v>98103</v>
      </c>
      <c r="D543" s="675"/>
      <c r="E543" s="675"/>
      <c r="F543" s="653"/>
    </row>
    <row r="544" spans="2:6" x14ac:dyDescent="0.25">
      <c r="B544" s="651" t="s">
        <v>1465</v>
      </c>
      <c r="C544" s="653">
        <v>38205</v>
      </c>
      <c r="D544" s="675"/>
      <c r="E544" s="675"/>
      <c r="F544" s="653"/>
    </row>
    <row r="545" spans="2:6" x14ac:dyDescent="0.25">
      <c r="B545" s="651" t="s">
        <v>1464</v>
      </c>
      <c r="C545" s="653">
        <v>38200</v>
      </c>
      <c r="D545" s="675"/>
      <c r="E545" s="675"/>
      <c r="F545" s="653"/>
    </row>
    <row r="546" spans="2:6" x14ac:dyDescent="0.25">
      <c r="B546" s="651" t="s">
        <v>1419</v>
      </c>
      <c r="C546" s="653">
        <v>36305</v>
      </c>
      <c r="D546" s="675"/>
      <c r="E546" s="675"/>
      <c r="F546" s="653"/>
    </row>
    <row r="547" spans="2:6" x14ac:dyDescent="0.25">
      <c r="B547" s="651" t="s">
        <v>1389</v>
      </c>
      <c r="C547" s="653">
        <v>35300</v>
      </c>
      <c r="D547" s="675"/>
      <c r="E547" s="675"/>
      <c r="F547" s="653"/>
    </row>
    <row r="548" spans="2:6" x14ac:dyDescent="0.25">
      <c r="B548" s="651" t="s">
        <v>1467</v>
      </c>
      <c r="C548" s="653">
        <v>38300</v>
      </c>
      <c r="D548" s="675"/>
      <c r="E548" s="675"/>
      <c r="F548" s="653"/>
    </row>
    <row r="549" spans="2:6" x14ac:dyDescent="0.25">
      <c r="B549" s="651" t="s">
        <v>1244</v>
      </c>
      <c r="C549" s="653">
        <v>13700</v>
      </c>
      <c r="D549" s="675"/>
      <c r="E549" s="675"/>
      <c r="F549" s="653"/>
    </row>
    <row r="550" spans="2:6" x14ac:dyDescent="0.25">
      <c r="B550" s="651" t="s">
        <v>1408</v>
      </c>
      <c r="C550" s="653">
        <v>36007</v>
      </c>
      <c r="D550" s="675"/>
      <c r="E550" s="675"/>
      <c r="F550" s="653"/>
    </row>
    <row r="551" spans="2:6" x14ac:dyDescent="0.25">
      <c r="B551" s="651" t="s">
        <v>1283</v>
      </c>
      <c r="C551" s="653">
        <v>30405</v>
      </c>
      <c r="D551" s="675"/>
      <c r="E551" s="675"/>
      <c r="F551" s="653"/>
    </row>
    <row r="552" spans="2:6" x14ac:dyDescent="0.25">
      <c r="B552" s="651" t="s">
        <v>1455</v>
      </c>
      <c r="C552" s="653">
        <v>37801</v>
      </c>
      <c r="D552" s="675"/>
      <c r="E552" s="675"/>
      <c r="F552" s="653"/>
    </row>
    <row r="553" spans="2:6" x14ac:dyDescent="0.25">
      <c r="B553" s="651" t="s">
        <v>1322</v>
      </c>
      <c r="C553" s="653">
        <v>32405</v>
      </c>
      <c r="D553" s="675"/>
      <c r="E553" s="675"/>
      <c r="F553" s="653"/>
    </row>
    <row r="554" spans="2:6" x14ac:dyDescent="0.25">
      <c r="B554" s="651" t="s">
        <v>1489</v>
      </c>
      <c r="C554" s="653">
        <v>39204</v>
      </c>
      <c r="D554" s="675"/>
      <c r="E554" s="675"/>
      <c r="F554" s="653"/>
    </row>
    <row r="555" spans="2:6" x14ac:dyDescent="0.25">
      <c r="B555" s="651" t="s">
        <v>1384</v>
      </c>
      <c r="C555" s="653">
        <v>35005</v>
      </c>
      <c r="D555" s="675"/>
      <c r="E555" s="675"/>
      <c r="F555" s="653"/>
    </row>
    <row r="556" spans="2:6" x14ac:dyDescent="0.25">
      <c r="B556" s="651" t="s">
        <v>1470</v>
      </c>
      <c r="C556" s="653">
        <v>38405</v>
      </c>
      <c r="D556" s="675"/>
      <c r="E556" s="675"/>
      <c r="F556" s="653"/>
    </row>
    <row r="557" spans="2:6" x14ac:dyDescent="0.25">
      <c r="B557" s="651" t="s">
        <v>1468</v>
      </c>
      <c r="C557" s="653">
        <v>38400</v>
      </c>
      <c r="D557" s="675"/>
      <c r="E557" s="675"/>
      <c r="F557" s="653"/>
    </row>
    <row r="558" spans="2:6" x14ac:dyDescent="0.25">
      <c r="B558" s="651" t="s">
        <v>1418</v>
      </c>
      <c r="C558" s="653">
        <v>36302</v>
      </c>
      <c r="D558" s="675"/>
      <c r="E558" s="675"/>
      <c r="F558" s="653"/>
    </row>
    <row r="559" spans="2:6" x14ac:dyDescent="0.25">
      <c r="B559" s="651" t="s">
        <v>1223</v>
      </c>
      <c r="C559" s="653">
        <v>10500</v>
      </c>
      <c r="D559" s="675"/>
      <c r="E559" s="675"/>
      <c r="F559" s="653"/>
    </row>
    <row r="560" spans="2:6" x14ac:dyDescent="0.25">
      <c r="B560" s="651" t="s">
        <v>1235</v>
      </c>
      <c r="C560" s="653">
        <v>11900</v>
      </c>
      <c r="D560" s="675"/>
      <c r="E560" s="675"/>
      <c r="F560" s="653"/>
    </row>
    <row r="561" spans="2:6" ht="26.25" x14ac:dyDescent="0.25">
      <c r="B561" s="651" t="s">
        <v>1265</v>
      </c>
      <c r="C561" s="653">
        <v>21525.1</v>
      </c>
      <c r="D561" s="675"/>
      <c r="E561" s="675"/>
      <c r="F561" s="653"/>
    </row>
    <row r="562" spans="2:6" x14ac:dyDescent="0.25">
      <c r="B562" s="651" t="s">
        <v>1246</v>
      </c>
      <c r="C562" s="653">
        <v>14300.1</v>
      </c>
      <c r="D562" s="675"/>
      <c r="E562" s="675"/>
      <c r="F562" s="653"/>
    </row>
    <row r="563" spans="2:6" x14ac:dyDescent="0.25">
      <c r="B563" s="651" t="s">
        <v>1245</v>
      </c>
      <c r="C563" s="653">
        <v>14300</v>
      </c>
      <c r="D563" s="675"/>
      <c r="E563" s="675"/>
      <c r="F563" s="653"/>
    </row>
    <row r="564" spans="2:6" x14ac:dyDescent="0.25">
      <c r="B564" s="651" t="s">
        <v>1471</v>
      </c>
      <c r="C564" s="653">
        <v>38500</v>
      </c>
      <c r="D564" s="675"/>
      <c r="E564" s="675"/>
      <c r="F564" s="653"/>
    </row>
    <row r="565" spans="2:6" x14ac:dyDescent="0.25">
      <c r="B565" s="651" t="s">
        <v>1380</v>
      </c>
      <c r="C565" s="653">
        <v>34903</v>
      </c>
      <c r="D565" s="675"/>
      <c r="E565" s="675"/>
      <c r="F565" s="653"/>
    </row>
    <row r="566" spans="2:6" x14ac:dyDescent="0.25">
      <c r="B566" s="651" t="s">
        <v>1475</v>
      </c>
      <c r="C566" s="653">
        <v>38605</v>
      </c>
      <c r="D566" s="675"/>
      <c r="E566" s="675"/>
      <c r="F566" s="653"/>
    </row>
    <row r="567" spans="2:6" x14ac:dyDescent="0.25">
      <c r="B567" s="651" t="s">
        <v>1472</v>
      </c>
      <c r="C567" s="653">
        <v>38600</v>
      </c>
      <c r="D567" s="675"/>
      <c r="E567" s="675"/>
      <c r="F567" s="653"/>
    </row>
    <row r="568" spans="2:6" x14ac:dyDescent="0.25">
      <c r="B568" s="651" t="s">
        <v>1478</v>
      </c>
      <c r="C568" s="653">
        <v>38700</v>
      </c>
      <c r="D568" s="675"/>
      <c r="E568" s="675"/>
      <c r="F568" s="653"/>
    </row>
    <row r="569" spans="2:6" x14ac:dyDescent="0.25">
      <c r="B569" s="651" t="s">
        <v>1278</v>
      </c>
      <c r="C569" s="653">
        <v>30104</v>
      </c>
      <c r="D569" s="675"/>
      <c r="E569" s="675"/>
      <c r="F569" s="653"/>
    </row>
    <row r="570" spans="2:6" x14ac:dyDescent="0.25">
      <c r="B570" s="651" t="s">
        <v>1334</v>
      </c>
      <c r="C570" s="653">
        <v>32920</v>
      </c>
      <c r="D570" s="675"/>
      <c r="E570" s="675"/>
      <c r="F570" s="653"/>
    </row>
    <row r="571" spans="2:6" x14ac:dyDescent="0.25">
      <c r="B571" s="651" t="s">
        <v>1514</v>
      </c>
      <c r="C571" s="653">
        <v>91111</v>
      </c>
      <c r="D571" s="675"/>
      <c r="E571" s="675"/>
      <c r="F571" s="653"/>
    </row>
    <row r="572" spans="2:6" x14ac:dyDescent="0.25">
      <c r="B572" s="651" t="s">
        <v>1522</v>
      </c>
      <c r="C572" s="653">
        <v>99831</v>
      </c>
      <c r="D572" s="675"/>
      <c r="E572" s="675"/>
      <c r="F572" s="653"/>
    </row>
    <row r="573" spans="2:6" x14ac:dyDescent="0.25">
      <c r="B573" s="651" t="s">
        <v>1515</v>
      </c>
      <c r="C573" s="653">
        <v>91151</v>
      </c>
      <c r="D573" s="675"/>
      <c r="E573" s="675"/>
      <c r="F573" s="653"/>
    </row>
    <row r="574" spans="2:6" x14ac:dyDescent="0.25">
      <c r="B574" s="651" t="s">
        <v>1521</v>
      </c>
      <c r="C574" s="653">
        <v>99521</v>
      </c>
      <c r="D574" s="675"/>
      <c r="E574" s="675"/>
      <c r="F574" s="653"/>
    </row>
    <row r="575" spans="2:6" x14ac:dyDescent="0.25">
      <c r="B575" s="651" t="s">
        <v>1518</v>
      </c>
      <c r="C575" s="653">
        <v>98111</v>
      </c>
      <c r="D575" s="675"/>
      <c r="E575" s="675"/>
      <c r="F575" s="653"/>
    </row>
    <row r="576" spans="2:6" x14ac:dyDescent="0.25">
      <c r="B576" s="651" t="s">
        <v>1519</v>
      </c>
      <c r="C576" s="653">
        <v>98131</v>
      </c>
      <c r="D576" s="675"/>
      <c r="E576" s="675"/>
      <c r="F576" s="653"/>
    </row>
    <row r="577" spans="2:6" x14ac:dyDescent="0.25">
      <c r="B577" s="651" t="s">
        <v>1513</v>
      </c>
      <c r="C577" s="653">
        <v>91041</v>
      </c>
      <c r="D577" s="675"/>
      <c r="E577" s="675"/>
      <c r="F577" s="653"/>
    </row>
    <row r="578" spans="2:6" x14ac:dyDescent="0.25">
      <c r="B578" s="651" t="s">
        <v>1480</v>
      </c>
      <c r="C578" s="653">
        <v>38800</v>
      </c>
      <c r="D578" s="675"/>
      <c r="E578" s="675"/>
      <c r="F578" s="653"/>
    </row>
    <row r="579" spans="2:6" x14ac:dyDescent="0.25">
      <c r="B579" s="651" t="s">
        <v>1316</v>
      </c>
      <c r="C579" s="653">
        <v>32005</v>
      </c>
      <c r="D579" s="675"/>
      <c r="E579" s="675"/>
      <c r="F579" s="653"/>
    </row>
    <row r="580" spans="2:6" x14ac:dyDescent="0.25">
      <c r="B580" s="651" t="s">
        <v>1498</v>
      </c>
      <c r="C580" s="653">
        <v>39501</v>
      </c>
      <c r="D580" s="675"/>
      <c r="E580" s="675"/>
      <c r="F580" s="653"/>
    </row>
    <row r="581" spans="2:6" x14ac:dyDescent="0.25">
      <c r="B581" s="651" t="s">
        <v>1482</v>
      </c>
      <c r="C581" s="653">
        <v>38900</v>
      </c>
      <c r="D581" s="675"/>
      <c r="E581" s="675"/>
      <c r="F581" s="653"/>
    </row>
    <row r="582" spans="2:6" x14ac:dyDescent="0.25">
      <c r="B582" s="651" t="s">
        <v>1262</v>
      </c>
      <c r="C582" s="653">
        <v>21200</v>
      </c>
      <c r="D582" s="675"/>
      <c r="E582" s="675"/>
      <c r="F582" s="653"/>
    </row>
    <row r="583" spans="2:6" x14ac:dyDescent="0.25">
      <c r="B583" s="651" t="s">
        <v>1266</v>
      </c>
      <c r="C583" s="653">
        <v>21550</v>
      </c>
      <c r="D583" s="675"/>
      <c r="E583" s="675"/>
      <c r="F583" s="653"/>
    </row>
    <row r="584" spans="2:6" x14ac:dyDescent="0.25">
      <c r="B584" s="651" t="s">
        <v>836</v>
      </c>
      <c r="C584" s="653">
        <v>21520</v>
      </c>
      <c r="D584" s="675"/>
      <c r="E584" s="675"/>
      <c r="F584" s="653"/>
    </row>
    <row r="585" spans="2:6" x14ac:dyDescent="0.25">
      <c r="B585" s="651" t="s">
        <v>1264</v>
      </c>
      <c r="C585" s="653">
        <v>21525</v>
      </c>
      <c r="D585" s="675"/>
      <c r="E585" s="675"/>
      <c r="F585" s="653"/>
    </row>
    <row r="586" spans="2:6" x14ac:dyDescent="0.25">
      <c r="B586" s="651" t="s">
        <v>1483</v>
      </c>
      <c r="C586" s="653">
        <v>39000</v>
      </c>
      <c r="D586" s="675"/>
      <c r="E586" s="675"/>
      <c r="F586" s="653"/>
    </row>
    <row r="587" spans="2:6" x14ac:dyDescent="0.25">
      <c r="B587" s="651" t="s">
        <v>1271</v>
      </c>
      <c r="C587" s="653">
        <v>23000</v>
      </c>
      <c r="D587" s="675"/>
      <c r="E587" s="675"/>
      <c r="F587" s="653"/>
    </row>
    <row r="588" spans="2:6" x14ac:dyDescent="0.25">
      <c r="B588" s="651" t="s">
        <v>1272</v>
      </c>
      <c r="C588" s="653">
        <v>23100</v>
      </c>
      <c r="D588" s="675"/>
      <c r="E588" s="675"/>
      <c r="F588" s="653"/>
    </row>
    <row r="589" spans="2:6" x14ac:dyDescent="0.25">
      <c r="B589" s="651" t="s">
        <v>1261</v>
      </c>
      <c r="C589" s="653">
        <v>20900</v>
      </c>
      <c r="D589" s="675"/>
      <c r="E589" s="675"/>
      <c r="F589" s="653"/>
    </row>
    <row r="590" spans="2:6" x14ac:dyDescent="0.25">
      <c r="B590" s="651" t="s">
        <v>1273</v>
      </c>
      <c r="C590" s="653">
        <v>23200</v>
      </c>
      <c r="D590" s="675"/>
      <c r="E590" s="675"/>
      <c r="F590" s="653"/>
    </row>
    <row r="591" spans="2:6" x14ac:dyDescent="0.25">
      <c r="B591" s="651" t="s">
        <v>1267</v>
      </c>
      <c r="C591" s="653">
        <v>21570</v>
      </c>
      <c r="D591" s="675"/>
      <c r="E591" s="675"/>
      <c r="F591" s="653"/>
    </row>
    <row r="592" spans="2:6" x14ac:dyDescent="0.25">
      <c r="B592" s="651" t="s">
        <v>1449</v>
      </c>
      <c r="C592" s="653">
        <v>37601</v>
      </c>
      <c r="D592" s="675"/>
      <c r="E592" s="675"/>
      <c r="F592" s="653"/>
    </row>
    <row r="593" spans="2:6" x14ac:dyDescent="0.25">
      <c r="B593" s="651" t="s">
        <v>1485</v>
      </c>
      <c r="C593" s="653">
        <v>39101</v>
      </c>
      <c r="D593" s="675"/>
      <c r="E593" s="675"/>
      <c r="F593" s="653"/>
    </row>
    <row r="594" spans="2:6" x14ac:dyDescent="0.25">
      <c r="B594" s="651" t="s">
        <v>1484</v>
      </c>
      <c r="C594" s="653">
        <v>39100</v>
      </c>
      <c r="D594" s="675"/>
      <c r="E594" s="675"/>
      <c r="F594" s="653"/>
    </row>
    <row r="595" spans="2:6" x14ac:dyDescent="0.25">
      <c r="B595" s="651" t="s">
        <v>1486</v>
      </c>
      <c r="C595" s="653">
        <v>39105</v>
      </c>
      <c r="D595" s="675"/>
      <c r="E595" s="675"/>
      <c r="F595" s="653"/>
    </row>
    <row r="596" spans="2:6" x14ac:dyDescent="0.25">
      <c r="B596" s="651" t="s">
        <v>1343</v>
      </c>
      <c r="C596" s="653">
        <v>33204</v>
      </c>
      <c r="D596" s="675"/>
      <c r="E596" s="675"/>
      <c r="F596" s="653"/>
    </row>
    <row r="597" spans="2:6" x14ac:dyDescent="0.25">
      <c r="B597" s="651" t="s">
        <v>1487</v>
      </c>
      <c r="C597" s="653">
        <v>39200</v>
      </c>
      <c r="D597" s="675"/>
      <c r="E597" s="675"/>
      <c r="F597" s="653"/>
    </row>
    <row r="598" spans="2:6" x14ac:dyDescent="0.25">
      <c r="B598" s="651" t="s">
        <v>1490</v>
      </c>
      <c r="C598" s="653">
        <v>39205</v>
      </c>
      <c r="D598" s="675"/>
      <c r="E598" s="675"/>
      <c r="F598" s="653"/>
    </row>
    <row r="599" spans="2:6" x14ac:dyDescent="0.25">
      <c r="B599" s="651" t="s">
        <v>1493</v>
      </c>
      <c r="C599" s="653">
        <v>39300</v>
      </c>
      <c r="D599" s="675"/>
      <c r="E599" s="675"/>
      <c r="F599" s="653"/>
    </row>
    <row r="600" spans="2:6" x14ac:dyDescent="0.25">
      <c r="B600" s="651" t="s">
        <v>1520</v>
      </c>
      <c r="C600" s="653">
        <v>99401</v>
      </c>
      <c r="D600" s="675"/>
      <c r="E600" s="675"/>
      <c r="F600" s="653"/>
    </row>
    <row r="601" spans="2:6" x14ac:dyDescent="0.25">
      <c r="B601" s="651" t="s">
        <v>1495</v>
      </c>
      <c r="C601" s="653">
        <v>39400</v>
      </c>
      <c r="D601" s="675"/>
      <c r="E601" s="675"/>
      <c r="F601" s="653"/>
    </row>
    <row r="602" spans="2:6" x14ac:dyDescent="0.25">
      <c r="B602" s="651" t="s">
        <v>1497</v>
      </c>
      <c r="C602" s="653">
        <v>39500</v>
      </c>
      <c r="D602" s="675"/>
      <c r="E602" s="675"/>
      <c r="F602" s="653"/>
    </row>
    <row r="603" spans="2:6" x14ac:dyDescent="0.25">
      <c r="B603" s="651" t="s">
        <v>1500</v>
      </c>
      <c r="C603" s="653">
        <v>39605</v>
      </c>
      <c r="D603" s="675"/>
      <c r="E603" s="675"/>
      <c r="F603" s="653"/>
    </row>
    <row r="604" spans="2:6" x14ac:dyDescent="0.25">
      <c r="B604" s="651" t="s">
        <v>1499</v>
      </c>
      <c r="C604" s="653">
        <v>39600</v>
      </c>
      <c r="D604" s="675"/>
      <c r="E604" s="675"/>
      <c r="F604" s="653"/>
    </row>
    <row r="605" spans="2:6" x14ac:dyDescent="0.25">
      <c r="B605" s="651" t="s">
        <v>1367</v>
      </c>
      <c r="C605" s="653">
        <v>34230</v>
      </c>
      <c r="D605" s="675"/>
      <c r="E605" s="675"/>
      <c r="F605" s="653"/>
    </row>
    <row r="606" spans="2:6" x14ac:dyDescent="0.25">
      <c r="B606" s="651" t="s">
        <v>1268</v>
      </c>
      <c r="C606" s="653">
        <v>21800</v>
      </c>
      <c r="D606" s="675"/>
      <c r="E606" s="675"/>
      <c r="F606" s="653"/>
    </row>
    <row r="607" spans="2:6" x14ac:dyDescent="0.25">
      <c r="B607" s="651" t="s">
        <v>1300</v>
      </c>
      <c r="C607" s="653">
        <v>31205</v>
      </c>
      <c r="D607" s="675"/>
      <c r="E607" s="675"/>
      <c r="F607" s="653"/>
    </row>
    <row r="608" spans="2:6" x14ac:dyDescent="0.25">
      <c r="B608" s="651" t="s">
        <v>1323</v>
      </c>
      <c r="C608" s="653">
        <v>32410</v>
      </c>
      <c r="D608" s="675"/>
      <c r="E608" s="675"/>
      <c r="F608" s="653"/>
    </row>
    <row r="609" spans="2:6" x14ac:dyDescent="0.25">
      <c r="B609" s="651" t="s">
        <v>1234</v>
      </c>
      <c r="C609" s="653">
        <v>11600</v>
      </c>
      <c r="D609" s="675"/>
      <c r="E609" s="675"/>
      <c r="F609" s="653"/>
    </row>
    <row r="610" spans="2:6" x14ac:dyDescent="0.25">
      <c r="B610" s="651" t="s">
        <v>1503</v>
      </c>
      <c r="C610" s="653">
        <v>39705</v>
      </c>
      <c r="D610" s="675"/>
      <c r="E610" s="675"/>
      <c r="F610" s="653"/>
    </row>
    <row r="611" spans="2:6" x14ac:dyDescent="0.25">
      <c r="B611" s="651" t="s">
        <v>1501</v>
      </c>
      <c r="C611" s="653">
        <v>39700</v>
      </c>
      <c r="D611" s="675"/>
      <c r="E611" s="675"/>
      <c r="F611" s="653"/>
    </row>
    <row r="612" spans="2:6" x14ac:dyDescent="0.25">
      <c r="B612" s="651" t="s">
        <v>1425</v>
      </c>
      <c r="C612" s="653">
        <v>36502</v>
      </c>
      <c r="D612" s="675"/>
      <c r="E612" s="675"/>
      <c r="F612" s="653"/>
    </row>
    <row r="613" spans="2:6" x14ac:dyDescent="0.25">
      <c r="B613" s="651" t="s">
        <v>1505</v>
      </c>
      <c r="C613" s="653">
        <v>39805</v>
      </c>
      <c r="D613" s="675"/>
      <c r="E613" s="675"/>
      <c r="F613" s="653"/>
    </row>
    <row r="614" spans="2:6" x14ac:dyDescent="0.25">
      <c r="B614" s="651" t="s">
        <v>1504</v>
      </c>
      <c r="C614" s="653">
        <v>39800</v>
      </c>
      <c r="D614" s="675"/>
      <c r="E614" s="675"/>
      <c r="F614" s="653"/>
    </row>
    <row r="615" spans="2:6" x14ac:dyDescent="0.25">
      <c r="B615" s="651" t="s">
        <v>1269</v>
      </c>
      <c r="C615" s="653">
        <v>21900</v>
      </c>
      <c r="D615" s="675"/>
      <c r="E615" s="675"/>
      <c r="F615" s="653"/>
    </row>
    <row r="616" spans="2:6" x14ac:dyDescent="0.25">
      <c r="B616" s="651" t="s">
        <v>1351</v>
      </c>
      <c r="C616" s="653">
        <v>33400</v>
      </c>
      <c r="D616" s="675"/>
      <c r="E616" s="675"/>
      <c r="F616" s="653"/>
    </row>
    <row r="617" spans="2:6" x14ac:dyDescent="0.25">
      <c r="B617" s="651" t="s">
        <v>1506</v>
      </c>
      <c r="C617" s="653">
        <v>39900</v>
      </c>
      <c r="D617" s="675"/>
      <c r="E617" s="675"/>
      <c r="F617" s="653"/>
    </row>
    <row r="618" spans="2:6" x14ac:dyDescent="0.25">
      <c r="B618" s="651" t="s">
        <v>1274</v>
      </c>
      <c r="C618" s="653">
        <v>30000</v>
      </c>
      <c r="D618" s="675"/>
      <c r="E618" s="675"/>
      <c r="F618" s="653"/>
    </row>
    <row r="619" spans="2:6" x14ac:dyDescent="0.25">
      <c r="B619" s="651" t="s">
        <v>1430</v>
      </c>
      <c r="C619" s="653">
        <v>36701</v>
      </c>
      <c r="D619" s="675"/>
      <c r="E619" s="675"/>
      <c r="F619" s="653"/>
    </row>
    <row r="620" spans="2:6" x14ac:dyDescent="0.25">
      <c r="B620" s="651" t="s">
        <v>1163</v>
      </c>
      <c r="C620" s="679" t="s">
        <v>1525</v>
      </c>
      <c r="D620" s="675"/>
      <c r="E620" s="675"/>
      <c r="F620" s="653"/>
    </row>
    <row r="621" spans="2:6" x14ac:dyDescent="0.25">
      <c r="B621" s="651"/>
      <c r="C621" s="675"/>
      <c r="D621" s="675"/>
      <c r="E621" s="675"/>
      <c r="F621" s="653"/>
    </row>
  </sheetData>
  <autoFilter ref="A4:AD312" xr:uid="{00000000-0009-0000-0000-000010000000}"/>
  <mergeCells count="4">
    <mergeCell ref="A1:B2"/>
    <mergeCell ref="I3:L3"/>
    <mergeCell ref="N3:R3"/>
    <mergeCell ref="T3:V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3" max="16383" man="1"/>
  </rowBreaks>
  <colBreaks count="1" manualBreakCount="1">
    <brk id="10"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E452"/>
  <sheetViews>
    <sheetView workbookViewId="0">
      <selection activeCell="A11" sqref="A11"/>
    </sheetView>
  </sheetViews>
  <sheetFormatPr defaultRowHeight="12.75" x14ac:dyDescent="0.2"/>
  <cols>
    <col min="1" max="1" width="2.28515625" customWidth="1"/>
    <col min="2" max="2" width="2.85546875" customWidth="1"/>
    <col min="3" max="3" width="31" customWidth="1"/>
    <col min="4" max="4" width="25.5703125" customWidth="1"/>
    <col min="5" max="5" width="11.85546875" style="1" customWidth="1"/>
    <col min="6" max="6" width="12.28515625" style="1" customWidth="1"/>
    <col min="7" max="7" width="13.85546875" style="5" customWidth="1"/>
    <col min="8" max="8" width="12.28515625" style="5" customWidth="1"/>
    <col min="9" max="9" width="9.7109375" style="5" customWidth="1"/>
    <col min="10" max="10" width="8.7109375" style="5" customWidth="1"/>
    <col min="11" max="12" width="10.28515625" style="162" customWidth="1"/>
    <col min="13" max="13" width="8.5703125" style="5" customWidth="1"/>
    <col min="14" max="14" width="8.42578125" style="5" customWidth="1"/>
    <col min="15" max="15" width="14.7109375" style="5" customWidth="1"/>
    <col min="16" max="16" width="11.28515625" style="5" customWidth="1"/>
    <col min="17" max="17" width="9" customWidth="1"/>
    <col min="18" max="18" width="8.28515625" customWidth="1"/>
    <col min="19" max="19" width="6.7109375" customWidth="1"/>
    <col min="20" max="20" width="9.42578125" customWidth="1"/>
    <col min="21" max="21" width="9.7109375" customWidth="1"/>
    <col min="22" max="22" width="11.28515625" style="5" customWidth="1"/>
    <col min="23" max="23" width="12.42578125" style="5" customWidth="1"/>
    <col min="24" max="24" width="12.42578125" customWidth="1"/>
    <col min="25" max="25" width="14.7109375" customWidth="1"/>
    <col min="26" max="26" width="13.7109375" customWidth="1"/>
    <col min="27" max="27" width="14.7109375" style="5" customWidth="1"/>
    <col min="28" max="28" width="12.28515625" style="5" customWidth="1"/>
    <col min="29" max="29" width="4.85546875" style="143" customWidth="1"/>
    <col min="30" max="30" width="12.28515625" style="36" customWidth="1"/>
    <col min="31" max="31" width="2.140625" customWidth="1"/>
    <col min="32" max="32" width="4.42578125" style="143" customWidth="1"/>
    <col min="33" max="33" width="12.28515625" style="36" customWidth="1"/>
    <col min="34" max="34" width="3.5703125" style="143" customWidth="1"/>
    <col min="35" max="35" width="11.42578125" customWidth="1"/>
    <col min="36" max="36" width="4.7109375" style="143" customWidth="1"/>
    <col min="37" max="37" width="11.7109375" customWidth="1"/>
    <col min="38" max="38" width="22.140625" customWidth="1"/>
    <col min="39" max="39" width="12.140625" customWidth="1"/>
    <col min="40" max="41" width="12.42578125" style="78" customWidth="1"/>
    <col min="42" max="43" width="12.5703125" customWidth="1"/>
    <col min="44" max="44" width="12.85546875" customWidth="1"/>
    <col min="45" max="45" width="11.28515625" bestFit="1" customWidth="1"/>
    <col min="46" max="46" width="11.85546875" bestFit="1" customWidth="1"/>
    <col min="47" max="47" width="14.140625" customWidth="1"/>
  </cols>
  <sheetData>
    <row r="1" spans="1:50" ht="25.5" customHeight="1" x14ac:dyDescent="0.2">
      <c r="C1" s="244"/>
      <c r="D1" s="244"/>
      <c r="E1" s="1043" t="s">
        <v>620</v>
      </c>
      <c r="F1" s="1044"/>
      <c r="G1" s="1045"/>
      <c r="H1" s="1045"/>
      <c r="I1" s="1045"/>
      <c r="J1" s="1045"/>
      <c r="K1" s="1045"/>
      <c r="L1" s="1046"/>
      <c r="M1" s="208"/>
      <c r="N1" s="181"/>
      <c r="O1" s="173" t="s">
        <v>620</v>
      </c>
      <c r="P1" s="208"/>
      <c r="Q1" s="183"/>
      <c r="R1" s="123"/>
      <c r="S1" s="123"/>
      <c r="T1" s="123"/>
      <c r="U1" s="1054" t="s">
        <v>678</v>
      </c>
      <c r="V1" s="1055"/>
      <c r="W1" s="1047" t="s">
        <v>680</v>
      </c>
      <c r="X1" s="1048"/>
      <c r="Y1" s="297" t="s">
        <v>323</v>
      </c>
      <c r="Z1" s="301" t="s">
        <v>324</v>
      </c>
      <c r="AA1" s="297" t="s">
        <v>323</v>
      </c>
      <c r="AB1" s="298"/>
      <c r="AC1" s="1027" t="s">
        <v>223</v>
      </c>
      <c r="AD1" s="1028"/>
      <c r="AE1" s="1028"/>
      <c r="AF1" s="1028"/>
      <c r="AG1" s="1029"/>
      <c r="AH1" s="1033" t="s">
        <v>156</v>
      </c>
      <c r="AI1" s="1034"/>
      <c r="AJ1" s="1034"/>
      <c r="AK1" s="1035"/>
      <c r="AL1" s="224" t="s">
        <v>677</v>
      </c>
      <c r="AM1" s="225"/>
      <c r="AN1" s="193"/>
      <c r="AO1" s="194"/>
    </row>
    <row r="2" spans="1:50" ht="39" thickBot="1" x14ac:dyDescent="0.25">
      <c r="C2" s="47" t="s">
        <v>368</v>
      </c>
      <c r="D2" s="47"/>
      <c r="E2" s="174"/>
      <c r="F2" s="175"/>
      <c r="G2" s="176"/>
      <c r="H2" s="176"/>
      <c r="I2" s="176"/>
      <c r="J2" s="176"/>
      <c r="K2" s="177"/>
      <c r="L2" s="177"/>
      <c r="M2" s="179"/>
      <c r="N2" s="178"/>
      <c r="O2" s="226"/>
      <c r="P2" s="115"/>
      <c r="Q2" s="116"/>
      <c r="R2" s="116"/>
      <c r="S2" s="116"/>
      <c r="T2" s="116"/>
      <c r="U2" s="1056"/>
      <c r="V2" s="1057"/>
      <c r="W2" s="1049"/>
      <c r="X2" s="1050"/>
      <c r="Y2" s="578" t="s">
        <v>1653</v>
      </c>
      <c r="Z2" s="300"/>
      <c r="AA2" s="1039" t="s">
        <v>523</v>
      </c>
      <c r="AB2" s="1040"/>
      <c r="AC2" s="1030" t="s">
        <v>1661</v>
      </c>
      <c r="AD2" s="1031"/>
      <c r="AE2" s="1031"/>
      <c r="AF2" s="1031"/>
      <c r="AG2" s="1032"/>
      <c r="AH2" s="1036"/>
      <c r="AI2" s="1037"/>
      <c r="AJ2" s="1037"/>
      <c r="AK2" s="1038"/>
      <c r="AL2" s="1041" t="s">
        <v>157</v>
      </c>
      <c r="AM2" s="1042"/>
      <c r="AN2" s="195">
        <f>AN253+AN263</f>
        <v>0</v>
      </c>
      <c r="AO2" s="196"/>
    </row>
    <row r="3" spans="1:50" ht="17.25" customHeight="1" x14ac:dyDescent="0.2">
      <c r="C3" s="47" t="s">
        <v>339</v>
      </c>
      <c r="D3" s="47"/>
      <c r="E3" s="1060" t="s">
        <v>377</v>
      </c>
      <c r="F3" s="1061"/>
      <c r="G3" s="1062"/>
      <c r="H3" s="1062"/>
      <c r="I3" s="1062"/>
      <c r="J3" s="1062"/>
      <c r="K3" s="1062"/>
      <c r="L3" s="1062"/>
      <c r="M3" s="180"/>
      <c r="N3" s="182"/>
      <c r="O3" s="1051" t="s">
        <v>460</v>
      </c>
      <c r="P3" s="1052"/>
      <c r="Q3" s="1052"/>
      <c r="R3" s="1052"/>
      <c r="S3" s="1052"/>
      <c r="T3" s="1053"/>
      <c r="U3" s="294"/>
      <c r="V3" s="350"/>
      <c r="W3" s="1077" t="s">
        <v>461</v>
      </c>
      <c r="X3" s="1084"/>
      <c r="Y3" s="1088" t="s">
        <v>1160</v>
      </c>
      <c r="Z3" s="1089"/>
      <c r="AA3" s="426"/>
      <c r="AB3" s="427"/>
      <c r="AC3" s="158"/>
      <c r="AD3" s="156"/>
      <c r="AE3" s="119"/>
      <c r="AF3" s="157"/>
      <c r="AG3" s="152"/>
      <c r="AH3" s="1076" t="s">
        <v>14</v>
      </c>
      <c r="AI3" s="1077"/>
      <c r="AJ3" s="1077"/>
      <c r="AK3" s="1078"/>
      <c r="AL3" s="1080" t="s">
        <v>69</v>
      </c>
      <c r="AM3" s="1081"/>
      <c r="AN3" s="190"/>
      <c r="AO3" s="190"/>
      <c r="AP3" s="1069" t="s">
        <v>467</v>
      </c>
      <c r="AQ3" s="1070"/>
      <c r="AR3" s="1069" t="s">
        <v>467</v>
      </c>
      <c r="AS3" s="1070"/>
    </row>
    <row r="4" spans="1:50" x14ac:dyDescent="0.2">
      <c r="C4" s="2"/>
      <c r="D4" s="2"/>
      <c r="E4" s="1067" t="s">
        <v>598</v>
      </c>
      <c r="F4" s="1066"/>
      <c r="G4" s="1063" t="s">
        <v>116</v>
      </c>
      <c r="H4" s="1063"/>
      <c r="I4" s="1066" t="s">
        <v>414</v>
      </c>
      <c r="J4" s="1066"/>
      <c r="K4" s="1065" t="s">
        <v>421</v>
      </c>
      <c r="L4" s="1065"/>
      <c r="M4" s="1064" t="s">
        <v>411</v>
      </c>
      <c r="N4" s="1059"/>
      <c r="O4" s="1058" t="s">
        <v>415</v>
      </c>
      <c r="P4" s="1059"/>
      <c r="Q4" s="1059" t="s">
        <v>599</v>
      </c>
      <c r="R4" s="1059"/>
      <c r="S4" s="1064" t="s">
        <v>600</v>
      </c>
      <c r="T4" s="1068"/>
      <c r="U4" s="1073" t="s">
        <v>35</v>
      </c>
      <c r="V4" s="1090"/>
      <c r="W4" s="1074" t="s">
        <v>36</v>
      </c>
      <c r="X4" s="1087"/>
      <c r="Y4" s="1088" t="s">
        <v>1161</v>
      </c>
      <c r="Z4" s="1089"/>
      <c r="AA4" s="428"/>
      <c r="AB4" s="429"/>
      <c r="AC4" s="1073" t="s">
        <v>465</v>
      </c>
      <c r="AD4" s="1074"/>
      <c r="AE4" s="1074"/>
      <c r="AF4" s="1074"/>
      <c r="AG4" s="1075"/>
      <c r="AH4" s="1073" t="s">
        <v>15</v>
      </c>
      <c r="AI4" s="1074"/>
      <c r="AJ4" s="1074"/>
      <c r="AK4" s="1075"/>
      <c r="AL4" s="1082"/>
      <c r="AM4" s="1083"/>
      <c r="AN4" s="1079" t="s">
        <v>665</v>
      </c>
      <c r="AO4" s="1079"/>
      <c r="AP4" s="1071" t="s">
        <v>468</v>
      </c>
      <c r="AQ4" s="1072"/>
      <c r="AR4" s="1071" t="s">
        <v>741</v>
      </c>
      <c r="AS4" s="1072"/>
    </row>
    <row r="5" spans="1:50" ht="13.5" thickBot="1" x14ac:dyDescent="0.25">
      <c r="A5" s="7"/>
      <c r="B5" s="7"/>
      <c r="C5" s="3" t="s">
        <v>357</v>
      </c>
      <c r="D5" s="43"/>
      <c r="E5" s="14" t="s">
        <v>462</v>
      </c>
      <c r="F5" s="15" t="s">
        <v>463</v>
      </c>
      <c r="G5" s="16" t="s">
        <v>462</v>
      </c>
      <c r="H5" s="16" t="s">
        <v>463</v>
      </c>
      <c r="I5" s="16" t="s">
        <v>34</v>
      </c>
      <c r="J5" s="17" t="s">
        <v>463</v>
      </c>
      <c r="K5" s="160" t="s">
        <v>34</v>
      </c>
      <c r="L5" s="160" t="s">
        <v>463</v>
      </c>
      <c r="M5" s="160" t="s">
        <v>34</v>
      </c>
      <c r="N5" s="160" t="s">
        <v>463</v>
      </c>
      <c r="O5" s="348" t="s">
        <v>462</v>
      </c>
      <c r="P5" s="16" t="s">
        <v>463</v>
      </c>
      <c r="Q5" s="17" t="s">
        <v>462</v>
      </c>
      <c r="R5" s="17" t="s">
        <v>463</v>
      </c>
      <c r="S5" s="17" t="s">
        <v>462</v>
      </c>
      <c r="T5" s="349" t="s">
        <v>463</v>
      </c>
      <c r="U5" s="351" t="s">
        <v>462</v>
      </c>
      <c r="V5" s="352" t="s">
        <v>463</v>
      </c>
      <c r="W5" s="125" t="s">
        <v>462</v>
      </c>
      <c r="X5" s="25" t="s">
        <v>463</v>
      </c>
      <c r="Y5" s="302" t="s">
        <v>462</v>
      </c>
      <c r="Z5" s="125" t="s">
        <v>463</v>
      </c>
      <c r="AA5" s="443" t="s">
        <v>462</v>
      </c>
      <c r="AB5" s="296" t="s">
        <v>463</v>
      </c>
      <c r="AC5" s="135" t="s">
        <v>464</v>
      </c>
      <c r="AD5" s="150" t="s">
        <v>462</v>
      </c>
      <c r="AE5" s="25"/>
      <c r="AF5" s="136" t="s">
        <v>464</v>
      </c>
      <c r="AG5" s="153" t="s">
        <v>463</v>
      </c>
      <c r="AH5" s="135" t="s">
        <v>464</v>
      </c>
      <c r="AI5" s="25" t="s">
        <v>462</v>
      </c>
      <c r="AJ5" s="136" t="s">
        <v>464</v>
      </c>
      <c r="AK5" s="120" t="s">
        <v>463</v>
      </c>
      <c r="AL5" s="118" t="s">
        <v>462</v>
      </c>
      <c r="AM5" s="13" t="s">
        <v>463</v>
      </c>
      <c r="AN5" s="191" t="s">
        <v>462</v>
      </c>
      <c r="AO5" s="191" t="s">
        <v>463</v>
      </c>
      <c r="AP5" s="204" t="s">
        <v>462</v>
      </c>
      <c r="AQ5" s="205" t="s">
        <v>463</v>
      </c>
      <c r="AR5" s="204" t="s">
        <v>462</v>
      </c>
      <c r="AS5" s="205" t="s">
        <v>463</v>
      </c>
    </row>
    <row r="6" spans="1:50" ht="18" customHeight="1" x14ac:dyDescent="0.2">
      <c r="A6" s="26" t="s">
        <v>358</v>
      </c>
      <c r="B6" s="27"/>
      <c r="C6" s="28"/>
      <c r="D6" s="380"/>
      <c r="E6" s="18"/>
      <c r="F6" s="19"/>
      <c r="G6" s="154"/>
      <c r="H6" s="154"/>
      <c r="I6" s="154"/>
      <c r="J6" s="154"/>
      <c r="K6" s="154"/>
      <c r="L6" s="154"/>
      <c r="M6" s="154"/>
      <c r="N6" s="262"/>
      <c r="O6" s="154"/>
      <c r="P6" s="154"/>
      <c r="Q6" s="154"/>
      <c r="R6" s="154"/>
      <c r="S6" s="154"/>
      <c r="T6" s="262"/>
      <c r="U6" s="44"/>
      <c r="V6" s="44"/>
      <c r="W6" s="261"/>
      <c r="X6" s="262"/>
      <c r="Y6" s="261"/>
      <c r="Z6" s="154"/>
      <c r="AA6" s="261"/>
      <c r="AB6" s="262"/>
      <c r="AC6" s="263"/>
      <c r="AD6" s="154"/>
      <c r="AE6" s="154"/>
      <c r="AF6" s="263"/>
      <c r="AG6" s="154"/>
      <c r="AH6" s="299"/>
      <c r="AI6" s="154"/>
      <c r="AJ6" s="263"/>
      <c r="AK6" s="262"/>
      <c r="AL6" s="45"/>
      <c r="AM6" s="45"/>
      <c r="AN6" s="266"/>
      <c r="AO6" s="267"/>
      <c r="AP6" s="268"/>
      <c r="AQ6" s="267"/>
      <c r="AR6" s="268"/>
      <c r="AS6" s="267"/>
      <c r="AT6" s="45"/>
      <c r="AU6" s="36"/>
      <c r="AV6" s="36"/>
      <c r="AW6" s="36"/>
      <c r="AX6" s="36"/>
    </row>
    <row r="7" spans="1:50" ht="12.75" customHeight="1" x14ac:dyDescent="0.2">
      <c r="A7" s="41"/>
      <c r="B7" s="41" t="s">
        <v>192</v>
      </c>
      <c r="C7" s="83"/>
      <c r="D7" s="83"/>
      <c r="E7" s="139"/>
      <c r="F7" s="122"/>
      <c r="G7" s="45"/>
      <c r="H7" s="45"/>
      <c r="I7" s="45"/>
      <c r="J7" s="45"/>
      <c r="K7" s="45"/>
      <c r="L7" s="45"/>
      <c r="M7" s="45"/>
      <c r="N7" s="137"/>
      <c r="O7" s="45"/>
      <c r="P7" s="45"/>
      <c r="Q7" s="45"/>
      <c r="R7" s="45"/>
      <c r="S7" s="45"/>
      <c r="T7" s="137"/>
      <c r="U7" s="44"/>
      <c r="V7" s="44"/>
      <c r="W7" s="273"/>
      <c r="X7" s="138"/>
      <c r="Y7" s="303"/>
      <c r="Z7" s="304"/>
      <c r="AA7" s="269"/>
      <c r="AB7" s="137"/>
      <c r="AC7" s="265"/>
      <c r="AD7" s="45"/>
      <c r="AE7" s="45"/>
      <c r="AF7" s="265"/>
      <c r="AG7" s="45"/>
      <c r="AH7" s="264"/>
      <c r="AI7" s="45"/>
      <c r="AJ7" s="265"/>
      <c r="AK7" s="137"/>
      <c r="AL7" s="218"/>
      <c r="AM7" s="218"/>
      <c r="AN7" s="270"/>
      <c r="AO7" s="271"/>
      <c r="AP7" s="192"/>
      <c r="AQ7" s="271"/>
      <c r="AR7" s="192"/>
      <c r="AS7" s="271"/>
      <c r="AT7" s="45"/>
      <c r="AU7" s="36"/>
      <c r="AV7" s="36"/>
      <c r="AW7" s="36"/>
      <c r="AX7" s="36"/>
    </row>
    <row r="8" spans="1:50" x14ac:dyDescent="0.2">
      <c r="B8" t="s">
        <v>359</v>
      </c>
      <c r="C8" s="314" t="s">
        <v>409</v>
      </c>
      <c r="D8" s="314"/>
      <c r="E8" s="209"/>
      <c r="F8" s="242"/>
      <c r="G8" s="218"/>
      <c r="H8" s="218"/>
      <c r="I8" s="218"/>
      <c r="J8" s="218"/>
      <c r="K8" s="218"/>
      <c r="L8" s="218"/>
      <c r="M8" s="218"/>
      <c r="N8" s="219"/>
      <c r="O8" s="218"/>
      <c r="P8" s="218"/>
      <c r="Q8" s="220"/>
      <c r="R8" s="220"/>
      <c r="S8" s="220"/>
      <c r="T8" s="221"/>
      <c r="U8" s="192">
        <f t="shared" ref="U8:U84" si="0">O8+Q8+S8</f>
        <v>0</v>
      </c>
      <c r="V8" s="192">
        <f t="shared" ref="V8:V84" si="1">P8+R8+T8</f>
        <v>0</v>
      </c>
      <c r="W8" s="270">
        <f>E8+G8+I8+K8+M8+U8</f>
        <v>0</v>
      </c>
      <c r="X8" s="271">
        <f>F8+H8+J8+L8+N8+V8</f>
        <v>0</v>
      </c>
      <c r="Y8" s="303"/>
      <c r="Z8" s="304"/>
      <c r="AA8" s="269"/>
      <c r="AB8" s="137"/>
      <c r="AC8" s="265"/>
      <c r="AD8" s="45"/>
      <c r="AE8" s="45"/>
      <c r="AF8" s="265"/>
      <c r="AG8" s="45"/>
      <c r="AH8" s="264"/>
      <c r="AI8" s="45"/>
      <c r="AJ8" s="265"/>
      <c r="AK8" s="137"/>
      <c r="AL8" s="218"/>
      <c r="AM8" s="218"/>
      <c r="AN8" s="270">
        <f>W8+Y8+AA8+AD8+AI8+AL8</f>
        <v>0</v>
      </c>
      <c r="AO8" s="271">
        <f t="shared" ref="AO8:AO22" si="2">X8+Z8+AB8+AG8+AK8+AM8</f>
        <v>0</v>
      </c>
      <c r="AP8" s="192"/>
      <c r="AQ8" s="271"/>
      <c r="AR8" s="192">
        <f>IF(AN8-AO8&lt;0, " ",AN8-AO8)</f>
        <v>0</v>
      </c>
      <c r="AS8" s="271">
        <f t="shared" ref="AS8:AS22" si="3">IF(AN8-AO8&gt;0, " ",AO8-AN8)</f>
        <v>0</v>
      </c>
      <c r="AT8" s="45"/>
      <c r="AU8" s="36"/>
      <c r="AV8" s="36"/>
      <c r="AW8" s="36"/>
      <c r="AX8" s="36"/>
    </row>
    <row r="9" spans="1:50" s="11" customFormat="1" x14ac:dyDescent="0.2">
      <c r="C9" s="322" t="s">
        <v>361</v>
      </c>
      <c r="D9" s="322"/>
      <c r="E9" s="211"/>
      <c r="F9" s="243"/>
      <c r="G9" s="220"/>
      <c r="H9" s="220"/>
      <c r="I9" s="220"/>
      <c r="J9" s="220"/>
      <c r="K9" s="220"/>
      <c r="L9" s="220"/>
      <c r="M9" s="220"/>
      <c r="N9" s="221"/>
      <c r="O9" s="220"/>
      <c r="P9" s="220"/>
      <c r="Q9" s="220"/>
      <c r="R9" s="220"/>
      <c r="S9" s="220"/>
      <c r="T9" s="221"/>
      <c r="U9" s="192">
        <f t="shared" si="0"/>
        <v>0</v>
      </c>
      <c r="V9" s="192">
        <f t="shared" si="1"/>
        <v>0</v>
      </c>
      <c r="W9" s="270">
        <f t="shared" ref="W9:W85" si="4">E9+G9+I9+K9+M9+U9</f>
        <v>0</v>
      </c>
      <c r="X9" s="271">
        <f t="shared" ref="X9:X85" si="5">F9+H9+J9+L9+N9+V9</f>
        <v>0</v>
      </c>
      <c r="Y9" s="305"/>
      <c r="Z9" s="306"/>
      <c r="AA9" s="273"/>
      <c r="AB9" s="138"/>
      <c r="AC9" s="274"/>
      <c r="AD9" s="44"/>
      <c r="AE9" s="44"/>
      <c r="AF9" s="274"/>
      <c r="AG9" s="44"/>
      <c r="AH9" s="275"/>
      <c r="AI9" s="44"/>
      <c r="AJ9" s="274"/>
      <c r="AK9" s="138"/>
      <c r="AL9" s="220"/>
      <c r="AM9" s="220"/>
      <c r="AN9" s="270">
        <f t="shared" ref="AN9:AN22" si="6">W9+Y9+AA9+AD9+AI9+AL9</f>
        <v>0</v>
      </c>
      <c r="AO9" s="271">
        <f t="shared" si="2"/>
        <v>0</v>
      </c>
      <c r="AP9" s="192"/>
      <c r="AQ9" s="271"/>
      <c r="AR9" s="192">
        <f t="shared" ref="AR9:AS10" si="7">IF(AN9-AO9&lt;0, " ",AN9-AO9)</f>
        <v>0</v>
      </c>
      <c r="AS9" s="271">
        <f t="shared" si="3"/>
        <v>0</v>
      </c>
      <c r="AT9" s="44"/>
      <c r="AU9" s="78"/>
      <c r="AV9" s="78"/>
      <c r="AW9" s="78"/>
      <c r="AX9" s="78"/>
    </row>
    <row r="10" spans="1:50" s="760" customFormat="1" x14ac:dyDescent="0.2">
      <c r="C10" s="459" t="s">
        <v>1647</v>
      </c>
      <c r="D10" s="322"/>
      <c r="E10" s="211"/>
      <c r="F10" s="243"/>
      <c r="G10" s="220"/>
      <c r="H10" s="220"/>
      <c r="I10" s="220"/>
      <c r="J10" s="220"/>
      <c r="K10" s="220"/>
      <c r="L10" s="220"/>
      <c r="M10" s="220"/>
      <c r="N10" s="221"/>
      <c r="O10" s="220"/>
      <c r="P10" s="220"/>
      <c r="Q10" s="220"/>
      <c r="R10" s="220"/>
      <c r="S10" s="220"/>
      <c r="T10" s="221"/>
      <c r="U10" s="192"/>
      <c r="V10" s="192"/>
      <c r="W10" s="270"/>
      <c r="X10" s="271"/>
      <c r="Y10" s="305"/>
      <c r="Z10" s="306"/>
      <c r="AA10" s="273"/>
      <c r="AB10" s="138"/>
      <c r="AC10" s="274" t="s">
        <v>1648</v>
      </c>
      <c r="AD10" s="44">
        <f>'L. GASB 75 DIPNC'!C92</f>
        <v>0</v>
      </c>
      <c r="AE10" s="44"/>
      <c r="AF10" s="274"/>
      <c r="AG10" s="44">
        <f>'L. GASB 75 DIPNC'!D92</f>
        <v>0</v>
      </c>
      <c r="AH10" s="275"/>
      <c r="AI10" s="44"/>
      <c r="AJ10" s="274"/>
      <c r="AK10" s="138"/>
      <c r="AL10" s="220"/>
      <c r="AM10" s="220"/>
      <c r="AN10" s="270">
        <f t="shared" si="6"/>
        <v>0</v>
      </c>
      <c r="AO10" s="271">
        <f>X10+Z10+AB10+AG10+AK10+AM10</f>
        <v>0</v>
      </c>
      <c r="AP10" s="192"/>
      <c r="AQ10" s="271"/>
      <c r="AR10" s="192">
        <f t="shared" si="7"/>
        <v>0</v>
      </c>
      <c r="AS10" s="271">
        <f t="shared" si="7"/>
        <v>0</v>
      </c>
      <c r="AT10" s="44"/>
      <c r="AU10" s="78"/>
      <c r="AV10" s="78"/>
      <c r="AW10" s="78"/>
      <c r="AX10" s="78"/>
    </row>
    <row r="11" spans="1:50" s="11" customFormat="1" x14ac:dyDescent="0.2">
      <c r="C11" s="314" t="s">
        <v>107</v>
      </c>
      <c r="D11" s="314"/>
      <c r="E11" s="211"/>
      <c r="F11" s="243"/>
      <c r="G11" s="220"/>
      <c r="H11" s="220"/>
      <c r="I11" s="220"/>
      <c r="J11" s="220"/>
      <c r="K11" s="220"/>
      <c r="L11" s="220"/>
      <c r="M11" s="220"/>
      <c r="N11" s="221"/>
      <c r="O11" s="220"/>
      <c r="P11" s="220"/>
      <c r="Q11" s="220"/>
      <c r="R11" s="220"/>
      <c r="S11" s="220"/>
      <c r="T11" s="221"/>
      <c r="U11" s="192">
        <f t="shared" si="0"/>
        <v>0</v>
      </c>
      <c r="V11" s="192">
        <f t="shared" si="1"/>
        <v>0</v>
      </c>
      <c r="W11" s="270">
        <f t="shared" si="4"/>
        <v>0</v>
      </c>
      <c r="X11" s="271">
        <f t="shared" si="5"/>
        <v>0</v>
      </c>
      <c r="Y11" s="305"/>
      <c r="Z11" s="306"/>
      <c r="AA11" s="273"/>
      <c r="AB11" s="138"/>
      <c r="AC11" s="274" t="str">
        <f>'G.  Other Asset Entries'!B90</f>
        <v>G.1</v>
      </c>
      <c r="AD11" s="44">
        <f>'G.  Other Asset Entries'!L90</f>
        <v>0</v>
      </c>
      <c r="AE11" s="44"/>
      <c r="AF11" s="274"/>
      <c r="AG11" s="44"/>
      <c r="AH11" s="275"/>
      <c r="AI11" s="44"/>
      <c r="AJ11" s="274"/>
      <c r="AK11" s="138"/>
      <c r="AL11" s="220"/>
      <c r="AM11" s="220"/>
      <c r="AN11" s="270">
        <f t="shared" si="6"/>
        <v>0</v>
      </c>
      <c r="AO11" s="271">
        <f t="shared" si="2"/>
        <v>0</v>
      </c>
      <c r="AP11" s="192"/>
      <c r="AQ11" s="271"/>
      <c r="AR11" s="192">
        <f>IF(AN11-AO11&lt;0, " ",AN11-AO11)</f>
        <v>0</v>
      </c>
      <c r="AS11" s="271">
        <f t="shared" si="3"/>
        <v>0</v>
      </c>
      <c r="AT11" s="44"/>
      <c r="AU11" s="78"/>
      <c r="AV11" s="78"/>
      <c r="AW11" s="78"/>
      <c r="AX11" s="78"/>
    </row>
    <row r="12" spans="1:50" x14ac:dyDescent="0.2">
      <c r="A12" s="11"/>
      <c r="B12" s="11"/>
      <c r="C12" s="339" t="s">
        <v>362</v>
      </c>
      <c r="D12" s="339"/>
      <c r="E12" s="213"/>
      <c r="F12" s="241"/>
      <c r="G12" s="222"/>
      <c r="H12" s="222"/>
      <c r="I12" s="222"/>
      <c r="J12" s="222"/>
      <c r="K12" s="222"/>
      <c r="L12" s="222"/>
      <c r="M12" s="222"/>
      <c r="N12" s="223"/>
      <c r="O12" s="222"/>
      <c r="P12" s="222"/>
      <c r="Q12" s="222"/>
      <c r="R12" s="222"/>
      <c r="S12" s="222"/>
      <c r="T12" s="223"/>
      <c r="U12" s="192">
        <f t="shared" si="0"/>
        <v>0</v>
      </c>
      <c r="V12" s="192">
        <f t="shared" si="1"/>
        <v>0</v>
      </c>
      <c r="W12" s="270">
        <f t="shared" si="4"/>
        <v>0</v>
      </c>
      <c r="X12" s="271">
        <f t="shared" si="5"/>
        <v>0</v>
      </c>
      <c r="Y12" s="307"/>
      <c r="Z12" s="308"/>
      <c r="AA12" s="276"/>
      <c r="AB12" s="186"/>
      <c r="AC12" s="277"/>
      <c r="AD12" s="185"/>
      <c r="AE12" s="185"/>
      <c r="AF12" s="277"/>
      <c r="AG12" s="185"/>
      <c r="AH12" s="278"/>
      <c r="AI12" s="185"/>
      <c r="AJ12" s="277" t="str">
        <f>'I. Eliminations-Consolidations'!A213</f>
        <v>I.2</v>
      </c>
      <c r="AK12" s="186">
        <f>'I. Eliminations-Consolidations'!L215</f>
        <v>0</v>
      </c>
      <c r="AL12" s="222"/>
      <c r="AM12" s="222"/>
      <c r="AN12" s="270">
        <f t="shared" si="6"/>
        <v>0</v>
      </c>
      <c r="AO12" s="271">
        <f t="shared" si="2"/>
        <v>0</v>
      </c>
      <c r="AP12" s="192"/>
      <c r="AQ12" s="271"/>
      <c r="AR12" s="192" t="str">
        <f>IF(AN12+AN13+AN14-AO12-AO13-AO14&lt;=0, " ",AN12+AN13+AN14-AO12-AO13-AO14)</f>
        <v xml:space="preserve"> </v>
      </c>
      <c r="AS12" s="271" t="str">
        <f>IF(AN12+AN13+AN14-AO12-AO13-AO14&gt;=0, " ",AO12+AO13+AO14-AN12-AN13-AN14)</f>
        <v xml:space="preserve"> </v>
      </c>
      <c r="AT12" s="45"/>
      <c r="AU12" s="36"/>
      <c r="AV12" s="36"/>
      <c r="AW12" s="36"/>
      <c r="AX12" s="36"/>
    </row>
    <row r="13" spans="1:50" x14ac:dyDescent="0.2">
      <c r="A13" s="11"/>
      <c r="B13" s="11"/>
      <c r="C13" s="339"/>
      <c r="D13" s="339"/>
      <c r="E13" s="213"/>
      <c r="F13" s="214"/>
      <c r="G13" s="222"/>
      <c r="H13" s="222"/>
      <c r="I13" s="222"/>
      <c r="J13" s="222"/>
      <c r="K13" s="222"/>
      <c r="L13" s="222"/>
      <c r="M13" s="222"/>
      <c r="N13" s="223"/>
      <c r="O13" s="222"/>
      <c r="P13" s="222"/>
      <c r="Q13" s="222"/>
      <c r="R13" s="222"/>
      <c r="S13" s="222"/>
      <c r="T13" s="223"/>
      <c r="U13" s="192">
        <f t="shared" si="0"/>
        <v>0</v>
      </c>
      <c r="V13" s="192">
        <f t="shared" si="1"/>
        <v>0</v>
      </c>
      <c r="W13" s="270">
        <f t="shared" si="4"/>
        <v>0</v>
      </c>
      <c r="X13" s="271">
        <f t="shared" si="5"/>
        <v>0</v>
      </c>
      <c r="Y13" s="307"/>
      <c r="Z13" s="308"/>
      <c r="AA13" s="276"/>
      <c r="AB13" s="186"/>
      <c r="AC13" s="277"/>
      <c r="AD13" s="185"/>
      <c r="AE13" s="185"/>
      <c r="AF13" s="277"/>
      <c r="AG13" s="185"/>
      <c r="AH13" s="278"/>
      <c r="AI13" s="185"/>
      <c r="AJ13" s="277" t="str">
        <f>'I. Eliminations-Consolidations'!A218</f>
        <v>I.3</v>
      </c>
      <c r="AK13" s="186">
        <f>'I. Eliminations-Consolidations'!L222</f>
        <v>0</v>
      </c>
      <c r="AL13" s="222"/>
      <c r="AM13" s="222"/>
      <c r="AN13" s="270">
        <f t="shared" si="6"/>
        <v>0</v>
      </c>
      <c r="AO13" s="271">
        <f t="shared" si="2"/>
        <v>0</v>
      </c>
      <c r="AP13" s="192"/>
      <c r="AQ13" s="271"/>
      <c r="AR13" s="192"/>
      <c r="AS13" s="271"/>
      <c r="AT13" s="45"/>
      <c r="AU13" s="36"/>
      <c r="AV13" s="36"/>
      <c r="AW13" s="36"/>
      <c r="AX13" s="36"/>
    </row>
    <row r="14" spans="1:50" x14ac:dyDescent="0.2">
      <c r="A14" s="11"/>
      <c r="B14" s="11"/>
      <c r="C14" s="339"/>
      <c r="D14" s="339"/>
      <c r="E14" s="213"/>
      <c r="F14" s="214"/>
      <c r="G14" s="222"/>
      <c r="H14" s="222"/>
      <c r="I14" s="222"/>
      <c r="J14" s="222"/>
      <c r="K14" s="222"/>
      <c r="L14" s="222"/>
      <c r="M14" s="222"/>
      <c r="N14" s="223"/>
      <c r="O14" s="222"/>
      <c r="P14" s="222"/>
      <c r="Q14" s="222"/>
      <c r="R14" s="222"/>
      <c r="S14" s="222"/>
      <c r="T14" s="223"/>
      <c r="U14" s="192">
        <f t="shared" si="0"/>
        <v>0</v>
      </c>
      <c r="V14" s="192">
        <f t="shared" si="1"/>
        <v>0</v>
      </c>
      <c r="W14" s="270">
        <f t="shared" si="4"/>
        <v>0</v>
      </c>
      <c r="X14" s="271">
        <f t="shared" si="5"/>
        <v>0</v>
      </c>
      <c r="Y14" s="307"/>
      <c r="Z14" s="308"/>
      <c r="AA14" s="276"/>
      <c r="AB14" s="186"/>
      <c r="AC14" s="277"/>
      <c r="AD14" s="185"/>
      <c r="AE14" s="185"/>
      <c r="AF14" s="277"/>
      <c r="AG14" s="185"/>
      <c r="AH14" s="278"/>
      <c r="AI14" s="185"/>
      <c r="AJ14" s="277" t="str">
        <f>'I. Eliminations-Consolidations'!A224</f>
        <v>I.4</v>
      </c>
      <c r="AK14" s="186">
        <f>'I. Eliminations-Consolidations'!L225</f>
        <v>0</v>
      </c>
      <c r="AL14" s="222"/>
      <c r="AM14" s="222"/>
      <c r="AN14" s="270">
        <f t="shared" si="6"/>
        <v>0</v>
      </c>
      <c r="AO14" s="271">
        <f t="shared" si="2"/>
        <v>0</v>
      </c>
      <c r="AP14" s="192"/>
      <c r="AQ14" s="271"/>
      <c r="AR14" s="192"/>
      <c r="AS14" s="271"/>
      <c r="AT14" s="45"/>
      <c r="AU14" s="36"/>
      <c r="AV14" s="36"/>
      <c r="AW14" s="36"/>
      <c r="AX14" s="36"/>
    </row>
    <row r="15" spans="1:50" s="11" customFormat="1" x14ac:dyDescent="0.2">
      <c r="C15" s="322" t="s">
        <v>440</v>
      </c>
      <c r="D15" s="322"/>
      <c r="E15" s="211"/>
      <c r="F15" s="212"/>
      <c r="G15" s="220"/>
      <c r="H15" s="220"/>
      <c r="I15" s="220"/>
      <c r="J15" s="220"/>
      <c r="K15" s="220"/>
      <c r="L15" s="220"/>
      <c r="M15" s="220"/>
      <c r="N15" s="221"/>
      <c r="O15" s="220"/>
      <c r="P15" s="220"/>
      <c r="Q15" s="220"/>
      <c r="R15" s="220"/>
      <c r="S15" s="220"/>
      <c r="T15" s="221"/>
      <c r="U15" s="192">
        <f t="shared" si="0"/>
        <v>0</v>
      </c>
      <c r="V15" s="192">
        <f t="shared" si="1"/>
        <v>0</v>
      </c>
      <c r="W15" s="270">
        <f t="shared" si="4"/>
        <v>0</v>
      </c>
      <c r="X15" s="271">
        <f t="shared" si="5"/>
        <v>0</v>
      </c>
      <c r="Y15" s="305"/>
      <c r="Z15" s="306"/>
      <c r="AA15" s="273"/>
      <c r="AB15" s="138"/>
      <c r="AC15" s="274"/>
      <c r="AD15" s="44"/>
      <c r="AE15" s="44"/>
      <c r="AF15" s="274"/>
      <c r="AG15" s="44"/>
      <c r="AH15" s="275" t="str">
        <f>'I. Eliminations-Consolidations'!A224</f>
        <v>I.4</v>
      </c>
      <c r="AI15" s="44">
        <f>'I. Eliminations-Consolidations'!J224</f>
        <v>0</v>
      </c>
      <c r="AJ15" s="274"/>
      <c r="AK15" s="138"/>
      <c r="AL15" s="220"/>
      <c r="AM15" s="220"/>
      <c r="AN15" s="270">
        <f t="shared" si="6"/>
        <v>0</v>
      </c>
      <c r="AO15" s="271">
        <f t="shared" si="2"/>
        <v>0</v>
      </c>
      <c r="AP15" s="192"/>
      <c r="AQ15" s="271"/>
      <c r="AR15" s="192">
        <f>IF(AN15-AO15&lt;0, " ",AN15-AO15)</f>
        <v>0</v>
      </c>
      <c r="AS15" s="271">
        <f t="shared" si="3"/>
        <v>0</v>
      </c>
      <c r="AT15" s="44"/>
      <c r="AU15" s="78"/>
      <c r="AV15" s="78"/>
      <c r="AW15" s="78"/>
      <c r="AX15" s="78"/>
    </row>
    <row r="16" spans="1:50" s="11" customFormat="1" x14ac:dyDescent="0.2">
      <c r="C16" s="322" t="s">
        <v>363</v>
      </c>
      <c r="D16" s="322"/>
      <c r="E16" s="211"/>
      <c r="F16" s="212"/>
      <c r="G16" s="220"/>
      <c r="H16" s="220"/>
      <c r="I16" s="220"/>
      <c r="J16" s="220"/>
      <c r="K16" s="220"/>
      <c r="L16" s="220"/>
      <c r="M16" s="220"/>
      <c r="N16" s="221"/>
      <c r="O16" s="220"/>
      <c r="P16" s="220"/>
      <c r="Q16" s="220"/>
      <c r="R16" s="220"/>
      <c r="S16" s="220"/>
      <c r="T16" s="221"/>
      <c r="U16" s="192">
        <f t="shared" si="0"/>
        <v>0</v>
      </c>
      <c r="V16" s="192">
        <f t="shared" si="1"/>
        <v>0</v>
      </c>
      <c r="W16" s="270">
        <f t="shared" si="4"/>
        <v>0</v>
      </c>
      <c r="X16" s="271">
        <f t="shared" si="5"/>
        <v>0</v>
      </c>
      <c r="Y16" s="305"/>
      <c r="Z16" s="306"/>
      <c r="AA16" s="273"/>
      <c r="AB16" s="138"/>
      <c r="AC16" s="274"/>
      <c r="AD16" s="44"/>
      <c r="AE16" s="44"/>
      <c r="AF16" s="274"/>
      <c r="AG16" s="44"/>
      <c r="AH16" s="275"/>
      <c r="AI16" s="44"/>
      <c r="AJ16" s="274"/>
      <c r="AK16" s="138"/>
      <c r="AL16" s="220"/>
      <c r="AM16" s="220"/>
      <c r="AN16" s="270">
        <f t="shared" si="6"/>
        <v>0</v>
      </c>
      <c r="AO16" s="271">
        <f t="shared" si="2"/>
        <v>0</v>
      </c>
      <c r="AP16" s="192"/>
      <c r="AQ16" s="271"/>
      <c r="AR16" s="192">
        <f>IF(AN16-AO16&lt;0, " ",AN16-AO16)</f>
        <v>0</v>
      </c>
      <c r="AS16" s="271">
        <f t="shared" si="3"/>
        <v>0</v>
      </c>
      <c r="AT16" s="44"/>
      <c r="AU16" s="78"/>
      <c r="AV16" s="78"/>
      <c r="AW16" s="78"/>
      <c r="AX16" s="78"/>
    </row>
    <row r="17" spans="1:239" x14ac:dyDescent="0.2">
      <c r="C17" s="339" t="s">
        <v>656</v>
      </c>
      <c r="D17" s="339"/>
      <c r="E17" s="213"/>
      <c r="F17" s="214"/>
      <c r="G17" s="222"/>
      <c r="H17" s="222"/>
      <c r="I17" s="222"/>
      <c r="J17" s="222"/>
      <c r="K17" s="222"/>
      <c r="L17" s="222"/>
      <c r="M17" s="222"/>
      <c r="N17" s="223"/>
      <c r="O17" s="222"/>
      <c r="P17" s="222"/>
      <c r="Q17" s="222"/>
      <c r="R17" s="222"/>
      <c r="S17" s="222"/>
      <c r="T17" s="223"/>
      <c r="U17" s="192">
        <f t="shared" si="0"/>
        <v>0</v>
      </c>
      <c r="V17" s="192">
        <f t="shared" si="1"/>
        <v>0</v>
      </c>
      <c r="W17" s="270">
        <f t="shared" si="4"/>
        <v>0</v>
      </c>
      <c r="X17" s="271">
        <f t="shared" si="5"/>
        <v>0</v>
      </c>
      <c r="Y17" s="307"/>
      <c r="Z17" s="308"/>
      <c r="AA17" s="276"/>
      <c r="AB17" s="186"/>
      <c r="AC17" s="277"/>
      <c r="AD17" s="185"/>
      <c r="AE17" s="185"/>
      <c r="AF17" s="277"/>
      <c r="AG17" s="185"/>
      <c r="AH17" s="278"/>
      <c r="AI17" s="185"/>
      <c r="AJ17" s="277" t="str">
        <f>'I. Eliminations-Consolidations'!$A$218</f>
        <v>I.3</v>
      </c>
      <c r="AK17" s="186">
        <f>'I. Eliminations-Consolidations'!L221</f>
        <v>0</v>
      </c>
      <c r="AL17" s="222"/>
      <c r="AM17" s="222"/>
      <c r="AN17" s="270">
        <f t="shared" si="6"/>
        <v>0</v>
      </c>
      <c r="AO17" s="271">
        <f t="shared" si="2"/>
        <v>0</v>
      </c>
      <c r="AP17" s="192"/>
      <c r="AQ17" s="271"/>
      <c r="AR17" s="192">
        <f>IF(AN17+AN18-AO17-AO18&lt;0, " ",AN17+AN18-AO17-AO18)</f>
        <v>0</v>
      </c>
      <c r="AS17" s="271">
        <f>IF(AN17+AN18-AO17-AO18&gt;0, " ",AO17+AO18-AN17-AN18)</f>
        <v>0</v>
      </c>
      <c r="AT17" s="45"/>
      <c r="AU17" s="36"/>
      <c r="AV17" s="36"/>
      <c r="AW17" s="36"/>
      <c r="AX17" s="36"/>
    </row>
    <row r="18" spans="1:239" x14ac:dyDescent="0.2">
      <c r="C18" s="339"/>
      <c r="D18" s="339"/>
      <c r="E18" s="213"/>
      <c r="F18" s="214"/>
      <c r="G18" s="222"/>
      <c r="H18" s="222"/>
      <c r="I18" s="222"/>
      <c r="J18" s="222"/>
      <c r="K18" s="222"/>
      <c r="L18" s="222"/>
      <c r="M18" s="222"/>
      <c r="N18" s="223"/>
      <c r="O18" s="222"/>
      <c r="P18" s="222"/>
      <c r="Q18" s="222"/>
      <c r="R18" s="222"/>
      <c r="S18" s="222"/>
      <c r="T18" s="223"/>
      <c r="U18" s="192">
        <f>O18+Q18+S18</f>
        <v>0</v>
      </c>
      <c r="V18" s="192">
        <f>P18+R18+T18</f>
        <v>0</v>
      </c>
      <c r="W18" s="270">
        <f>E18+G18+I18+K18+M18+U18</f>
        <v>0</v>
      </c>
      <c r="X18" s="271">
        <f>F18+H18+J18+L18+N18+V18</f>
        <v>0</v>
      </c>
      <c r="Y18" s="307"/>
      <c r="Z18" s="308"/>
      <c r="AA18" s="276"/>
      <c r="AB18" s="186"/>
      <c r="AC18" s="277"/>
      <c r="AD18" s="185"/>
      <c r="AE18" s="185"/>
      <c r="AF18" s="277"/>
      <c r="AG18" s="185"/>
      <c r="AH18" s="278"/>
      <c r="AI18" s="185"/>
      <c r="AJ18" s="277" t="str">
        <f>'I. Eliminations-Consolidations'!A213</f>
        <v>I.2</v>
      </c>
      <c r="AK18" s="186">
        <f>'I. Eliminations-Consolidations'!L216</f>
        <v>0</v>
      </c>
      <c r="AL18" s="222"/>
      <c r="AM18" s="222"/>
      <c r="AN18" s="270">
        <f t="shared" si="6"/>
        <v>0</v>
      </c>
      <c r="AO18" s="271">
        <f t="shared" si="2"/>
        <v>0</v>
      </c>
      <c r="AP18" s="192"/>
      <c r="AQ18" s="271"/>
      <c r="AR18" s="192"/>
      <c r="AS18" s="271"/>
      <c r="AT18" s="45"/>
      <c r="AU18" s="36"/>
      <c r="AV18" s="36"/>
      <c r="AW18" s="36"/>
      <c r="AX18" s="36"/>
    </row>
    <row r="19" spans="1:239" x14ac:dyDescent="0.2">
      <c r="C19" s="322" t="s">
        <v>707</v>
      </c>
      <c r="D19" s="322"/>
      <c r="E19" s="211"/>
      <c r="F19" s="212"/>
      <c r="G19" s="220"/>
      <c r="H19" s="220"/>
      <c r="I19" s="220"/>
      <c r="J19" s="220"/>
      <c r="K19" s="220"/>
      <c r="L19" s="220"/>
      <c r="M19" s="220"/>
      <c r="N19" s="221"/>
      <c r="O19" s="220"/>
      <c r="P19" s="220"/>
      <c r="Q19" s="220"/>
      <c r="R19" s="220"/>
      <c r="S19" s="220"/>
      <c r="T19" s="221"/>
      <c r="U19" s="192">
        <f t="shared" si="0"/>
        <v>0</v>
      </c>
      <c r="V19" s="192">
        <f t="shared" si="1"/>
        <v>0</v>
      </c>
      <c r="W19" s="270">
        <f t="shared" si="4"/>
        <v>0</v>
      </c>
      <c r="X19" s="271">
        <f t="shared" si="5"/>
        <v>0</v>
      </c>
      <c r="Y19" s="305"/>
      <c r="Z19" s="306"/>
      <c r="AA19" s="273"/>
      <c r="AB19" s="138"/>
      <c r="AC19" s="274"/>
      <c r="AD19" s="44"/>
      <c r="AE19" s="44"/>
      <c r="AF19" s="274"/>
      <c r="AG19" s="44"/>
      <c r="AH19" s="275" t="str">
        <f>'I. Eliminations-Consolidations'!$A$218</f>
        <v>I.3</v>
      </c>
      <c r="AI19" s="44">
        <f>'I. Eliminations-Consolidations'!J220</f>
        <v>0</v>
      </c>
      <c r="AJ19" s="274"/>
      <c r="AK19" s="138"/>
      <c r="AL19" s="220"/>
      <c r="AM19" s="220"/>
      <c r="AN19" s="270">
        <f t="shared" si="6"/>
        <v>0</v>
      </c>
      <c r="AO19" s="271">
        <f t="shared" si="2"/>
        <v>0</v>
      </c>
      <c r="AP19" s="192"/>
      <c r="AQ19" s="271"/>
      <c r="AR19" s="192">
        <f>IF(AN19-AO19&lt;0, " ",AN19-AO19)</f>
        <v>0</v>
      </c>
      <c r="AS19" s="271">
        <f t="shared" si="3"/>
        <v>0</v>
      </c>
      <c r="AT19" s="45"/>
      <c r="AU19" s="36"/>
      <c r="AV19" s="36"/>
      <c r="AW19" s="36"/>
      <c r="AX19" s="36"/>
    </row>
    <row r="20" spans="1:239" s="11" customFormat="1" x14ac:dyDescent="0.2">
      <c r="C20" s="322" t="s">
        <v>364</v>
      </c>
      <c r="D20" s="322"/>
      <c r="E20" s="211"/>
      <c r="F20" s="243"/>
      <c r="G20" s="220"/>
      <c r="H20" s="220"/>
      <c r="I20" s="220"/>
      <c r="J20" s="220"/>
      <c r="K20" s="220"/>
      <c r="L20" s="220"/>
      <c r="M20" s="220"/>
      <c r="N20" s="221"/>
      <c r="O20" s="220"/>
      <c r="P20" s="220"/>
      <c r="Q20" s="220"/>
      <c r="R20" s="220"/>
      <c r="S20" s="220"/>
      <c r="T20" s="221"/>
      <c r="U20" s="192">
        <f t="shared" si="0"/>
        <v>0</v>
      </c>
      <c r="V20" s="192">
        <f t="shared" si="1"/>
        <v>0</v>
      </c>
      <c r="W20" s="270">
        <f t="shared" si="4"/>
        <v>0</v>
      </c>
      <c r="X20" s="271">
        <f t="shared" si="5"/>
        <v>0</v>
      </c>
      <c r="Y20" s="305"/>
      <c r="Z20" s="306"/>
      <c r="AA20" s="273"/>
      <c r="AB20" s="138"/>
      <c r="AC20" s="279"/>
      <c r="AD20" s="44"/>
      <c r="AE20" s="44"/>
      <c r="AF20" s="274"/>
      <c r="AG20" s="44"/>
      <c r="AH20" s="275"/>
      <c r="AI20" s="44"/>
      <c r="AJ20" s="274"/>
      <c r="AK20" s="138"/>
      <c r="AL20" s="220"/>
      <c r="AM20" s="220"/>
      <c r="AN20" s="270">
        <f t="shared" si="6"/>
        <v>0</v>
      </c>
      <c r="AO20" s="271">
        <f t="shared" si="2"/>
        <v>0</v>
      </c>
      <c r="AP20" s="192"/>
      <c r="AQ20" s="271"/>
      <c r="AR20" s="192">
        <f>IF(AN20-AO20&lt;0, " ",AN20-AO20)</f>
        <v>0</v>
      </c>
      <c r="AS20" s="271">
        <f t="shared" si="3"/>
        <v>0</v>
      </c>
      <c r="AT20" s="44"/>
      <c r="AU20" s="78"/>
      <c r="AV20" s="78"/>
      <c r="AW20" s="78"/>
      <c r="AX20" s="78"/>
    </row>
    <row r="21" spans="1:239" x14ac:dyDescent="0.2">
      <c r="C21" s="314" t="s">
        <v>365</v>
      </c>
      <c r="D21" s="314"/>
      <c r="E21" s="209"/>
      <c r="F21" s="242"/>
      <c r="G21" s="218"/>
      <c r="H21" s="218"/>
      <c r="I21" s="218"/>
      <c r="J21" s="218"/>
      <c r="K21" s="218"/>
      <c r="L21" s="218"/>
      <c r="M21" s="218"/>
      <c r="N21" s="219"/>
      <c r="O21" s="218"/>
      <c r="P21" s="218"/>
      <c r="Q21" s="218"/>
      <c r="R21" s="218"/>
      <c r="S21" s="218"/>
      <c r="T21" s="219"/>
      <c r="U21" s="192">
        <f t="shared" si="0"/>
        <v>0</v>
      </c>
      <c r="V21" s="192">
        <f t="shared" si="1"/>
        <v>0</v>
      </c>
      <c r="W21" s="270">
        <f t="shared" si="4"/>
        <v>0</v>
      </c>
      <c r="X21" s="271">
        <f t="shared" si="5"/>
        <v>0</v>
      </c>
      <c r="Y21" s="303"/>
      <c r="Z21" s="304"/>
      <c r="AA21" s="269"/>
      <c r="AB21" s="137"/>
      <c r="AC21" s="280"/>
      <c r="AD21" s="45"/>
      <c r="AE21" s="45"/>
      <c r="AF21" s="265"/>
      <c r="AG21" s="45"/>
      <c r="AH21" s="275"/>
      <c r="AI21" s="45"/>
      <c r="AJ21" s="265"/>
      <c r="AK21" s="137"/>
      <c r="AL21" s="218"/>
      <c r="AM21" s="218"/>
      <c r="AN21" s="270">
        <f t="shared" si="6"/>
        <v>0</v>
      </c>
      <c r="AO21" s="271">
        <f t="shared" si="2"/>
        <v>0</v>
      </c>
      <c r="AP21" s="192"/>
      <c r="AQ21" s="271"/>
      <c r="AR21" s="192">
        <f>IF(AN21-AO21&lt;0, " ",AN21-AO21)</f>
        <v>0</v>
      </c>
      <c r="AS21" s="271">
        <f t="shared" si="3"/>
        <v>0</v>
      </c>
      <c r="AT21" s="45"/>
      <c r="AU21" s="36"/>
      <c r="AV21" s="36"/>
      <c r="AW21" s="36"/>
      <c r="AX21" s="36"/>
    </row>
    <row r="22" spans="1:239" x14ac:dyDescent="0.2">
      <c r="A22" s="11"/>
      <c r="B22" s="11"/>
      <c r="C22" s="322" t="s">
        <v>420</v>
      </c>
      <c r="D22" s="322"/>
      <c r="E22" s="211"/>
      <c r="F22" s="212"/>
      <c r="G22" s="220"/>
      <c r="H22" s="220"/>
      <c r="I22" s="220"/>
      <c r="J22" s="220"/>
      <c r="K22" s="220"/>
      <c r="L22" s="220"/>
      <c r="M22" s="220"/>
      <c r="N22" s="221"/>
      <c r="O22" s="220"/>
      <c r="P22" s="220"/>
      <c r="Q22" s="220"/>
      <c r="R22" s="220"/>
      <c r="S22" s="220"/>
      <c r="T22" s="221"/>
      <c r="U22" s="192">
        <f t="shared" si="0"/>
        <v>0</v>
      </c>
      <c r="V22" s="192">
        <f t="shared" si="1"/>
        <v>0</v>
      </c>
      <c r="W22" s="270">
        <f t="shared" si="4"/>
        <v>0</v>
      </c>
      <c r="X22" s="271">
        <f t="shared" si="5"/>
        <v>0</v>
      </c>
      <c r="Y22" s="305"/>
      <c r="Z22" s="306"/>
      <c r="AA22" s="273"/>
      <c r="AB22" s="138"/>
      <c r="AC22" s="274"/>
      <c r="AD22" s="44"/>
      <c r="AE22" s="44"/>
      <c r="AF22" s="274"/>
      <c r="AG22" s="44"/>
      <c r="AH22" s="275"/>
      <c r="AI22" s="44"/>
      <c r="AJ22" s="274"/>
      <c r="AK22" s="138"/>
      <c r="AL22" s="220"/>
      <c r="AM22" s="220"/>
      <c r="AN22" s="270">
        <f t="shared" si="6"/>
        <v>0</v>
      </c>
      <c r="AO22" s="271">
        <f t="shared" si="2"/>
        <v>0</v>
      </c>
      <c r="AP22" s="192"/>
      <c r="AQ22" s="271"/>
      <c r="AR22" s="192">
        <f>IF(AN22-AO22&lt;0, " ",AN22-AO22)</f>
        <v>0</v>
      </c>
      <c r="AS22" s="271">
        <f t="shared" si="3"/>
        <v>0</v>
      </c>
      <c r="AT22" s="45"/>
      <c r="AU22" s="36"/>
      <c r="AV22" s="36"/>
      <c r="AW22" s="36"/>
      <c r="AX22" s="36"/>
    </row>
    <row r="23" spans="1:239" s="468" customFormat="1" x14ac:dyDescent="0.2">
      <c r="A23" s="472"/>
      <c r="B23" s="472"/>
      <c r="C23" s="322" t="s">
        <v>1095</v>
      </c>
      <c r="D23" s="322"/>
      <c r="E23" s="211"/>
      <c r="F23" s="212"/>
      <c r="G23" s="220"/>
      <c r="H23" s="220"/>
      <c r="I23" s="220"/>
      <c r="J23" s="220"/>
      <c r="K23" s="220"/>
      <c r="L23" s="220"/>
      <c r="M23" s="220"/>
      <c r="N23" s="221"/>
      <c r="O23" s="220"/>
      <c r="P23" s="220"/>
      <c r="Q23" s="220"/>
      <c r="R23" s="220"/>
      <c r="S23" s="220"/>
      <c r="T23" s="221"/>
      <c r="U23" s="192">
        <f>O23+Q23+S23</f>
        <v>0</v>
      </c>
      <c r="V23" s="192">
        <f>P23+R23+T23</f>
        <v>0</v>
      </c>
      <c r="W23" s="270">
        <f>E23+G23+I23+K23+M23+U23</f>
        <v>0</v>
      </c>
      <c r="X23" s="271">
        <f>F23+H23+J23+L23+N23+V23</f>
        <v>0</v>
      </c>
      <c r="Y23" s="305"/>
      <c r="Z23" s="306"/>
      <c r="AA23" s="273"/>
      <c r="AB23" s="138"/>
      <c r="AC23" s="274" t="s">
        <v>1096</v>
      </c>
      <c r="AD23" s="44">
        <f>'J. GASB 68 TSERS'!C92</f>
        <v>0</v>
      </c>
      <c r="AE23" s="44"/>
      <c r="AF23" s="274"/>
      <c r="AG23" s="44"/>
      <c r="AH23" s="275"/>
      <c r="AI23" s="44"/>
      <c r="AJ23" s="274"/>
      <c r="AK23" s="138"/>
      <c r="AL23" s="220"/>
      <c r="AM23" s="220"/>
      <c r="AN23" s="270">
        <f>W23+Y23+AA23+AD23+AI23+AL23</f>
        <v>0</v>
      </c>
      <c r="AO23" s="271">
        <f>X23+Z23+AB23+AG23+AK23+AM23</f>
        <v>0</v>
      </c>
      <c r="AP23" s="192"/>
      <c r="AQ23" s="271"/>
      <c r="AR23" s="192">
        <f>IF(AN23-AO23&lt;0, " ",AN23-AO23)</f>
        <v>0</v>
      </c>
      <c r="AS23" s="271">
        <f>IF(AN23-AO23&gt;0, " ",AO23-AN23)</f>
        <v>0</v>
      </c>
      <c r="AT23" s="45"/>
      <c r="AU23" s="36"/>
      <c r="AV23" s="36"/>
      <c r="AW23" s="36"/>
      <c r="AX23" s="36"/>
    </row>
    <row r="24" spans="1:239" x14ac:dyDescent="0.2">
      <c r="A24" s="11"/>
      <c r="B24" s="11"/>
      <c r="C24" s="322"/>
      <c r="D24" s="322"/>
      <c r="E24" s="211"/>
      <c r="F24" s="212"/>
      <c r="G24" s="220"/>
      <c r="H24" s="220"/>
      <c r="I24" s="220"/>
      <c r="J24" s="220"/>
      <c r="K24" s="220"/>
      <c r="L24" s="220"/>
      <c r="M24" s="220"/>
      <c r="N24" s="221"/>
      <c r="O24" s="220"/>
      <c r="P24" s="220"/>
      <c r="Q24" s="220"/>
      <c r="R24" s="220"/>
      <c r="S24" s="220"/>
      <c r="T24" s="221"/>
      <c r="U24" s="192"/>
      <c r="V24" s="192"/>
      <c r="W24" s="270"/>
      <c r="X24" s="271"/>
      <c r="Y24" s="305"/>
      <c r="Z24" s="306"/>
      <c r="AA24" s="273"/>
      <c r="AB24" s="138"/>
      <c r="AC24" s="274"/>
      <c r="AD24" s="44"/>
      <c r="AE24" s="44"/>
      <c r="AF24" s="274"/>
      <c r="AG24" s="44"/>
      <c r="AH24" s="275"/>
      <c r="AI24" s="44"/>
      <c r="AJ24" s="274"/>
      <c r="AK24" s="138"/>
      <c r="AL24" s="220"/>
      <c r="AM24" s="220"/>
      <c r="AN24" s="270"/>
      <c r="AO24" s="271"/>
      <c r="AP24" s="192"/>
      <c r="AQ24" s="271"/>
      <c r="AR24" s="192"/>
      <c r="AS24" s="271"/>
      <c r="AT24" s="45"/>
      <c r="AU24" s="36"/>
      <c r="AV24" s="36"/>
      <c r="AW24" s="36"/>
      <c r="AX24" s="36"/>
    </row>
    <row r="25" spans="1:239" x14ac:dyDescent="0.2">
      <c r="A25" s="11"/>
      <c r="B25" s="30"/>
      <c r="C25" s="339" t="s">
        <v>530</v>
      </c>
      <c r="D25" s="339"/>
      <c r="E25" s="213"/>
      <c r="F25" s="214"/>
      <c r="G25" s="222"/>
      <c r="H25" s="222"/>
      <c r="I25" s="222"/>
      <c r="J25" s="222"/>
      <c r="K25" s="222"/>
      <c r="L25" s="222"/>
      <c r="M25" s="222"/>
      <c r="N25" s="223"/>
      <c r="O25" s="222"/>
      <c r="P25" s="222"/>
      <c r="Q25" s="222"/>
      <c r="R25" s="222"/>
      <c r="S25" s="222"/>
      <c r="T25" s="223"/>
      <c r="U25" s="192">
        <f t="shared" si="0"/>
        <v>0</v>
      </c>
      <c r="V25" s="192">
        <f t="shared" si="1"/>
        <v>0</v>
      </c>
      <c r="W25" s="270">
        <f t="shared" si="4"/>
        <v>0</v>
      </c>
      <c r="X25" s="271">
        <f t="shared" si="5"/>
        <v>0</v>
      </c>
      <c r="Y25" s="307">
        <f>'Beginning Capital Assets &amp; LTD'!I55</f>
        <v>0</v>
      </c>
      <c r="Z25" s="308"/>
      <c r="AA25" s="276"/>
      <c r="AB25" s="186"/>
      <c r="AC25" s="277" t="str">
        <f>'C. Capital Outlay &amp; Donations'!D100</f>
        <v>C.1</v>
      </c>
      <c r="AD25" s="185">
        <f>'C. Capital Outlay &amp; Donations'!K100</f>
        <v>0</v>
      </c>
      <c r="AE25" s="185"/>
      <c r="AF25" s="277" t="str">
        <f>'D.  Capital Asset Disposal'!D189</f>
        <v>D.1</v>
      </c>
      <c r="AG25" s="185">
        <f>'D.  Capital Asset Disposal'!O217</f>
        <v>0</v>
      </c>
      <c r="AH25" s="278"/>
      <c r="AI25" s="185"/>
      <c r="AJ25" s="277"/>
      <c r="AK25" s="186"/>
      <c r="AL25" s="222"/>
      <c r="AM25" s="222"/>
      <c r="AN25" s="270">
        <f t="shared" ref="AN25:AN32" si="8">W25+Y25+AA25+AD25+AI25+AL25</f>
        <v>0</v>
      </c>
      <c r="AO25" s="271">
        <f t="shared" ref="AO25:AO32" si="9">X25+Z25+AB25+AG25+AK25+AM25</f>
        <v>0</v>
      </c>
      <c r="AP25" s="192"/>
      <c r="AQ25" s="271"/>
      <c r="AR25" s="192" t="str">
        <f>IF(AN25+AN26+AN27-AO25-AO26-AO27&lt;=0, " ",AN25+AN26+AN27-AO25-AO26-AO27)</f>
        <v xml:space="preserve"> </v>
      </c>
      <c r="AS25" s="271" t="str">
        <f>IF(AN25+AN26+AN27-AO25-AO26-AO27&gt;=0, " ",AO25+AO26+AO27-AN25-AN26-AN27)</f>
        <v xml:space="preserve"> </v>
      </c>
      <c r="AT25" s="44"/>
      <c r="AU25" s="78"/>
      <c r="AV25" s="78"/>
      <c r="AW25" s="78"/>
      <c r="AX25" s="78"/>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row>
    <row r="26" spans="1:239" x14ac:dyDescent="0.2">
      <c r="A26" s="11"/>
      <c r="B26" s="30"/>
      <c r="C26" s="339"/>
      <c r="D26" s="339"/>
      <c r="E26" s="213"/>
      <c r="F26" s="214"/>
      <c r="G26" s="222"/>
      <c r="H26" s="222"/>
      <c r="I26" s="222"/>
      <c r="J26" s="222"/>
      <c r="K26" s="222"/>
      <c r="L26" s="222"/>
      <c r="M26" s="222"/>
      <c r="N26" s="223"/>
      <c r="O26" s="222"/>
      <c r="P26" s="222"/>
      <c r="Q26" s="222"/>
      <c r="R26" s="222"/>
      <c r="S26" s="222"/>
      <c r="T26" s="223"/>
      <c r="U26" s="192">
        <f t="shared" si="0"/>
        <v>0</v>
      </c>
      <c r="V26" s="192">
        <f t="shared" si="1"/>
        <v>0</v>
      </c>
      <c r="W26" s="270">
        <f t="shared" si="4"/>
        <v>0</v>
      </c>
      <c r="X26" s="271">
        <f t="shared" si="5"/>
        <v>0</v>
      </c>
      <c r="Y26" s="307"/>
      <c r="Z26" s="308"/>
      <c r="AA26" s="276"/>
      <c r="AB26" s="186"/>
      <c r="AC26" s="277" t="str">
        <f>'D.  Capital Asset Disposal'!D189</f>
        <v>D.1</v>
      </c>
      <c r="AD26" s="185">
        <f>'D.  Capital Asset Disposal'!M217</f>
        <v>0</v>
      </c>
      <c r="AE26" s="185"/>
      <c r="AF26" s="281"/>
      <c r="AG26" s="187"/>
      <c r="AH26" s="278"/>
      <c r="AI26" s="185"/>
      <c r="AJ26" s="277"/>
      <c r="AK26" s="186"/>
      <c r="AL26" s="222"/>
      <c r="AM26" s="222"/>
      <c r="AN26" s="270">
        <f t="shared" si="8"/>
        <v>0</v>
      </c>
      <c r="AO26" s="271">
        <f t="shared" si="9"/>
        <v>0</v>
      </c>
      <c r="AP26" s="192"/>
      <c r="AQ26" s="271"/>
      <c r="AR26" s="192"/>
      <c r="AS26" s="271"/>
      <c r="AT26" s="44"/>
      <c r="AU26" s="78"/>
      <c r="AV26" s="78"/>
      <c r="AW26" s="78"/>
      <c r="AX26" s="78"/>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row>
    <row r="27" spans="1:239" x14ac:dyDescent="0.2">
      <c r="A27" s="11"/>
      <c r="B27" s="30"/>
      <c r="C27" s="339"/>
      <c r="D27" s="339"/>
      <c r="E27" s="213"/>
      <c r="F27" s="214"/>
      <c r="G27" s="222"/>
      <c r="H27" s="222"/>
      <c r="I27" s="222"/>
      <c r="J27" s="222"/>
      <c r="K27" s="222"/>
      <c r="L27" s="222"/>
      <c r="M27" s="222"/>
      <c r="N27" s="223"/>
      <c r="O27" s="222"/>
      <c r="P27" s="222"/>
      <c r="Q27" s="222"/>
      <c r="R27" s="222"/>
      <c r="S27" s="222"/>
      <c r="T27" s="223"/>
      <c r="U27" s="192">
        <f t="shared" si="0"/>
        <v>0</v>
      </c>
      <c r="V27" s="192">
        <f t="shared" si="1"/>
        <v>0</v>
      </c>
      <c r="W27" s="270">
        <f t="shared" si="4"/>
        <v>0</v>
      </c>
      <c r="X27" s="271">
        <f t="shared" si="5"/>
        <v>0</v>
      </c>
      <c r="Y27" s="307"/>
      <c r="Z27" s="308"/>
      <c r="AA27" s="276"/>
      <c r="AB27" s="186"/>
      <c r="AC27" s="277" t="str">
        <f>'C. Capital Outlay &amp; Donations'!$D$154</f>
        <v>C.3</v>
      </c>
      <c r="AD27" s="185">
        <f>'C. Capital Outlay &amp; Donations'!K154</f>
        <v>0</v>
      </c>
      <c r="AE27" s="185"/>
      <c r="AF27" s="281"/>
      <c r="AG27" s="187"/>
      <c r="AH27" s="278"/>
      <c r="AI27" s="185"/>
      <c r="AJ27" s="277"/>
      <c r="AK27" s="186"/>
      <c r="AL27" s="222"/>
      <c r="AM27" s="222"/>
      <c r="AN27" s="270">
        <f t="shared" si="8"/>
        <v>0</v>
      </c>
      <c r="AO27" s="271">
        <f t="shared" si="9"/>
        <v>0</v>
      </c>
      <c r="AP27" s="192"/>
      <c r="AQ27" s="271"/>
      <c r="AR27" s="192"/>
      <c r="AS27" s="271"/>
      <c r="AT27" s="44"/>
      <c r="AU27" s="78"/>
      <c r="AV27" s="78"/>
      <c r="AW27" s="78"/>
      <c r="AX27" s="78"/>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row>
    <row r="28" spans="1:239" x14ac:dyDescent="0.2">
      <c r="A28" s="11"/>
      <c r="B28" s="30"/>
      <c r="C28" s="322" t="s">
        <v>535</v>
      </c>
      <c r="D28" s="322"/>
      <c r="E28" s="211"/>
      <c r="F28" s="212"/>
      <c r="G28" s="220"/>
      <c r="H28" s="220"/>
      <c r="I28" s="220"/>
      <c r="J28" s="220"/>
      <c r="K28" s="220"/>
      <c r="L28" s="220"/>
      <c r="M28" s="220"/>
      <c r="N28" s="221"/>
      <c r="O28" s="220"/>
      <c r="P28" s="220"/>
      <c r="Q28" s="220"/>
      <c r="R28" s="220"/>
      <c r="S28" s="220"/>
      <c r="T28" s="221"/>
      <c r="U28" s="192">
        <f t="shared" si="0"/>
        <v>0</v>
      </c>
      <c r="V28" s="192">
        <f t="shared" si="1"/>
        <v>0</v>
      </c>
      <c r="W28" s="270">
        <f t="shared" si="4"/>
        <v>0</v>
      </c>
      <c r="X28" s="271">
        <f t="shared" si="5"/>
        <v>0</v>
      </c>
      <c r="Y28" s="305">
        <f>'Beginning Capital Assets &amp; LTD'!I56</f>
        <v>0</v>
      </c>
      <c r="Z28" s="306"/>
      <c r="AA28" s="273"/>
      <c r="AB28" s="138"/>
      <c r="AC28" s="274" t="str">
        <f>'C. Capital Outlay &amp; Donations'!D100</f>
        <v>C.1</v>
      </c>
      <c r="AD28" s="44">
        <f>'C. Capital Outlay &amp; Donations'!K101</f>
        <v>0</v>
      </c>
      <c r="AE28" s="44"/>
      <c r="AF28" s="274"/>
      <c r="AG28" s="44"/>
      <c r="AH28" s="275"/>
      <c r="AI28" s="44"/>
      <c r="AJ28" s="274"/>
      <c r="AK28" s="138"/>
      <c r="AL28" s="220"/>
      <c r="AM28" s="220"/>
      <c r="AN28" s="270">
        <f t="shared" si="8"/>
        <v>0</v>
      </c>
      <c r="AO28" s="271">
        <f t="shared" si="9"/>
        <v>0</v>
      </c>
      <c r="AP28" s="192"/>
      <c r="AQ28" s="271"/>
      <c r="AR28" s="192">
        <f>IF(AN28-AO28&lt;0, " ",AN28-AO28)</f>
        <v>0</v>
      </c>
      <c r="AS28" s="271">
        <f>IF(AN28-AO28&gt;0, " ",AO28-AN28)</f>
        <v>0</v>
      </c>
      <c r="AT28" s="44"/>
      <c r="AU28" s="78"/>
      <c r="AV28" s="78"/>
      <c r="AW28" s="78"/>
      <c r="AX28" s="78"/>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row>
    <row r="29" spans="1:239" s="11" customFormat="1" x14ac:dyDescent="0.2">
      <c r="B29" s="30"/>
      <c r="C29" s="339" t="s">
        <v>531</v>
      </c>
      <c r="D29" s="339"/>
      <c r="E29" s="213"/>
      <c r="F29" s="214"/>
      <c r="G29" s="222"/>
      <c r="H29" s="222"/>
      <c r="I29" s="222"/>
      <c r="J29" s="222"/>
      <c r="K29" s="222"/>
      <c r="L29" s="222"/>
      <c r="M29" s="222"/>
      <c r="N29" s="223"/>
      <c r="O29" s="222"/>
      <c r="P29" s="222"/>
      <c r="Q29" s="222"/>
      <c r="R29" s="222"/>
      <c r="S29" s="222"/>
      <c r="T29" s="223"/>
      <c r="U29" s="192">
        <f t="shared" si="0"/>
        <v>0</v>
      </c>
      <c r="V29" s="192">
        <f t="shared" si="1"/>
        <v>0</v>
      </c>
      <c r="W29" s="270">
        <f t="shared" si="4"/>
        <v>0</v>
      </c>
      <c r="X29" s="271">
        <f t="shared" si="5"/>
        <v>0</v>
      </c>
      <c r="Y29" s="307">
        <f>'Beginning Capital Assets &amp; LTD'!I57</f>
        <v>0</v>
      </c>
      <c r="Z29" s="308"/>
      <c r="AA29" s="276"/>
      <c r="AB29" s="186"/>
      <c r="AC29" s="277" t="str">
        <f>'C. Capital Outlay &amp; Donations'!D100</f>
        <v>C.1</v>
      </c>
      <c r="AD29" s="185">
        <f>'C. Capital Outlay &amp; Donations'!K102</f>
        <v>0</v>
      </c>
      <c r="AE29" s="185"/>
      <c r="AF29" s="277" t="str">
        <f>'D.  Capital Asset Disposal'!D189</f>
        <v>D.1</v>
      </c>
      <c r="AG29" s="185">
        <f>'D.  Capital Asset Disposal'!O218</f>
        <v>0</v>
      </c>
      <c r="AH29" s="278"/>
      <c r="AI29" s="185"/>
      <c r="AJ29" s="277"/>
      <c r="AK29" s="186"/>
      <c r="AL29" s="222"/>
      <c r="AM29" s="222"/>
      <c r="AN29" s="270">
        <f t="shared" si="8"/>
        <v>0</v>
      </c>
      <c r="AO29" s="271">
        <f t="shared" si="9"/>
        <v>0</v>
      </c>
      <c r="AP29" s="192"/>
      <c r="AQ29" s="271"/>
      <c r="AR29" s="192" t="str">
        <f>IF(AN29+AN30+AN31-AO29-AO30-AO31&lt;=0, " ",AN29+AN30+AN31-AO29-AO30-AO31)</f>
        <v xml:space="preserve"> </v>
      </c>
      <c r="AS29" s="271">
        <f>IF(AN29+AN30+AN31-AO29-AO30-AO31&gt;0, " ",AO29+AO30+AO31-AN29-AN30-AN31)</f>
        <v>0</v>
      </c>
      <c r="AT29" s="44"/>
      <c r="AU29" s="78"/>
      <c r="AV29" s="78"/>
      <c r="AW29" s="78"/>
      <c r="AX29" s="78"/>
    </row>
    <row r="30" spans="1:239" s="11" customFormat="1" x14ac:dyDescent="0.2">
      <c r="B30" s="30"/>
      <c r="C30" s="339"/>
      <c r="D30" s="339"/>
      <c r="E30" s="213"/>
      <c r="F30" s="214"/>
      <c r="G30" s="222"/>
      <c r="H30" s="222"/>
      <c r="I30" s="222"/>
      <c r="J30" s="222"/>
      <c r="K30" s="222"/>
      <c r="L30" s="222"/>
      <c r="M30" s="222"/>
      <c r="N30" s="223"/>
      <c r="O30" s="222"/>
      <c r="P30" s="222"/>
      <c r="Q30" s="222"/>
      <c r="R30" s="222"/>
      <c r="S30" s="222"/>
      <c r="T30" s="223"/>
      <c r="U30" s="192">
        <f t="shared" si="0"/>
        <v>0</v>
      </c>
      <c r="V30" s="192">
        <f t="shared" si="1"/>
        <v>0</v>
      </c>
      <c r="W30" s="270">
        <f t="shared" si="4"/>
        <v>0</v>
      </c>
      <c r="X30" s="271">
        <f t="shared" si="5"/>
        <v>0</v>
      </c>
      <c r="Y30" s="307"/>
      <c r="Z30" s="308"/>
      <c r="AA30" s="276"/>
      <c r="AB30" s="186"/>
      <c r="AC30" s="277" t="str">
        <f>'D.  Capital Asset Disposal'!D189</f>
        <v>D.1</v>
      </c>
      <c r="AD30" s="185">
        <f>'D.  Capital Asset Disposal'!M218</f>
        <v>0</v>
      </c>
      <c r="AE30" s="185"/>
      <c r="AF30" s="277"/>
      <c r="AG30" s="185"/>
      <c r="AH30" s="278"/>
      <c r="AI30" s="185"/>
      <c r="AJ30" s="277"/>
      <c r="AK30" s="186"/>
      <c r="AL30" s="222"/>
      <c r="AM30" s="222"/>
      <c r="AN30" s="270">
        <f t="shared" si="8"/>
        <v>0</v>
      </c>
      <c r="AO30" s="271">
        <f t="shared" si="9"/>
        <v>0</v>
      </c>
      <c r="AP30" s="192"/>
      <c r="AQ30" s="271"/>
      <c r="AR30" s="192"/>
      <c r="AS30" s="271"/>
      <c r="AT30" s="44"/>
      <c r="AU30" s="78"/>
      <c r="AV30" s="78"/>
      <c r="AW30" s="78"/>
      <c r="AX30" s="78"/>
    </row>
    <row r="31" spans="1:239" s="11" customFormat="1" x14ac:dyDescent="0.2">
      <c r="B31" s="30"/>
      <c r="C31" s="339"/>
      <c r="D31" s="339"/>
      <c r="E31" s="213"/>
      <c r="F31" s="214"/>
      <c r="G31" s="222"/>
      <c r="H31" s="222"/>
      <c r="I31" s="222"/>
      <c r="J31" s="222"/>
      <c r="K31" s="222"/>
      <c r="L31" s="222"/>
      <c r="M31" s="222"/>
      <c r="N31" s="223"/>
      <c r="O31" s="222"/>
      <c r="P31" s="222"/>
      <c r="Q31" s="222"/>
      <c r="R31" s="222"/>
      <c r="S31" s="222"/>
      <c r="T31" s="223"/>
      <c r="U31" s="192">
        <f t="shared" si="0"/>
        <v>0</v>
      </c>
      <c r="V31" s="192">
        <f t="shared" si="1"/>
        <v>0</v>
      </c>
      <c r="W31" s="270">
        <f t="shared" si="4"/>
        <v>0</v>
      </c>
      <c r="X31" s="271">
        <f t="shared" si="5"/>
        <v>0</v>
      </c>
      <c r="Y31" s="307"/>
      <c r="Z31" s="308"/>
      <c r="AA31" s="276"/>
      <c r="AB31" s="186"/>
      <c r="AC31" s="277" t="str">
        <f>'C. Capital Outlay &amp; Donations'!$D$154</f>
        <v>C.3</v>
      </c>
      <c r="AD31" s="185">
        <f>'C. Capital Outlay &amp; Donations'!K155</f>
        <v>0</v>
      </c>
      <c r="AE31" s="185"/>
      <c r="AF31" s="277"/>
      <c r="AG31" s="185"/>
      <c r="AH31" s="278"/>
      <c r="AI31" s="185"/>
      <c r="AJ31" s="277"/>
      <c r="AK31" s="186"/>
      <c r="AL31" s="222"/>
      <c r="AM31" s="222"/>
      <c r="AN31" s="270">
        <f t="shared" si="8"/>
        <v>0</v>
      </c>
      <c r="AO31" s="271">
        <f t="shared" si="9"/>
        <v>0</v>
      </c>
      <c r="AP31" s="192"/>
      <c r="AQ31" s="271"/>
      <c r="AR31" s="192"/>
      <c r="AS31" s="271"/>
      <c r="AT31" s="44"/>
      <c r="AU31" s="78"/>
      <c r="AV31" s="78"/>
      <c r="AW31" s="78"/>
      <c r="AX31" s="78"/>
    </row>
    <row r="32" spans="1:239" x14ac:dyDescent="0.2">
      <c r="A32" s="11"/>
      <c r="B32" s="30"/>
      <c r="C32" s="340" t="s">
        <v>346</v>
      </c>
      <c r="D32" s="340"/>
      <c r="E32" s="211"/>
      <c r="F32" s="212"/>
      <c r="G32" s="220"/>
      <c r="H32" s="220"/>
      <c r="I32" s="220"/>
      <c r="J32" s="220"/>
      <c r="K32" s="220"/>
      <c r="L32" s="220"/>
      <c r="M32" s="220"/>
      <c r="N32" s="221"/>
      <c r="O32" s="220"/>
      <c r="P32" s="220"/>
      <c r="Q32" s="220"/>
      <c r="R32" s="220"/>
      <c r="S32" s="220"/>
      <c r="T32" s="221"/>
      <c r="U32" s="192">
        <f t="shared" si="0"/>
        <v>0</v>
      </c>
      <c r="V32" s="192">
        <f t="shared" si="1"/>
        <v>0</v>
      </c>
      <c r="W32" s="270">
        <f t="shared" si="4"/>
        <v>0</v>
      </c>
      <c r="X32" s="271">
        <f t="shared" si="5"/>
        <v>0</v>
      </c>
      <c r="Y32" s="305"/>
      <c r="Z32" s="306">
        <f>'Beginning Capital Assets &amp; LTD'!K58</f>
        <v>0</v>
      </c>
      <c r="AA32" s="273"/>
      <c r="AB32" s="138"/>
      <c r="AC32" s="274" t="str">
        <f>'D.  Capital Asset Disposal'!D189</f>
        <v>D.1</v>
      </c>
      <c r="AD32" s="44">
        <f>'D.  Capital Asset Disposal'!M189</f>
        <v>0</v>
      </c>
      <c r="AE32" s="44"/>
      <c r="AF32" s="274" t="str">
        <f>'B. Depreciation'!A54</f>
        <v>B.1</v>
      </c>
      <c r="AG32" s="44">
        <f>'B. Depreciation'!L73</f>
        <v>0</v>
      </c>
      <c r="AH32" s="275"/>
      <c r="AI32" s="44"/>
      <c r="AJ32" s="274"/>
      <c r="AK32" s="138"/>
      <c r="AL32" s="220"/>
      <c r="AM32" s="220"/>
      <c r="AN32" s="270">
        <f t="shared" si="8"/>
        <v>0</v>
      </c>
      <c r="AO32" s="271">
        <f t="shared" si="9"/>
        <v>0</v>
      </c>
      <c r="AP32" s="192"/>
      <c r="AQ32" s="271"/>
      <c r="AR32" s="192">
        <f>IF(AN32-AO32&lt;0, " ",AN32-AO32)</f>
        <v>0</v>
      </c>
      <c r="AS32" s="271">
        <f>IF(AN32-AO32&gt;0, " ",AO32-AN32)</f>
        <v>0</v>
      </c>
      <c r="AT32" s="44"/>
      <c r="AU32" s="78"/>
      <c r="AV32" s="78"/>
      <c r="AW32" s="78"/>
      <c r="AX32" s="78"/>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row>
    <row r="33" spans="1:239" x14ac:dyDescent="0.2">
      <c r="A33" s="11"/>
      <c r="B33" s="30"/>
      <c r="C33" s="340"/>
      <c r="D33" s="340"/>
      <c r="E33" s="211"/>
      <c r="F33" s="212"/>
      <c r="G33" s="220"/>
      <c r="H33" s="220"/>
      <c r="I33" s="220"/>
      <c r="J33" s="220"/>
      <c r="K33" s="220"/>
      <c r="L33" s="220"/>
      <c r="M33" s="220"/>
      <c r="N33" s="221"/>
      <c r="O33" s="220"/>
      <c r="P33" s="220"/>
      <c r="Q33" s="220"/>
      <c r="R33" s="220"/>
      <c r="S33" s="220"/>
      <c r="T33" s="221"/>
      <c r="U33" s="192"/>
      <c r="V33" s="192"/>
      <c r="W33" s="270"/>
      <c r="X33" s="271"/>
      <c r="Y33" s="305"/>
      <c r="Z33" s="306"/>
      <c r="AA33" s="273"/>
      <c r="AB33" s="138"/>
      <c r="AC33" s="274"/>
      <c r="AD33" s="44"/>
      <c r="AE33" s="44"/>
      <c r="AF33" s="274"/>
      <c r="AG33" s="44"/>
      <c r="AH33" s="275"/>
      <c r="AI33" s="44"/>
      <c r="AJ33" s="274"/>
      <c r="AK33" s="138"/>
      <c r="AL33" s="220"/>
      <c r="AM33" s="220"/>
      <c r="AN33" s="270"/>
      <c r="AO33" s="271"/>
      <c r="AP33" s="192"/>
      <c r="AQ33" s="271"/>
      <c r="AR33" s="192"/>
      <c r="AS33" s="271"/>
      <c r="AT33" s="44"/>
      <c r="AU33" s="78"/>
      <c r="AV33" s="78"/>
      <c r="AW33" s="78"/>
      <c r="AX33" s="78"/>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row>
    <row r="34" spans="1:239" x14ac:dyDescent="0.2">
      <c r="A34" s="11"/>
      <c r="B34" s="30"/>
      <c r="C34" s="339" t="s">
        <v>641</v>
      </c>
      <c r="D34" s="339"/>
      <c r="E34" s="213"/>
      <c r="F34" s="214"/>
      <c r="G34" s="222"/>
      <c r="H34" s="222"/>
      <c r="I34" s="222"/>
      <c r="J34" s="222"/>
      <c r="K34" s="222"/>
      <c r="L34" s="222"/>
      <c r="M34" s="222"/>
      <c r="N34" s="223"/>
      <c r="O34" s="222"/>
      <c r="P34" s="222"/>
      <c r="Q34" s="222"/>
      <c r="R34" s="222"/>
      <c r="S34" s="222"/>
      <c r="T34" s="223"/>
      <c r="U34" s="192">
        <f t="shared" si="0"/>
        <v>0</v>
      </c>
      <c r="V34" s="192">
        <f t="shared" si="1"/>
        <v>0</v>
      </c>
      <c r="W34" s="270">
        <f t="shared" si="4"/>
        <v>0</v>
      </c>
      <c r="X34" s="271">
        <f t="shared" si="5"/>
        <v>0</v>
      </c>
      <c r="Y34" s="307">
        <f>'Beginning Capital Assets &amp; LTD'!I59</f>
        <v>0</v>
      </c>
      <c r="Z34" s="308"/>
      <c r="AA34" s="276"/>
      <c r="AB34" s="186"/>
      <c r="AC34" s="277" t="str">
        <f>'C. Capital Outlay &amp; Donations'!D100</f>
        <v>C.1</v>
      </c>
      <c r="AD34" s="185">
        <f>'C. Capital Outlay &amp; Donations'!K104</f>
        <v>0</v>
      </c>
      <c r="AE34" s="185"/>
      <c r="AF34" s="277" t="str">
        <f>'D.  Capital Asset Disposal'!D189</f>
        <v>D.1</v>
      </c>
      <c r="AG34" s="185">
        <f>'D.  Capital Asset Disposal'!O219</f>
        <v>0</v>
      </c>
      <c r="AH34" s="278"/>
      <c r="AI34" s="185"/>
      <c r="AJ34" s="277"/>
      <c r="AK34" s="186"/>
      <c r="AL34" s="222"/>
      <c r="AM34" s="222"/>
      <c r="AN34" s="270">
        <f>W34+Y34+AA34+AD34+AI34+AL34</f>
        <v>0</v>
      </c>
      <c r="AO34" s="271">
        <f>X34+Z34+AB34+AG34+AK34+AM34</f>
        <v>0</v>
      </c>
      <c r="AP34" s="192"/>
      <c r="AQ34" s="271"/>
      <c r="AR34" s="192" t="str">
        <f>IF(AN34+AN35+AN36-AO34-AO35-AO36&lt;=0, " ",AN34+AN35+AN36-AO34-AO35-AO36)</f>
        <v xml:space="preserve"> </v>
      </c>
      <c r="AS34" s="271">
        <f>IF(AN34+AN35+AN36-AO34-AO35-AO36&gt;0, " ",AO34+AO35+AO36-AN34-AN35-AN36)</f>
        <v>0</v>
      </c>
      <c r="AT34" s="44"/>
      <c r="AU34" s="78"/>
      <c r="AV34" s="78"/>
      <c r="AW34" s="78"/>
      <c r="AX34" s="78"/>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row>
    <row r="35" spans="1:239" x14ac:dyDescent="0.2">
      <c r="A35" s="11"/>
      <c r="B35" s="30"/>
      <c r="C35" s="339"/>
      <c r="D35" s="339"/>
      <c r="E35" s="213"/>
      <c r="F35" s="214"/>
      <c r="G35" s="222"/>
      <c r="H35" s="222"/>
      <c r="I35" s="222"/>
      <c r="J35" s="222"/>
      <c r="K35" s="222"/>
      <c r="L35" s="222"/>
      <c r="M35" s="222"/>
      <c r="N35" s="223"/>
      <c r="O35" s="222"/>
      <c r="P35" s="222"/>
      <c r="Q35" s="222"/>
      <c r="R35" s="222"/>
      <c r="S35" s="222"/>
      <c r="T35" s="223"/>
      <c r="U35" s="192">
        <f t="shared" si="0"/>
        <v>0</v>
      </c>
      <c r="V35" s="192">
        <f t="shared" si="1"/>
        <v>0</v>
      </c>
      <c r="W35" s="270">
        <f t="shared" si="4"/>
        <v>0</v>
      </c>
      <c r="X35" s="271">
        <f t="shared" si="5"/>
        <v>0</v>
      </c>
      <c r="Y35" s="307"/>
      <c r="Z35" s="308"/>
      <c r="AA35" s="276"/>
      <c r="AB35" s="186"/>
      <c r="AC35" s="277" t="str">
        <f>'D.  Capital Asset Disposal'!D189</f>
        <v>D.1</v>
      </c>
      <c r="AD35" s="185">
        <f>'D.  Capital Asset Disposal'!M219</f>
        <v>0</v>
      </c>
      <c r="AE35" s="185"/>
      <c r="AF35" s="277"/>
      <c r="AG35" s="185"/>
      <c r="AH35" s="278"/>
      <c r="AI35" s="185"/>
      <c r="AJ35" s="277"/>
      <c r="AK35" s="186"/>
      <c r="AL35" s="222"/>
      <c r="AM35" s="222"/>
      <c r="AN35" s="270">
        <f>W35+Y35+AA35+AD35+AI35+AL35</f>
        <v>0</v>
      </c>
      <c r="AO35" s="271">
        <f>X35+Z35+AB35+AG35+AK35+AM35</f>
        <v>0</v>
      </c>
      <c r="AP35" s="192"/>
      <c r="AQ35" s="271"/>
      <c r="AR35" s="192"/>
      <c r="AS35" s="271"/>
      <c r="AT35" s="44"/>
      <c r="AU35" s="78"/>
      <c r="AV35" s="78"/>
      <c r="AW35" s="78"/>
      <c r="AX35" s="78"/>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row>
    <row r="36" spans="1:239" x14ac:dyDescent="0.2">
      <c r="A36" s="11"/>
      <c r="B36" s="30"/>
      <c r="C36" s="339"/>
      <c r="D36" s="339"/>
      <c r="E36" s="213"/>
      <c r="F36" s="214"/>
      <c r="G36" s="222"/>
      <c r="H36" s="222"/>
      <c r="I36" s="222"/>
      <c r="J36" s="222"/>
      <c r="K36" s="222"/>
      <c r="L36" s="222"/>
      <c r="M36" s="222"/>
      <c r="N36" s="223"/>
      <c r="O36" s="222"/>
      <c r="P36" s="222"/>
      <c r="Q36" s="222"/>
      <c r="R36" s="222"/>
      <c r="S36" s="222"/>
      <c r="T36" s="223"/>
      <c r="U36" s="192">
        <f t="shared" si="0"/>
        <v>0</v>
      </c>
      <c r="V36" s="192">
        <f t="shared" si="1"/>
        <v>0</v>
      </c>
      <c r="W36" s="270">
        <f t="shared" si="4"/>
        <v>0</v>
      </c>
      <c r="X36" s="271">
        <f t="shared" si="5"/>
        <v>0</v>
      </c>
      <c r="Y36" s="307"/>
      <c r="Z36" s="308"/>
      <c r="AA36" s="276"/>
      <c r="AB36" s="186"/>
      <c r="AC36" s="277" t="str">
        <f>'C. Capital Outlay &amp; Donations'!$D$154</f>
        <v>C.3</v>
      </c>
      <c r="AD36" s="185">
        <f>'C. Capital Outlay &amp; Donations'!K156</f>
        <v>0</v>
      </c>
      <c r="AE36" s="185"/>
      <c r="AF36" s="277"/>
      <c r="AG36" s="185"/>
      <c r="AH36" s="278"/>
      <c r="AI36" s="185"/>
      <c r="AJ36" s="277"/>
      <c r="AK36" s="186"/>
      <c r="AL36" s="222"/>
      <c r="AM36" s="222"/>
      <c r="AN36" s="270">
        <f>W36+Y36+AA36+AD36+AI36+AL36</f>
        <v>0</v>
      </c>
      <c r="AO36" s="271">
        <f>X36+Z36+AB36+AG36+AK36+AM36</f>
        <v>0</v>
      </c>
      <c r="AP36" s="192"/>
      <c r="AQ36" s="271"/>
      <c r="AR36" s="192"/>
      <c r="AS36" s="271"/>
      <c r="AT36" s="44"/>
      <c r="AU36" s="78"/>
      <c r="AV36" s="78"/>
      <c r="AW36" s="78"/>
      <c r="AX36" s="78"/>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row>
    <row r="37" spans="1:239" x14ac:dyDescent="0.2">
      <c r="A37" s="11"/>
      <c r="B37" s="30"/>
      <c r="C37" s="322" t="s">
        <v>674</v>
      </c>
      <c r="D37" s="322"/>
      <c r="E37" s="211"/>
      <c r="F37" s="212"/>
      <c r="G37" s="220"/>
      <c r="H37" s="220"/>
      <c r="I37" s="220"/>
      <c r="J37" s="220"/>
      <c r="K37" s="220"/>
      <c r="L37" s="220"/>
      <c r="M37" s="220"/>
      <c r="N37" s="221"/>
      <c r="O37" s="220"/>
      <c r="P37" s="220"/>
      <c r="Q37" s="220"/>
      <c r="R37" s="220"/>
      <c r="S37" s="220"/>
      <c r="T37" s="221"/>
      <c r="U37" s="192">
        <f t="shared" si="0"/>
        <v>0</v>
      </c>
      <c r="V37" s="192">
        <f t="shared" si="1"/>
        <v>0</v>
      </c>
      <c r="W37" s="270">
        <f t="shared" si="4"/>
        <v>0</v>
      </c>
      <c r="X37" s="271">
        <f t="shared" si="5"/>
        <v>0</v>
      </c>
      <c r="Y37" s="305"/>
      <c r="Z37" s="306">
        <f>'Beginning Capital Assets &amp; LTD'!K60</f>
        <v>0</v>
      </c>
      <c r="AA37" s="273"/>
      <c r="AB37" s="138"/>
      <c r="AC37" s="274" t="str">
        <f>'D.  Capital Asset Disposal'!D189</f>
        <v>D.1</v>
      </c>
      <c r="AD37" s="44">
        <f>'D.  Capital Asset Disposal'!M190</f>
        <v>0</v>
      </c>
      <c r="AE37" s="44"/>
      <c r="AF37" s="274" t="str">
        <f>'B. Depreciation'!A54</f>
        <v>B.1</v>
      </c>
      <c r="AG37" s="44">
        <f>'B. Depreciation'!L74</f>
        <v>0</v>
      </c>
      <c r="AH37" s="275"/>
      <c r="AI37" s="44"/>
      <c r="AJ37" s="274"/>
      <c r="AK37" s="138"/>
      <c r="AL37" s="220"/>
      <c r="AM37" s="220"/>
      <c r="AN37" s="270">
        <f>W37+Y37+AA37+AD37+AI37+AL37</f>
        <v>0</v>
      </c>
      <c r="AO37" s="271">
        <f>X37+Z37+AB37+AG37+AK37+AM37</f>
        <v>0</v>
      </c>
      <c r="AP37" s="192"/>
      <c r="AQ37" s="271"/>
      <c r="AR37" s="192">
        <f>IF(AN37-AO37&lt;0, " ",AN37-AO37)</f>
        <v>0</v>
      </c>
      <c r="AS37" s="271">
        <f>IF(AN37-AO37&gt;0, " ",AO37-AN37)</f>
        <v>0</v>
      </c>
      <c r="AT37" s="44"/>
      <c r="AU37" s="78"/>
      <c r="AV37" s="78"/>
      <c r="AW37" s="78"/>
      <c r="AX37" s="78"/>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row>
    <row r="38" spans="1:239" x14ac:dyDescent="0.2">
      <c r="A38" s="11"/>
      <c r="B38" s="30"/>
      <c r="C38" s="322"/>
      <c r="D38" s="322"/>
      <c r="E38" s="211"/>
      <c r="F38" s="212"/>
      <c r="G38" s="220"/>
      <c r="H38" s="220"/>
      <c r="I38" s="220"/>
      <c r="J38" s="220"/>
      <c r="K38" s="220"/>
      <c r="L38" s="220"/>
      <c r="M38" s="220"/>
      <c r="N38" s="221"/>
      <c r="O38" s="220"/>
      <c r="P38" s="220"/>
      <c r="Q38" s="220"/>
      <c r="R38" s="220"/>
      <c r="S38" s="220"/>
      <c r="T38" s="221"/>
      <c r="U38" s="192"/>
      <c r="V38" s="192"/>
      <c r="W38" s="270"/>
      <c r="X38" s="271"/>
      <c r="Y38" s="305"/>
      <c r="Z38" s="306"/>
      <c r="AA38" s="273"/>
      <c r="AB38" s="138"/>
      <c r="AC38" s="274"/>
      <c r="AD38" s="44"/>
      <c r="AE38" s="44"/>
      <c r="AF38" s="274"/>
      <c r="AG38" s="44"/>
      <c r="AH38" s="275"/>
      <c r="AI38" s="44"/>
      <c r="AJ38" s="274"/>
      <c r="AK38" s="138"/>
      <c r="AL38" s="220"/>
      <c r="AM38" s="220"/>
      <c r="AN38" s="270"/>
      <c r="AO38" s="271"/>
      <c r="AP38" s="192"/>
      <c r="AQ38" s="271"/>
      <c r="AR38" s="192"/>
      <c r="AS38" s="271"/>
      <c r="AT38" s="44"/>
      <c r="AU38" s="78"/>
      <c r="AV38" s="78"/>
      <c r="AW38" s="78"/>
      <c r="AX38" s="78"/>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row>
    <row r="39" spans="1:239" x14ac:dyDescent="0.2">
      <c r="A39" s="11"/>
      <c r="B39" s="30"/>
      <c r="C39" s="339" t="s">
        <v>355</v>
      </c>
      <c r="D39" s="339"/>
      <c r="E39" s="213"/>
      <c r="F39" s="214"/>
      <c r="G39" s="222"/>
      <c r="H39" s="222"/>
      <c r="I39" s="222"/>
      <c r="J39" s="222"/>
      <c r="K39" s="222"/>
      <c r="L39" s="222"/>
      <c r="M39" s="222"/>
      <c r="N39" s="223"/>
      <c r="O39" s="222"/>
      <c r="P39" s="222"/>
      <c r="Q39" s="222"/>
      <c r="R39" s="222"/>
      <c r="S39" s="222"/>
      <c r="T39" s="223"/>
      <c r="U39" s="192">
        <f t="shared" si="0"/>
        <v>0</v>
      </c>
      <c r="V39" s="192">
        <f t="shared" si="1"/>
        <v>0</v>
      </c>
      <c r="W39" s="270">
        <f t="shared" si="4"/>
        <v>0</v>
      </c>
      <c r="X39" s="271">
        <f t="shared" si="5"/>
        <v>0</v>
      </c>
      <c r="Y39" s="307">
        <f>'Beginning Capital Assets &amp; LTD'!I61</f>
        <v>0</v>
      </c>
      <c r="Z39" s="308"/>
      <c r="AA39" s="276"/>
      <c r="AB39" s="186"/>
      <c r="AC39" s="277" t="str">
        <f>'C. Capital Outlay &amp; Donations'!D100</f>
        <v>C.1</v>
      </c>
      <c r="AD39" s="185">
        <f>'C. Capital Outlay &amp; Donations'!K105</f>
        <v>0</v>
      </c>
      <c r="AE39" s="185"/>
      <c r="AF39" s="277" t="str">
        <f>'D.  Capital Asset Disposal'!D189</f>
        <v>D.1</v>
      </c>
      <c r="AG39" s="185">
        <f>'D.  Capital Asset Disposal'!O221</f>
        <v>0</v>
      </c>
      <c r="AH39" s="278"/>
      <c r="AI39" s="185"/>
      <c r="AJ39" s="277"/>
      <c r="AK39" s="186"/>
      <c r="AL39" s="222"/>
      <c r="AM39" s="222"/>
      <c r="AN39" s="270">
        <f>W39+Y39+AA39+AD39+AI39+AL39</f>
        <v>0</v>
      </c>
      <c r="AO39" s="271">
        <f>X39+Z39+AB39+AG39+AK39+AM39</f>
        <v>0</v>
      </c>
      <c r="AP39" s="192"/>
      <c r="AQ39" s="271"/>
      <c r="AR39" s="192" t="str">
        <f>IF(AN39+AN40+AN41-AO39-AO40-AO41&lt;=0, " ",AN39+AN40+AN41-AO39-AO40-AO41)</f>
        <v xml:space="preserve"> </v>
      </c>
      <c r="AS39" s="271">
        <f>IF(AN39+AN40+AN41-AO39-AO40-AO41&gt;0, " ",AO39+AO40+AO41-AN39-AN40-AN41)</f>
        <v>0</v>
      </c>
      <c r="AT39" s="44"/>
      <c r="AU39" s="78"/>
      <c r="AV39" s="78"/>
      <c r="AW39" s="78"/>
      <c r="AX39" s="78"/>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row>
    <row r="40" spans="1:239" x14ac:dyDescent="0.2">
      <c r="A40" s="11"/>
      <c r="B40" s="30"/>
      <c r="C40" s="339"/>
      <c r="D40" s="339"/>
      <c r="E40" s="213"/>
      <c r="F40" s="214"/>
      <c r="G40" s="222"/>
      <c r="H40" s="222"/>
      <c r="I40" s="222"/>
      <c r="J40" s="222"/>
      <c r="K40" s="222"/>
      <c r="L40" s="222"/>
      <c r="M40" s="222"/>
      <c r="N40" s="223"/>
      <c r="O40" s="222"/>
      <c r="P40" s="222"/>
      <c r="Q40" s="222"/>
      <c r="R40" s="222"/>
      <c r="S40" s="222"/>
      <c r="T40" s="223"/>
      <c r="U40" s="192">
        <f t="shared" si="0"/>
        <v>0</v>
      </c>
      <c r="V40" s="192">
        <f t="shared" si="1"/>
        <v>0</v>
      </c>
      <c r="W40" s="270">
        <f t="shared" si="4"/>
        <v>0</v>
      </c>
      <c r="X40" s="271">
        <f t="shared" si="5"/>
        <v>0</v>
      </c>
      <c r="Y40" s="307"/>
      <c r="Z40" s="308"/>
      <c r="AA40" s="276"/>
      <c r="AB40" s="186"/>
      <c r="AC40" s="277" t="str">
        <f>'D.  Capital Asset Disposal'!D189</f>
        <v>D.1</v>
      </c>
      <c r="AD40" s="185">
        <f>'D.  Capital Asset Disposal'!M221</f>
        <v>0</v>
      </c>
      <c r="AE40" s="185"/>
      <c r="AF40" s="277"/>
      <c r="AG40" s="185"/>
      <c r="AH40" s="278"/>
      <c r="AI40" s="185"/>
      <c r="AJ40" s="277"/>
      <c r="AK40" s="186"/>
      <c r="AL40" s="222"/>
      <c r="AM40" s="222"/>
      <c r="AN40" s="270">
        <f>W40+Y40+AA40+AD40+AI40+AL40</f>
        <v>0</v>
      </c>
      <c r="AO40" s="271">
        <f>X40+Z40+AB40+AG40+AK40+AM40</f>
        <v>0</v>
      </c>
      <c r="AP40" s="192"/>
      <c r="AQ40" s="271"/>
      <c r="AR40" s="192"/>
      <c r="AS40" s="271"/>
      <c r="AT40" s="44"/>
      <c r="AU40" s="78"/>
      <c r="AV40" s="78"/>
      <c r="AW40" s="78"/>
      <c r="AX40" s="78"/>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row>
    <row r="41" spans="1:239" x14ac:dyDescent="0.2">
      <c r="A41" s="11"/>
      <c r="B41" s="30"/>
      <c r="C41" s="339"/>
      <c r="D41" s="339"/>
      <c r="E41" s="213"/>
      <c r="F41" s="214"/>
      <c r="G41" s="222"/>
      <c r="H41" s="222"/>
      <c r="I41" s="222"/>
      <c r="J41" s="222"/>
      <c r="K41" s="222"/>
      <c r="L41" s="222"/>
      <c r="M41" s="222"/>
      <c r="N41" s="223"/>
      <c r="O41" s="222"/>
      <c r="P41" s="222"/>
      <c r="Q41" s="222"/>
      <c r="R41" s="222"/>
      <c r="S41" s="222"/>
      <c r="T41" s="223"/>
      <c r="U41" s="192">
        <f t="shared" si="0"/>
        <v>0</v>
      </c>
      <c r="V41" s="192">
        <f t="shared" si="1"/>
        <v>0</v>
      </c>
      <c r="W41" s="270">
        <f t="shared" si="4"/>
        <v>0</v>
      </c>
      <c r="X41" s="271">
        <f t="shared" si="5"/>
        <v>0</v>
      </c>
      <c r="Y41" s="307"/>
      <c r="Z41" s="308"/>
      <c r="AA41" s="276"/>
      <c r="AB41" s="186"/>
      <c r="AC41" s="277" t="str">
        <f>'C. Capital Outlay &amp; Donations'!$D$154</f>
        <v>C.3</v>
      </c>
      <c r="AD41" s="185">
        <f>'C. Capital Outlay &amp; Donations'!K158</f>
        <v>0</v>
      </c>
      <c r="AE41" s="185"/>
      <c r="AF41" s="277"/>
      <c r="AG41" s="185"/>
      <c r="AH41" s="278"/>
      <c r="AI41" s="185"/>
      <c r="AJ41" s="277"/>
      <c r="AK41" s="186"/>
      <c r="AL41" s="222"/>
      <c r="AM41" s="222"/>
      <c r="AN41" s="270">
        <f>W41+Y41+AA41+AD41+AI41+AL41</f>
        <v>0</v>
      </c>
      <c r="AO41" s="271">
        <f>X41+Z41+AB41+AG41+AK41+AM41</f>
        <v>0</v>
      </c>
      <c r="AP41" s="192"/>
      <c r="AQ41" s="271"/>
      <c r="AR41" s="192"/>
      <c r="AS41" s="271"/>
      <c r="AT41" s="44"/>
      <c r="AU41" s="78"/>
      <c r="AV41" s="78"/>
      <c r="AW41" s="78"/>
      <c r="AX41" s="78"/>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row>
    <row r="42" spans="1:239" x14ac:dyDescent="0.2">
      <c r="A42" s="11"/>
      <c r="B42" s="11"/>
      <c r="C42" s="322" t="s">
        <v>148</v>
      </c>
      <c r="D42" s="322"/>
      <c r="E42" s="211"/>
      <c r="F42" s="212"/>
      <c r="G42" s="220"/>
      <c r="H42" s="220"/>
      <c r="I42" s="220"/>
      <c r="J42" s="220"/>
      <c r="K42" s="220"/>
      <c r="L42" s="220"/>
      <c r="M42" s="220"/>
      <c r="N42" s="221"/>
      <c r="O42" s="220"/>
      <c r="P42" s="220"/>
      <c r="Q42" s="220"/>
      <c r="R42" s="220"/>
      <c r="S42" s="220"/>
      <c r="T42" s="221"/>
      <c r="U42" s="192">
        <f t="shared" si="0"/>
        <v>0</v>
      </c>
      <c r="V42" s="192">
        <f t="shared" si="1"/>
        <v>0</v>
      </c>
      <c r="W42" s="270">
        <f t="shared" si="4"/>
        <v>0</v>
      </c>
      <c r="X42" s="271">
        <f t="shared" si="5"/>
        <v>0</v>
      </c>
      <c r="Y42" s="305"/>
      <c r="Z42" s="306">
        <f>'Beginning Capital Assets &amp; LTD'!K62</f>
        <v>0</v>
      </c>
      <c r="AA42" s="273"/>
      <c r="AB42" s="138"/>
      <c r="AC42" s="274" t="str">
        <f>'D.  Capital Asset Disposal'!D189</f>
        <v>D.1</v>
      </c>
      <c r="AD42" s="44">
        <f>'D.  Capital Asset Disposal'!M192</f>
        <v>0</v>
      </c>
      <c r="AE42" s="44"/>
      <c r="AF42" s="274" t="str">
        <f>'B. Depreciation'!A54</f>
        <v>B.1</v>
      </c>
      <c r="AG42" s="44">
        <f>'B. Depreciation'!L76</f>
        <v>0</v>
      </c>
      <c r="AH42" s="275"/>
      <c r="AI42" s="44"/>
      <c r="AJ42" s="274"/>
      <c r="AK42" s="138"/>
      <c r="AL42" s="220"/>
      <c r="AM42" s="220"/>
      <c r="AN42" s="270">
        <f>W42+Y42+AA42+AD42+AI42+AL42</f>
        <v>0</v>
      </c>
      <c r="AO42" s="271">
        <f>X42+Z42+AB42+AG42+AK42+AM42</f>
        <v>0</v>
      </c>
      <c r="AP42" s="192"/>
      <c r="AQ42" s="271"/>
      <c r="AR42" s="192">
        <f>IF(AN42-AO42&lt;0, " ",AN42-AO42)</f>
        <v>0</v>
      </c>
      <c r="AS42" s="271">
        <f>IF(AN42-AO42&gt;0, " ",AO42-AN42)</f>
        <v>0</v>
      </c>
      <c r="AT42" s="44"/>
      <c r="AU42" s="78"/>
      <c r="AV42" s="78"/>
      <c r="AW42" s="78"/>
      <c r="AX42" s="78"/>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row>
    <row r="43" spans="1:239" ht="12.75" customHeight="1" x14ac:dyDescent="0.2">
      <c r="C43" s="322"/>
      <c r="D43" s="322"/>
      <c r="E43" s="209"/>
      <c r="F43" s="210"/>
      <c r="G43" s="218"/>
      <c r="H43" s="218"/>
      <c r="I43" s="218"/>
      <c r="J43" s="218"/>
      <c r="K43" s="218"/>
      <c r="L43" s="218"/>
      <c r="M43" s="218"/>
      <c r="N43" s="219"/>
      <c r="O43" s="218"/>
      <c r="P43" s="218"/>
      <c r="Q43" s="218"/>
      <c r="R43" s="218"/>
      <c r="S43" s="218"/>
      <c r="T43" s="219"/>
      <c r="U43" s="192"/>
      <c r="V43" s="192"/>
      <c r="W43" s="270"/>
      <c r="X43" s="271"/>
      <c r="Y43" s="303"/>
      <c r="Z43" s="304"/>
      <c r="AA43" s="269"/>
      <c r="AB43" s="137"/>
      <c r="AC43" s="265"/>
      <c r="AD43" s="45"/>
      <c r="AE43" s="45"/>
      <c r="AF43" s="265"/>
      <c r="AG43" s="45"/>
      <c r="AH43" s="264"/>
      <c r="AI43" s="45"/>
      <c r="AJ43" s="265"/>
      <c r="AK43" s="137"/>
      <c r="AL43" s="218"/>
      <c r="AM43" s="218"/>
      <c r="AN43" s="270"/>
      <c r="AO43" s="271"/>
      <c r="AP43" s="192"/>
      <c r="AQ43" s="271"/>
      <c r="AR43" s="192"/>
      <c r="AS43" s="271"/>
      <c r="AT43" s="45"/>
      <c r="AU43" s="36"/>
      <c r="AV43" s="36"/>
      <c r="AW43" s="36"/>
      <c r="AX43" s="36"/>
    </row>
    <row r="44" spans="1:239" x14ac:dyDescent="0.2">
      <c r="C44" s="339" t="s">
        <v>642</v>
      </c>
      <c r="D44" s="339"/>
      <c r="E44" s="213"/>
      <c r="F44" s="214"/>
      <c r="G44" s="222"/>
      <c r="H44" s="222"/>
      <c r="I44" s="222"/>
      <c r="J44" s="222"/>
      <c r="K44" s="222"/>
      <c r="L44" s="222"/>
      <c r="M44" s="222"/>
      <c r="N44" s="223"/>
      <c r="O44" s="222"/>
      <c r="P44" s="222"/>
      <c r="Q44" s="222"/>
      <c r="R44" s="222"/>
      <c r="S44" s="222"/>
      <c r="T44" s="223"/>
      <c r="U44" s="192">
        <f t="shared" si="0"/>
        <v>0</v>
      </c>
      <c r="V44" s="192">
        <f t="shared" si="1"/>
        <v>0</v>
      </c>
      <c r="W44" s="270">
        <f t="shared" si="4"/>
        <v>0</v>
      </c>
      <c r="X44" s="271">
        <f t="shared" si="5"/>
        <v>0</v>
      </c>
      <c r="Y44" s="307">
        <f>'Beginning Capital Assets &amp; LTD'!I63</f>
        <v>0</v>
      </c>
      <c r="Z44" s="308"/>
      <c r="AA44" s="276"/>
      <c r="AB44" s="186"/>
      <c r="AC44" s="277" t="str">
        <f>'C. Capital Outlay &amp; Donations'!D100</f>
        <v>C.1</v>
      </c>
      <c r="AD44" s="185">
        <f>'C. Capital Outlay &amp; Donations'!K103</f>
        <v>0</v>
      </c>
      <c r="AE44" s="185"/>
      <c r="AF44" s="277" t="str">
        <f>'D.  Capital Asset Disposal'!D189</f>
        <v>D.1</v>
      </c>
      <c r="AG44" s="185">
        <f>'D.  Capital Asset Disposal'!O220</f>
        <v>0</v>
      </c>
      <c r="AH44" s="278"/>
      <c r="AI44" s="185"/>
      <c r="AJ44" s="277"/>
      <c r="AK44" s="186"/>
      <c r="AL44" s="222"/>
      <c r="AM44" s="222"/>
      <c r="AN44" s="270">
        <f>W44+Y44+AA44+AD44+AI44+AL44</f>
        <v>0</v>
      </c>
      <c r="AO44" s="271">
        <f>X44+Z44+AB44+AG44+AK44+AM44</f>
        <v>0</v>
      </c>
      <c r="AP44" s="192"/>
      <c r="AQ44" s="271"/>
      <c r="AR44" s="192" t="str">
        <f>IF(AN44+AN45+AN46-AO44-AO45-AO46&lt;=0, " ",AN44+AN45+AN46-AO44-AO45-AO46)</f>
        <v xml:space="preserve"> </v>
      </c>
      <c r="AS44" s="271">
        <f>IF(AN44+AN45+AN46-AO44-AO45-AO46&gt;0, " ",AO44+AO45+AO46-AN44-AN45-AN46)</f>
        <v>0</v>
      </c>
      <c r="AT44" s="45"/>
      <c r="AU44" s="36"/>
      <c r="AV44" s="36"/>
      <c r="AW44" s="36"/>
      <c r="AX44" s="36"/>
    </row>
    <row r="45" spans="1:239" x14ac:dyDescent="0.2">
      <c r="C45" s="339"/>
      <c r="D45" s="339"/>
      <c r="E45" s="213"/>
      <c r="F45" s="214"/>
      <c r="G45" s="222"/>
      <c r="H45" s="222"/>
      <c r="I45" s="222"/>
      <c r="J45" s="222"/>
      <c r="K45" s="222"/>
      <c r="L45" s="222"/>
      <c r="M45" s="222"/>
      <c r="N45" s="223"/>
      <c r="O45" s="222"/>
      <c r="P45" s="222"/>
      <c r="Q45" s="222"/>
      <c r="R45" s="222"/>
      <c r="S45" s="222"/>
      <c r="T45" s="223"/>
      <c r="U45" s="192">
        <f t="shared" si="0"/>
        <v>0</v>
      </c>
      <c r="V45" s="192">
        <f t="shared" si="1"/>
        <v>0</v>
      </c>
      <c r="W45" s="270">
        <f t="shared" si="4"/>
        <v>0</v>
      </c>
      <c r="X45" s="271">
        <f t="shared" si="5"/>
        <v>0</v>
      </c>
      <c r="Y45" s="307"/>
      <c r="Z45" s="308"/>
      <c r="AA45" s="276"/>
      <c r="AB45" s="186"/>
      <c r="AC45" s="277" t="str">
        <f>'D.  Capital Asset Disposal'!D189</f>
        <v>D.1</v>
      </c>
      <c r="AD45" s="185">
        <f>'D.  Capital Asset Disposal'!M220</f>
        <v>0</v>
      </c>
      <c r="AE45" s="185"/>
      <c r="AF45" s="277"/>
      <c r="AG45" s="185"/>
      <c r="AH45" s="278"/>
      <c r="AI45" s="185"/>
      <c r="AJ45" s="277"/>
      <c r="AK45" s="186"/>
      <c r="AL45" s="222"/>
      <c r="AM45" s="222"/>
      <c r="AN45" s="270">
        <f>W45+Y45+AA45+AD45+AI45+AL45</f>
        <v>0</v>
      </c>
      <c r="AO45" s="271">
        <f>X45+Z45+AB45+AG45+AK45+AM45</f>
        <v>0</v>
      </c>
      <c r="AP45" s="192"/>
      <c r="AQ45" s="271"/>
      <c r="AR45" s="192"/>
      <c r="AS45" s="271"/>
      <c r="AT45" s="45"/>
      <c r="AU45" s="36"/>
      <c r="AV45" s="36"/>
      <c r="AW45" s="36"/>
      <c r="AX45" s="36"/>
    </row>
    <row r="46" spans="1:239" x14ac:dyDescent="0.2">
      <c r="C46" s="339"/>
      <c r="D46" s="339"/>
      <c r="E46" s="213"/>
      <c r="F46" s="214"/>
      <c r="G46" s="222"/>
      <c r="H46" s="222"/>
      <c r="I46" s="222"/>
      <c r="J46" s="222"/>
      <c r="K46" s="222"/>
      <c r="L46" s="222"/>
      <c r="M46" s="222"/>
      <c r="N46" s="223"/>
      <c r="O46" s="222"/>
      <c r="P46" s="222"/>
      <c r="Q46" s="222"/>
      <c r="R46" s="222"/>
      <c r="S46" s="222"/>
      <c r="T46" s="223"/>
      <c r="U46" s="192">
        <f t="shared" si="0"/>
        <v>0</v>
      </c>
      <c r="V46" s="192">
        <f t="shared" si="1"/>
        <v>0</v>
      </c>
      <c r="W46" s="270">
        <f t="shared" si="4"/>
        <v>0</v>
      </c>
      <c r="X46" s="271">
        <f t="shared" si="5"/>
        <v>0</v>
      </c>
      <c r="Y46" s="307"/>
      <c r="Z46" s="308"/>
      <c r="AA46" s="276"/>
      <c r="AB46" s="186"/>
      <c r="AC46" s="277" t="str">
        <f>'C. Capital Outlay &amp; Donations'!$D$154</f>
        <v>C.3</v>
      </c>
      <c r="AD46" s="185">
        <f>'C. Capital Outlay &amp; Donations'!K157</f>
        <v>0</v>
      </c>
      <c r="AE46" s="185"/>
      <c r="AF46" s="277"/>
      <c r="AG46" s="185"/>
      <c r="AH46" s="278"/>
      <c r="AI46" s="185"/>
      <c r="AJ46" s="277"/>
      <c r="AK46" s="186"/>
      <c r="AL46" s="222"/>
      <c r="AM46" s="222"/>
      <c r="AN46" s="270">
        <f>W46+Y46+AA46+AD46+AI46+AL46</f>
        <v>0</v>
      </c>
      <c r="AO46" s="271">
        <f>X46+Z46+AB46+AG46+AK46+AM46</f>
        <v>0</v>
      </c>
      <c r="AP46" s="192"/>
      <c r="AQ46" s="271"/>
      <c r="AR46" s="192"/>
      <c r="AS46" s="271"/>
      <c r="AT46" s="45"/>
      <c r="AU46" s="36"/>
      <c r="AV46" s="36"/>
      <c r="AW46" s="36"/>
      <c r="AX46" s="36"/>
    </row>
    <row r="47" spans="1:239" x14ac:dyDescent="0.2">
      <c r="C47" s="322" t="s">
        <v>675</v>
      </c>
      <c r="D47" s="322"/>
      <c r="E47" s="209"/>
      <c r="F47" s="210"/>
      <c r="G47" s="218"/>
      <c r="H47" s="218"/>
      <c r="I47" s="218"/>
      <c r="J47" s="218"/>
      <c r="K47" s="218"/>
      <c r="L47" s="218"/>
      <c r="M47" s="218"/>
      <c r="N47" s="219"/>
      <c r="O47" s="218"/>
      <c r="P47" s="218"/>
      <c r="Q47" s="218"/>
      <c r="R47" s="218"/>
      <c r="S47" s="218"/>
      <c r="T47" s="219"/>
      <c r="U47" s="192">
        <f t="shared" si="0"/>
        <v>0</v>
      </c>
      <c r="V47" s="192">
        <f t="shared" si="1"/>
        <v>0</v>
      </c>
      <c r="W47" s="270">
        <f t="shared" si="4"/>
        <v>0</v>
      </c>
      <c r="X47" s="271">
        <f t="shared" si="5"/>
        <v>0</v>
      </c>
      <c r="Y47" s="303"/>
      <c r="Z47" s="304">
        <f>'Beginning Capital Assets &amp; LTD'!K64</f>
        <v>0</v>
      </c>
      <c r="AA47" s="269"/>
      <c r="AB47" s="137"/>
      <c r="AC47" s="265" t="str">
        <f>'D.  Capital Asset Disposal'!D189</f>
        <v>D.1</v>
      </c>
      <c r="AD47" s="45">
        <f>'D.  Capital Asset Disposal'!M191</f>
        <v>0</v>
      </c>
      <c r="AE47" s="45"/>
      <c r="AF47" s="265" t="str">
        <f>'B. Depreciation'!A54</f>
        <v>B.1</v>
      </c>
      <c r="AG47" s="45">
        <f>'B. Depreciation'!L75</f>
        <v>0</v>
      </c>
      <c r="AH47" s="264"/>
      <c r="AI47" s="45"/>
      <c r="AJ47" s="265"/>
      <c r="AK47" s="137"/>
      <c r="AL47" s="218"/>
      <c r="AM47" s="218"/>
      <c r="AN47" s="270">
        <f>W47+Y47+AA47+AD47+AI47+AL47</f>
        <v>0</v>
      </c>
      <c r="AO47" s="271">
        <f>X47+Z47+AB47+AG47+AK47+AM47</f>
        <v>0</v>
      </c>
      <c r="AP47" s="192"/>
      <c r="AQ47" s="271"/>
      <c r="AR47" s="192">
        <f>IF(AN47-AO47&lt;0, " ",AN47-AO47)</f>
        <v>0</v>
      </c>
      <c r="AS47" s="271">
        <f>IF(AN47-AO47&gt;0, " ",AO47-AN47)</f>
        <v>0</v>
      </c>
      <c r="AT47" s="45"/>
      <c r="AU47" s="36"/>
      <c r="AV47" s="36"/>
      <c r="AW47" s="36"/>
      <c r="AX47" s="36"/>
    </row>
    <row r="48" spans="1:239" x14ac:dyDescent="0.2">
      <c r="C48" s="322"/>
      <c r="D48" s="322"/>
      <c r="E48" s="209"/>
      <c r="F48" s="210"/>
      <c r="G48" s="218"/>
      <c r="H48" s="218"/>
      <c r="I48" s="218"/>
      <c r="J48" s="218"/>
      <c r="K48" s="218"/>
      <c r="L48" s="218"/>
      <c r="M48" s="218"/>
      <c r="N48" s="219"/>
      <c r="O48" s="218"/>
      <c r="P48" s="218"/>
      <c r="Q48" s="218"/>
      <c r="R48" s="218"/>
      <c r="S48" s="218"/>
      <c r="T48" s="219"/>
      <c r="U48" s="192"/>
      <c r="V48" s="192"/>
      <c r="W48" s="270"/>
      <c r="X48" s="271"/>
      <c r="Y48" s="303"/>
      <c r="Z48" s="304"/>
      <c r="AA48" s="269"/>
      <c r="AB48" s="137"/>
      <c r="AC48" s="265"/>
      <c r="AD48" s="45"/>
      <c r="AE48" s="45"/>
      <c r="AF48" s="265"/>
      <c r="AG48" s="45"/>
      <c r="AH48" s="264"/>
      <c r="AI48" s="45"/>
      <c r="AJ48" s="265"/>
      <c r="AK48" s="137"/>
      <c r="AL48" s="218"/>
      <c r="AM48" s="218"/>
      <c r="AN48" s="270"/>
      <c r="AO48" s="271"/>
      <c r="AP48" s="192"/>
      <c r="AQ48" s="271"/>
      <c r="AR48" s="192"/>
      <c r="AS48" s="271"/>
      <c r="AT48" s="45"/>
      <c r="AU48" s="36"/>
      <c r="AV48" s="36"/>
      <c r="AW48" s="36"/>
      <c r="AX48" s="36"/>
    </row>
    <row r="49" spans="2:50" x14ac:dyDescent="0.2">
      <c r="C49" s="339" t="s">
        <v>430</v>
      </c>
      <c r="D49" s="339"/>
      <c r="E49" s="213"/>
      <c r="F49" s="214"/>
      <c r="G49" s="222"/>
      <c r="H49" s="222"/>
      <c r="I49" s="222"/>
      <c r="J49" s="222"/>
      <c r="K49" s="222"/>
      <c r="L49" s="222"/>
      <c r="M49" s="222"/>
      <c r="N49" s="223"/>
      <c r="O49" s="222"/>
      <c r="P49" s="222"/>
      <c r="Q49" s="222"/>
      <c r="R49" s="222"/>
      <c r="S49" s="222"/>
      <c r="T49" s="223"/>
      <c r="U49" s="192">
        <f t="shared" si="0"/>
        <v>0</v>
      </c>
      <c r="V49" s="192">
        <f t="shared" si="1"/>
        <v>0</v>
      </c>
      <c r="W49" s="270">
        <f t="shared" si="4"/>
        <v>0</v>
      </c>
      <c r="X49" s="271">
        <f t="shared" si="5"/>
        <v>0</v>
      </c>
      <c r="Y49" s="307">
        <f>'Beginning Capital Assets &amp; LTD'!I65</f>
        <v>0</v>
      </c>
      <c r="Z49" s="308"/>
      <c r="AA49" s="276"/>
      <c r="AB49" s="186"/>
      <c r="AC49" s="277" t="str">
        <f>'C. Capital Outlay &amp; Donations'!D100</f>
        <v>C.1</v>
      </c>
      <c r="AD49" s="185">
        <f>'C. Capital Outlay &amp; Donations'!K106</f>
        <v>0</v>
      </c>
      <c r="AE49" s="185"/>
      <c r="AF49" s="277" t="str">
        <f>'D.  Capital Asset Disposal'!D189</f>
        <v>D.1</v>
      </c>
      <c r="AG49" s="185">
        <f>'D.  Capital Asset Disposal'!O222</f>
        <v>0</v>
      </c>
      <c r="AH49" s="278"/>
      <c r="AI49" s="185"/>
      <c r="AJ49" s="277"/>
      <c r="AK49" s="186"/>
      <c r="AL49" s="222"/>
      <c r="AM49" s="222"/>
      <c r="AN49" s="270">
        <f>W49+Y49+AA49+AD49+AI49+AL49</f>
        <v>0</v>
      </c>
      <c r="AO49" s="271">
        <f>X49+Z49+AB49+AG49+AK49+AM49</f>
        <v>0</v>
      </c>
      <c r="AP49" s="192"/>
      <c r="AQ49" s="271"/>
      <c r="AR49" s="192" t="str">
        <f>IF(AN49+AN50+AN51-AO49-AO50-AO51&lt;=0, " ",AN49+AN50+AN51-AO49-AO50-AO51)</f>
        <v xml:space="preserve"> </v>
      </c>
      <c r="AS49" s="271">
        <f>IF(AN49+AN50+AN51-AO49-AO50-AO51&gt;0, " ",AO49+AO50+AO51-AN49-AN50-AN51)</f>
        <v>0</v>
      </c>
      <c r="AT49" s="45"/>
      <c r="AU49" s="36"/>
      <c r="AV49" s="36"/>
      <c r="AW49" s="36"/>
      <c r="AX49" s="36"/>
    </row>
    <row r="50" spans="2:50" x14ac:dyDescent="0.2">
      <c r="C50" s="339"/>
      <c r="D50" s="339"/>
      <c r="E50" s="213"/>
      <c r="F50" s="214"/>
      <c r="G50" s="222"/>
      <c r="H50" s="222"/>
      <c r="I50" s="222"/>
      <c r="J50" s="222"/>
      <c r="K50" s="222"/>
      <c r="L50" s="222"/>
      <c r="M50" s="222"/>
      <c r="N50" s="223"/>
      <c r="O50" s="222"/>
      <c r="P50" s="222"/>
      <c r="Q50" s="222"/>
      <c r="R50" s="222"/>
      <c r="S50" s="222"/>
      <c r="T50" s="223"/>
      <c r="U50" s="192">
        <f t="shared" si="0"/>
        <v>0</v>
      </c>
      <c r="V50" s="192">
        <f t="shared" si="1"/>
        <v>0</v>
      </c>
      <c r="W50" s="270">
        <f t="shared" si="4"/>
        <v>0</v>
      </c>
      <c r="X50" s="271">
        <f t="shared" si="5"/>
        <v>0</v>
      </c>
      <c r="Y50" s="307"/>
      <c r="Z50" s="308"/>
      <c r="AA50" s="276"/>
      <c r="AB50" s="186"/>
      <c r="AC50" s="277" t="str">
        <f>'D.  Capital Asset Disposal'!D189</f>
        <v>D.1</v>
      </c>
      <c r="AD50" s="185">
        <f>'D.  Capital Asset Disposal'!M222</f>
        <v>0</v>
      </c>
      <c r="AE50" s="185"/>
      <c r="AF50" s="277"/>
      <c r="AG50" s="185"/>
      <c r="AH50" s="278"/>
      <c r="AI50" s="185"/>
      <c r="AJ50" s="277"/>
      <c r="AK50" s="186"/>
      <c r="AL50" s="222"/>
      <c r="AM50" s="222"/>
      <c r="AN50" s="270">
        <f>W50+Y50+AA50+AD50+AI50+AL50</f>
        <v>0</v>
      </c>
      <c r="AO50" s="271">
        <f>X50+Z50+AB50+AG50+AK50+AM50</f>
        <v>0</v>
      </c>
      <c r="AP50" s="192"/>
      <c r="AQ50" s="271"/>
      <c r="AR50" s="192"/>
      <c r="AS50" s="271"/>
      <c r="AT50" s="45"/>
      <c r="AU50" s="36"/>
      <c r="AV50" s="36"/>
      <c r="AW50" s="36"/>
      <c r="AX50" s="36"/>
    </row>
    <row r="51" spans="2:50" x14ac:dyDescent="0.2">
      <c r="C51" s="339"/>
      <c r="D51" s="339"/>
      <c r="E51" s="213"/>
      <c r="F51" s="214"/>
      <c r="G51" s="222"/>
      <c r="H51" s="222"/>
      <c r="I51" s="222"/>
      <c r="J51" s="222"/>
      <c r="K51" s="222"/>
      <c r="L51" s="222"/>
      <c r="M51" s="222"/>
      <c r="N51" s="223"/>
      <c r="O51" s="222"/>
      <c r="P51" s="222"/>
      <c r="Q51" s="222"/>
      <c r="R51" s="222"/>
      <c r="S51" s="222"/>
      <c r="T51" s="223"/>
      <c r="U51" s="192">
        <f t="shared" si="0"/>
        <v>0</v>
      </c>
      <c r="V51" s="192">
        <f t="shared" si="1"/>
        <v>0</v>
      </c>
      <c r="W51" s="270">
        <f t="shared" si="4"/>
        <v>0</v>
      </c>
      <c r="X51" s="271">
        <f t="shared" si="5"/>
        <v>0</v>
      </c>
      <c r="Y51" s="307"/>
      <c r="Z51" s="308"/>
      <c r="AA51" s="276"/>
      <c r="AB51" s="186"/>
      <c r="AC51" s="277" t="str">
        <f>'C. Capital Outlay &amp; Donations'!$D$154</f>
        <v>C.3</v>
      </c>
      <c r="AD51" s="185">
        <f>'C. Capital Outlay &amp; Donations'!K159</f>
        <v>0</v>
      </c>
      <c r="AE51" s="185"/>
      <c r="AF51" s="277"/>
      <c r="AG51" s="185"/>
      <c r="AH51" s="278"/>
      <c r="AI51" s="185"/>
      <c r="AJ51" s="277"/>
      <c r="AK51" s="186"/>
      <c r="AL51" s="222"/>
      <c r="AM51" s="222"/>
      <c r="AN51" s="270">
        <f>W51+Y51+AA51+AD51+AI51+AL51</f>
        <v>0</v>
      </c>
      <c r="AO51" s="271">
        <f>X51+Z51+AB51+AG51+AK51+AM51</f>
        <v>0</v>
      </c>
      <c r="AP51" s="192"/>
      <c r="AQ51" s="271"/>
      <c r="AR51" s="192"/>
      <c r="AS51" s="271"/>
      <c r="AT51" s="45"/>
      <c r="AU51" s="36"/>
      <c r="AV51" s="36"/>
      <c r="AW51" s="36"/>
      <c r="AX51" s="36"/>
    </row>
    <row r="52" spans="2:50" x14ac:dyDescent="0.2">
      <c r="C52" s="322" t="str">
        <f>CONCATENATE("Accum. Depreciation - ", C49)</f>
        <v>Accum. Depreciation - Computer equipment</v>
      </c>
      <c r="D52" s="381"/>
      <c r="E52" s="209"/>
      <c r="F52" s="210"/>
      <c r="G52" s="218"/>
      <c r="H52" s="218"/>
      <c r="I52" s="218"/>
      <c r="J52" s="218"/>
      <c r="K52" s="218"/>
      <c r="L52" s="218"/>
      <c r="M52" s="218"/>
      <c r="N52" s="219"/>
      <c r="O52" s="218"/>
      <c r="P52" s="218"/>
      <c r="Q52" s="218"/>
      <c r="R52" s="218"/>
      <c r="S52" s="218"/>
      <c r="T52" s="219"/>
      <c r="U52" s="192">
        <f t="shared" si="0"/>
        <v>0</v>
      </c>
      <c r="V52" s="192">
        <f t="shared" si="1"/>
        <v>0</v>
      </c>
      <c r="W52" s="270">
        <f t="shared" si="4"/>
        <v>0</v>
      </c>
      <c r="X52" s="271">
        <f t="shared" si="5"/>
        <v>0</v>
      </c>
      <c r="Y52" s="303"/>
      <c r="Z52" s="304">
        <f>'Beginning Capital Assets &amp; LTD'!K66</f>
        <v>0</v>
      </c>
      <c r="AA52" s="269"/>
      <c r="AB52" s="137"/>
      <c r="AC52" s="265" t="str">
        <f>'D.  Capital Asset Disposal'!D189</f>
        <v>D.1</v>
      </c>
      <c r="AD52" s="45">
        <f>'D.  Capital Asset Disposal'!M193</f>
        <v>0</v>
      </c>
      <c r="AE52" s="45"/>
      <c r="AF52" s="265" t="str">
        <f>'B. Depreciation'!A54</f>
        <v>B.1</v>
      </c>
      <c r="AG52" s="45">
        <f>'B. Depreciation'!L77</f>
        <v>0</v>
      </c>
      <c r="AH52" s="264"/>
      <c r="AI52" s="45"/>
      <c r="AJ52" s="265"/>
      <c r="AK52" s="137"/>
      <c r="AL52" s="218"/>
      <c r="AM52" s="218"/>
      <c r="AN52" s="270">
        <f>W52+Y52+AA52+AD52+AI52+AL52</f>
        <v>0</v>
      </c>
      <c r="AO52" s="271">
        <f>X52+Z52+AB52+AG52+AK52+AM52</f>
        <v>0</v>
      </c>
      <c r="AP52" s="192"/>
      <c r="AQ52" s="271"/>
      <c r="AR52" s="192">
        <f>IF(AN52-AO52&lt;0, " ",AN52-AO52)</f>
        <v>0</v>
      </c>
      <c r="AS52" s="271">
        <f>IF(AN52-AO52&gt;0, " ",AO52-AN52)</f>
        <v>0</v>
      </c>
      <c r="AT52" s="45"/>
      <c r="AU52" s="36"/>
      <c r="AV52" s="36"/>
      <c r="AW52" s="36"/>
      <c r="AX52" s="36"/>
    </row>
    <row r="53" spans="2:50" x14ac:dyDescent="0.2">
      <c r="C53" s="322"/>
      <c r="D53" s="322"/>
      <c r="E53" s="209"/>
      <c r="F53" s="210"/>
      <c r="G53" s="218"/>
      <c r="H53" s="218"/>
      <c r="I53" s="218"/>
      <c r="J53" s="218"/>
      <c r="K53" s="218"/>
      <c r="L53" s="218"/>
      <c r="M53" s="218"/>
      <c r="N53" s="219"/>
      <c r="O53" s="218"/>
      <c r="P53" s="218"/>
      <c r="Q53" s="218"/>
      <c r="R53" s="218"/>
      <c r="S53" s="218"/>
      <c r="T53" s="219"/>
      <c r="U53" s="192"/>
      <c r="V53" s="192"/>
      <c r="W53" s="270"/>
      <c r="X53" s="271"/>
      <c r="Y53" s="303"/>
      <c r="Z53" s="304"/>
      <c r="AA53" s="269"/>
      <c r="AB53" s="137"/>
      <c r="AC53" s="265"/>
      <c r="AD53" s="45"/>
      <c r="AE53" s="45"/>
      <c r="AF53" s="265"/>
      <c r="AG53" s="45"/>
      <c r="AH53" s="264"/>
      <c r="AI53" s="45"/>
      <c r="AJ53" s="265"/>
      <c r="AK53" s="137"/>
      <c r="AL53" s="218"/>
      <c r="AM53" s="218"/>
      <c r="AN53" s="270"/>
      <c r="AO53" s="271"/>
      <c r="AP53" s="192"/>
      <c r="AQ53" s="271"/>
      <c r="AR53" s="192"/>
      <c r="AS53" s="271"/>
      <c r="AT53" s="45"/>
      <c r="AU53" s="36"/>
      <c r="AV53" s="36"/>
      <c r="AW53" s="36"/>
      <c r="AX53" s="36"/>
    </row>
    <row r="54" spans="2:50" x14ac:dyDescent="0.2">
      <c r="C54" s="339" t="s">
        <v>769</v>
      </c>
      <c r="D54" s="339"/>
      <c r="E54" s="213"/>
      <c r="F54" s="214"/>
      <c r="G54" s="222"/>
      <c r="H54" s="222"/>
      <c r="I54" s="222"/>
      <c r="J54" s="222"/>
      <c r="K54" s="222"/>
      <c r="L54" s="222"/>
      <c r="M54" s="222"/>
      <c r="N54" s="223"/>
      <c r="O54" s="222"/>
      <c r="P54" s="222"/>
      <c r="Q54" s="222"/>
      <c r="R54" s="222"/>
      <c r="S54" s="222"/>
      <c r="T54" s="223"/>
      <c r="U54" s="192">
        <f t="shared" si="0"/>
        <v>0</v>
      </c>
      <c r="V54" s="192">
        <f t="shared" si="1"/>
        <v>0</v>
      </c>
      <c r="W54" s="270">
        <f t="shared" si="4"/>
        <v>0</v>
      </c>
      <c r="X54" s="271">
        <f t="shared" si="5"/>
        <v>0</v>
      </c>
      <c r="Y54" s="307">
        <f>'Beginning Capital Assets &amp; LTD'!I67</f>
        <v>0</v>
      </c>
      <c r="Z54" s="308"/>
      <c r="AA54" s="276"/>
      <c r="AB54" s="186"/>
      <c r="AC54" s="277" t="str">
        <f>'C. Capital Outlay &amp; Donations'!D100</f>
        <v>C.1</v>
      </c>
      <c r="AD54" s="185">
        <f>'C. Capital Outlay &amp; Donations'!K107</f>
        <v>0</v>
      </c>
      <c r="AE54" s="185"/>
      <c r="AF54" s="277" t="str">
        <f>'D.  Capital Asset Disposal'!D189</f>
        <v>D.1</v>
      </c>
      <c r="AG54" s="185">
        <f>'D.  Capital Asset Disposal'!O223</f>
        <v>0</v>
      </c>
      <c r="AH54" s="278"/>
      <c r="AI54" s="185"/>
      <c r="AJ54" s="277"/>
      <c r="AK54" s="186"/>
      <c r="AL54" s="222"/>
      <c r="AM54" s="222"/>
      <c r="AN54" s="270">
        <f>W54+Y54+AA54+AD54+AI54+AL54</f>
        <v>0</v>
      </c>
      <c r="AO54" s="271">
        <f>X54+Z54+AB54+AG54+AK54+AM54</f>
        <v>0</v>
      </c>
      <c r="AP54" s="192"/>
      <c r="AQ54" s="271"/>
      <c r="AR54" s="192" t="str">
        <f>IF(AN54+AN55+AN56-AO54-AO55-AO56&lt;=0, " ",AN54+AN55+AN56-AO54+AO55+AO56)</f>
        <v xml:space="preserve"> </v>
      </c>
      <c r="AS54" s="271">
        <f>IF(AN54+AN55+AN56-AO54-AO55-AO56&gt;0, " ",AO54+AO55+AO56-AN54-AN55-AN56)</f>
        <v>0</v>
      </c>
      <c r="AT54" s="45"/>
      <c r="AU54" s="36"/>
      <c r="AV54" s="36"/>
      <c r="AW54" s="36"/>
      <c r="AX54" s="36"/>
    </row>
    <row r="55" spans="2:50" x14ac:dyDescent="0.2">
      <c r="C55" s="339"/>
      <c r="D55" s="339"/>
      <c r="E55" s="213"/>
      <c r="F55" s="214"/>
      <c r="G55" s="222"/>
      <c r="H55" s="222"/>
      <c r="I55" s="222"/>
      <c r="J55" s="222"/>
      <c r="K55" s="222"/>
      <c r="L55" s="222"/>
      <c r="M55" s="222"/>
      <c r="N55" s="223"/>
      <c r="O55" s="222"/>
      <c r="P55" s="222"/>
      <c r="Q55" s="222"/>
      <c r="R55" s="222"/>
      <c r="S55" s="222"/>
      <c r="T55" s="223"/>
      <c r="U55" s="192">
        <f t="shared" si="0"/>
        <v>0</v>
      </c>
      <c r="V55" s="192">
        <f t="shared" si="1"/>
        <v>0</v>
      </c>
      <c r="W55" s="270">
        <f t="shared" si="4"/>
        <v>0</v>
      </c>
      <c r="X55" s="271">
        <f t="shared" si="5"/>
        <v>0</v>
      </c>
      <c r="Y55" s="307"/>
      <c r="Z55" s="308"/>
      <c r="AA55" s="276"/>
      <c r="AB55" s="186"/>
      <c r="AC55" s="281" t="str">
        <f>'D.  Capital Asset Disposal'!D189</f>
        <v>D.1</v>
      </c>
      <c r="AD55" s="185">
        <f>'D.  Capital Asset Disposal'!M223</f>
        <v>0</v>
      </c>
      <c r="AE55" s="185"/>
      <c r="AF55" s="277"/>
      <c r="AG55" s="185"/>
      <c r="AH55" s="278"/>
      <c r="AI55" s="185"/>
      <c r="AJ55" s="277"/>
      <c r="AK55" s="186"/>
      <c r="AL55" s="222"/>
      <c r="AM55" s="222"/>
      <c r="AN55" s="270">
        <f>W55+Y55+AA55+AD55+AI55+AL55</f>
        <v>0</v>
      </c>
      <c r="AO55" s="271">
        <f>X55+Z55+AB55+AG55+AK55+AM55</f>
        <v>0</v>
      </c>
      <c r="AP55" s="192"/>
      <c r="AQ55" s="271"/>
      <c r="AR55" s="192"/>
      <c r="AS55" s="271"/>
      <c r="AT55" s="45"/>
      <c r="AU55" s="36"/>
      <c r="AV55" s="36"/>
      <c r="AW55" s="36"/>
      <c r="AX55" s="36"/>
    </row>
    <row r="56" spans="2:50" x14ac:dyDescent="0.2">
      <c r="C56" s="339"/>
      <c r="D56" s="339"/>
      <c r="E56" s="213"/>
      <c r="F56" s="214"/>
      <c r="G56" s="222"/>
      <c r="H56" s="222"/>
      <c r="I56" s="222"/>
      <c r="J56" s="222"/>
      <c r="K56" s="222"/>
      <c r="L56" s="222"/>
      <c r="M56" s="222"/>
      <c r="N56" s="223"/>
      <c r="O56" s="222"/>
      <c r="P56" s="222"/>
      <c r="Q56" s="222"/>
      <c r="R56" s="222"/>
      <c r="S56" s="222"/>
      <c r="T56" s="223"/>
      <c r="U56" s="192">
        <f t="shared" si="0"/>
        <v>0</v>
      </c>
      <c r="V56" s="192">
        <f t="shared" si="1"/>
        <v>0</v>
      </c>
      <c r="W56" s="270">
        <f t="shared" si="4"/>
        <v>0</v>
      </c>
      <c r="X56" s="271">
        <f t="shared" si="5"/>
        <v>0</v>
      </c>
      <c r="Y56" s="307"/>
      <c r="Z56" s="308"/>
      <c r="AA56" s="276"/>
      <c r="AB56" s="186"/>
      <c r="AC56" s="277" t="str">
        <f>'C. Capital Outlay &amp; Donations'!$D$154</f>
        <v>C.3</v>
      </c>
      <c r="AD56" s="185">
        <f>'C. Capital Outlay &amp; Donations'!K161</f>
        <v>0</v>
      </c>
      <c r="AE56" s="185"/>
      <c r="AF56" s="277"/>
      <c r="AG56" s="185"/>
      <c r="AH56" s="278"/>
      <c r="AI56" s="185"/>
      <c r="AJ56" s="277"/>
      <c r="AK56" s="186"/>
      <c r="AL56" s="222"/>
      <c r="AM56" s="222"/>
      <c r="AN56" s="270">
        <f>W56+Y56+AA56+AD56+AI56+AL56</f>
        <v>0</v>
      </c>
      <c r="AO56" s="271">
        <f>X56+Z56+AB56+AG56+AK56+AM56</f>
        <v>0</v>
      </c>
      <c r="AP56" s="192"/>
      <c r="AQ56" s="271"/>
      <c r="AR56" s="192"/>
      <c r="AS56" s="271"/>
      <c r="AT56" s="45"/>
      <c r="AU56" s="36"/>
      <c r="AV56" s="36"/>
      <c r="AW56" s="36"/>
      <c r="AX56" s="36"/>
    </row>
    <row r="57" spans="2:50" x14ac:dyDescent="0.2">
      <c r="C57" s="322" t="str">
        <f>CONCATENATE("Accum. Depreciation - ", C54)</f>
        <v>Accum. Depreciation - Other Asset Class 1</v>
      </c>
      <c r="D57" s="322"/>
      <c r="E57" s="209"/>
      <c r="F57" s="210"/>
      <c r="G57" s="218"/>
      <c r="H57" s="218"/>
      <c r="I57" s="218"/>
      <c r="J57" s="218"/>
      <c r="K57" s="218"/>
      <c r="L57" s="218"/>
      <c r="M57" s="218"/>
      <c r="N57" s="219"/>
      <c r="O57" s="218"/>
      <c r="P57" s="218"/>
      <c r="Q57" s="218"/>
      <c r="R57" s="218"/>
      <c r="S57" s="218"/>
      <c r="T57" s="219"/>
      <c r="U57" s="192">
        <f t="shared" si="0"/>
        <v>0</v>
      </c>
      <c r="V57" s="192">
        <f t="shared" si="1"/>
        <v>0</v>
      </c>
      <c r="W57" s="270">
        <f t="shared" si="4"/>
        <v>0</v>
      </c>
      <c r="X57" s="271">
        <f t="shared" si="5"/>
        <v>0</v>
      </c>
      <c r="Y57" s="303"/>
      <c r="Z57" s="304">
        <f>'Beginning Capital Assets &amp; LTD'!K68</f>
        <v>0</v>
      </c>
      <c r="AA57" s="269"/>
      <c r="AB57" s="137"/>
      <c r="AC57" s="282" t="str">
        <f>'D.  Capital Asset Disposal'!D189</f>
        <v>D.1</v>
      </c>
      <c r="AD57" s="45">
        <f>'D.  Capital Asset Disposal'!M194</f>
        <v>0</v>
      </c>
      <c r="AE57" s="45"/>
      <c r="AF57" s="265" t="str">
        <f>'B. Depreciation'!A54</f>
        <v>B.1</v>
      </c>
      <c r="AG57" s="45">
        <f>'B. Depreciation'!L78</f>
        <v>0</v>
      </c>
      <c r="AH57" s="264"/>
      <c r="AI57" s="45"/>
      <c r="AJ57" s="265"/>
      <c r="AK57" s="137"/>
      <c r="AL57" s="218"/>
      <c r="AM57" s="218"/>
      <c r="AN57" s="270">
        <f>W57+Y57+AA57+AD57+AI57+AL57</f>
        <v>0</v>
      </c>
      <c r="AO57" s="271">
        <f>X57+Z57+AB57+AG57+AK57+AM57</f>
        <v>0</v>
      </c>
      <c r="AP57" s="192"/>
      <c r="AQ57" s="271"/>
      <c r="AR57" s="192">
        <f>IF(AN57-AO57&lt;0, " ",AN57-AO57)</f>
        <v>0</v>
      </c>
      <c r="AS57" s="271">
        <f>IF(AN57-AO57&gt;0, " ",AO57-AN57)</f>
        <v>0</v>
      </c>
      <c r="AT57" s="45"/>
      <c r="AU57" s="36"/>
      <c r="AV57" s="36"/>
      <c r="AW57" s="36"/>
      <c r="AX57" s="36"/>
    </row>
    <row r="58" spans="2:50" s="468" customFormat="1" x14ac:dyDescent="0.2">
      <c r="C58" s="322"/>
      <c r="D58" s="322"/>
      <c r="E58" s="209"/>
      <c r="F58" s="210"/>
      <c r="G58" s="218"/>
      <c r="H58" s="218"/>
      <c r="I58" s="218"/>
      <c r="J58" s="218"/>
      <c r="K58" s="218"/>
      <c r="L58" s="218"/>
      <c r="M58" s="218"/>
      <c r="N58" s="219"/>
      <c r="O58" s="218"/>
      <c r="P58" s="218"/>
      <c r="Q58" s="218"/>
      <c r="R58" s="218"/>
      <c r="S58" s="218"/>
      <c r="T58" s="219"/>
      <c r="U58" s="192"/>
      <c r="V58" s="192"/>
      <c r="W58" s="270"/>
      <c r="X58" s="271"/>
      <c r="Y58" s="303"/>
      <c r="Z58" s="304"/>
      <c r="AA58" s="269"/>
      <c r="AB58" s="137"/>
      <c r="AC58" s="282"/>
      <c r="AD58" s="45"/>
      <c r="AE58" s="45"/>
      <c r="AF58" s="265"/>
      <c r="AG58" s="45"/>
      <c r="AH58" s="264"/>
      <c r="AI58" s="45"/>
      <c r="AJ58" s="265"/>
      <c r="AK58" s="137"/>
      <c r="AL58" s="218"/>
      <c r="AM58" s="218"/>
      <c r="AN58" s="270"/>
      <c r="AO58" s="271"/>
      <c r="AP58" s="192"/>
      <c r="AQ58" s="271"/>
      <c r="AR58" s="192"/>
      <c r="AS58" s="271"/>
      <c r="AT58" s="45"/>
      <c r="AU58" s="36"/>
      <c r="AV58" s="36"/>
      <c r="AW58" s="36"/>
      <c r="AX58" s="36"/>
    </row>
    <row r="59" spans="2:50" s="468" customFormat="1" x14ac:dyDescent="0.2">
      <c r="B59" s="469" t="s">
        <v>1089</v>
      </c>
      <c r="D59" s="322"/>
      <c r="E59" s="209"/>
      <c r="F59" s="210"/>
      <c r="G59" s="218"/>
      <c r="H59" s="218"/>
      <c r="I59" s="218"/>
      <c r="J59" s="218"/>
      <c r="K59" s="218"/>
      <c r="L59" s="218"/>
      <c r="M59" s="218"/>
      <c r="N59" s="219"/>
      <c r="O59" s="218"/>
      <c r="P59" s="218"/>
      <c r="Q59" s="218"/>
      <c r="R59" s="218"/>
      <c r="S59" s="218"/>
      <c r="T59" s="219"/>
      <c r="U59" s="192"/>
      <c r="V59" s="192"/>
      <c r="W59" s="270"/>
      <c r="X59" s="271"/>
      <c r="Y59" s="303"/>
      <c r="Z59" s="304"/>
      <c r="AA59" s="269"/>
      <c r="AB59" s="137"/>
      <c r="AC59" s="282"/>
      <c r="AD59" s="45"/>
      <c r="AE59" s="45"/>
      <c r="AF59" s="265"/>
      <c r="AG59" s="45"/>
      <c r="AH59" s="264"/>
      <c r="AI59" s="45"/>
      <c r="AJ59" s="265"/>
      <c r="AK59" s="137"/>
      <c r="AL59" s="218"/>
      <c r="AM59" s="218"/>
      <c r="AN59" s="270"/>
      <c r="AO59" s="271"/>
      <c r="AP59" s="192"/>
      <c r="AQ59" s="271"/>
      <c r="AR59" s="192"/>
      <c r="AS59" s="271"/>
      <c r="AT59" s="45"/>
      <c r="AU59" s="36"/>
      <c r="AV59" s="36"/>
      <c r="AW59" s="36"/>
      <c r="AX59" s="36"/>
    </row>
    <row r="60" spans="2:50" s="468" customFormat="1" ht="25.5" x14ac:dyDescent="0.2">
      <c r="C60" s="633" t="s">
        <v>1540</v>
      </c>
      <c r="D60" s="322"/>
      <c r="E60" s="209"/>
      <c r="F60" s="210"/>
      <c r="G60" s="218"/>
      <c r="H60" s="218"/>
      <c r="I60" s="218"/>
      <c r="J60" s="218"/>
      <c r="K60" s="218"/>
      <c r="L60" s="218"/>
      <c r="M60" s="218"/>
      <c r="N60" s="219"/>
      <c r="O60" s="218"/>
      <c r="P60" s="218"/>
      <c r="Q60" s="218"/>
      <c r="R60" s="218"/>
      <c r="S60" s="218"/>
      <c r="T60" s="219"/>
      <c r="U60" s="192">
        <f>O60+Q60+S60</f>
        <v>0</v>
      </c>
      <c r="V60" s="192">
        <f>P60+R60+T60</f>
        <v>0</v>
      </c>
      <c r="W60" s="270">
        <f>E60+G60+I60+K60+M60+U60</f>
        <v>0</v>
      </c>
      <c r="X60" s="271">
        <f>F60+H60+J60+L60+N60+V60</f>
        <v>0</v>
      </c>
      <c r="Y60" s="303">
        <f>'J. GASB 68 TSERS'!C65*'J. GASB 68 TSERS'!C17</f>
        <v>0</v>
      </c>
      <c r="Z60" s="304"/>
      <c r="AA60" s="269"/>
      <c r="AB60" s="137"/>
      <c r="AC60" s="282" t="s">
        <v>147</v>
      </c>
      <c r="AD60" s="45">
        <f>'H. Other Liabilities &amp; Expenses'!L254</f>
        <v>0</v>
      </c>
      <c r="AE60" s="45"/>
      <c r="AF60" s="265" t="s">
        <v>1096</v>
      </c>
      <c r="AG60" s="45">
        <f>'J. GASB 68 TSERS'!D118</f>
        <v>0</v>
      </c>
      <c r="AH60" s="264"/>
      <c r="AI60" s="45"/>
      <c r="AJ60" s="265"/>
      <c r="AK60" s="137"/>
      <c r="AL60" s="218"/>
      <c r="AM60" s="218"/>
      <c r="AN60" s="270">
        <f t="shared" ref="AN60:AN69" si="10">W60+Y60+AA60+AD60+AI60+AL60</f>
        <v>0</v>
      </c>
      <c r="AO60" s="271">
        <f t="shared" ref="AO60:AO69" si="11">X60+Z60+AB60+AG60+AK60+AM60</f>
        <v>0</v>
      </c>
      <c r="AP60" s="192"/>
      <c r="AQ60" s="271"/>
      <c r="AR60" s="192">
        <f t="shared" ref="AR60:AR69" si="12">IF(AN60-AO60&lt;0, " ",AN60-AO60)</f>
        <v>0</v>
      </c>
      <c r="AS60" s="271">
        <f t="shared" ref="AS60:AS69" si="13">IF(AN60-AO60&gt;0, " ",AO60-AN60)</f>
        <v>0</v>
      </c>
      <c r="AT60" s="45"/>
      <c r="AU60" s="36"/>
      <c r="AV60" s="36"/>
      <c r="AW60" s="36"/>
      <c r="AX60" s="36"/>
    </row>
    <row r="61" spans="2:50" s="541" customFormat="1" ht="51" x14ac:dyDescent="0.2">
      <c r="C61" s="540" t="s">
        <v>1204</v>
      </c>
      <c r="D61" s="322"/>
      <c r="E61" s="209"/>
      <c r="F61" s="210"/>
      <c r="G61" s="218"/>
      <c r="H61" s="218"/>
      <c r="I61" s="218"/>
      <c r="J61" s="218"/>
      <c r="K61" s="218"/>
      <c r="L61" s="218"/>
      <c r="M61" s="218"/>
      <c r="N61" s="219"/>
      <c r="O61" s="218"/>
      <c r="P61" s="218"/>
      <c r="Q61" s="218"/>
      <c r="R61" s="218"/>
      <c r="S61" s="218"/>
      <c r="T61" s="219"/>
      <c r="U61" s="192">
        <f t="shared" ref="U61:U71" si="14">O61+Q61+S61</f>
        <v>0</v>
      </c>
      <c r="V61" s="192">
        <f t="shared" ref="V61:V71" si="15">P61+R61+T61</f>
        <v>0</v>
      </c>
      <c r="W61" s="270">
        <f t="shared" ref="W61:W71" si="16">E61+G61+I61+K61+M61+U61</f>
        <v>0</v>
      </c>
      <c r="X61" s="271">
        <f t="shared" ref="X61:X71" si="17">F61+H61+J61+L61+N61+V61</f>
        <v>0</v>
      </c>
      <c r="Y61" s="303">
        <f>'J. GASB 68 TSERS'!C65*'J. GASB 68 TSERS'!M29</f>
        <v>0</v>
      </c>
      <c r="Z61" s="304"/>
      <c r="AA61" s="269"/>
      <c r="AB61" s="137"/>
      <c r="AC61" s="282" t="s">
        <v>1096</v>
      </c>
      <c r="AD61" s="45">
        <f>'J. GASB 68 TSERS'!C113</f>
        <v>0</v>
      </c>
      <c r="AE61" s="45"/>
      <c r="AF61" s="282" t="s">
        <v>1096</v>
      </c>
      <c r="AG61" s="45">
        <f>'J. GASB 68 TSERS'!D113</f>
        <v>0</v>
      </c>
      <c r="AH61" s="264"/>
      <c r="AI61" s="45"/>
      <c r="AJ61" s="265"/>
      <c r="AK61" s="137"/>
      <c r="AL61" s="218"/>
      <c r="AM61" s="218"/>
      <c r="AN61" s="270">
        <f t="shared" si="10"/>
        <v>0</v>
      </c>
      <c r="AO61" s="271">
        <f t="shared" si="11"/>
        <v>0</v>
      </c>
      <c r="AP61" s="192"/>
      <c r="AQ61" s="271"/>
      <c r="AR61" s="192">
        <f t="shared" si="12"/>
        <v>0</v>
      </c>
      <c r="AS61" s="271">
        <f t="shared" si="13"/>
        <v>0</v>
      </c>
      <c r="AT61" s="45"/>
      <c r="AU61" s="36"/>
      <c r="AV61" s="36"/>
      <c r="AW61" s="36"/>
      <c r="AX61" s="36"/>
    </row>
    <row r="62" spans="2:50" s="541" customFormat="1" ht="25.5" x14ac:dyDescent="0.2">
      <c r="C62" s="540" t="s">
        <v>1203</v>
      </c>
      <c r="D62" s="322"/>
      <c r="E62" s="209"/>
      <c r="F62" s="210"/>
      <c r="G62" s="218"/>
      <c r="H62" s="218"/>
      <c r="I62" s="218"/>
      <c r="J62" s="218"/>
      <c r="K62" s="218"/>
      <c r="L62" s="218"/>
      <c r="M62" s="218"/>
      <c r="N62" s="219"/>
      <c r="O62" s="218"/>
      <c r="P62" s="218"/>
      <c r="Q62" s="218"/>
      <c r="R62" s="218"/>
      <c r="S62" s="218"/>
      <c r="T62" s="219"/>
      <c r="U62" s="192">
        <f t="shared" si="14"/>
        <v>0</v>
      </c>
      <c r="V62" s="192">
        <f t="shared" si="15"/>
        <v>0</v>
      </c>
      <c r="W62" s="270">
        <f t="shared" si="16"/>
        <v>0</v>
      </c>
      <c r="X62" s="271">
        <f t="shared" si="17"/>
        <v>0</v>
      </c>
      <c r="Y62" s="303">
        <f>'J. GASB 68 TSERS'!C65*'J. GASB 68 TSERS'!J29</f>
        <v>0</v>
      </c>
      <c r="Z62" s="304"/>
      <c r="AA62" s="269"/>
      <c r="AB62" s="137"/>
      <c r="AC62" s="282" t="s">
        <v>1096</v>
      </c>
      <c r="AD62" s="45">
        <f>'J. GASB 68 TSERS'!C110</f>
        <v>0</v>
      </c>
      <c r="AE62" s="45"/>
      <c r="AF62" s="282" t="s">
        <v>1096</v>
      </c>
      <c r="AG62" s="45">
        <f>'J. GASB 68 TSERS'!D110</f>
        <v>0</v>
      </c>
      <c r="AH62" s="264"/>
      <c r="AI62" s="45"/>
      <c r="AJ62" s="265"/>
      <c r="AK62" s="137"/>
      <c r="AL62" s="218"/>
      <c r="AM62" s="218"/>
      <c r="AN62" s="270">
        <f t="shared" si="10"/>
        <v>0</v>
      </c>
      <c r="AO62" s="271">
        <f t="shared" si="11"/>
        <v>0</v>
      </c>
      <c r="AP62" s="192"/>
      <c r="AQ62" s="271"/>
      <c r="AR62" s="192">
        <f t="shared" si="12"/>
        <v>0</v>
      </c>
      <c r="AS62" s="271">
        <f t="shared" si="13"/>
        <v>0</v>
      </c>
      <c r="AT62" s="45"/>
      <c r="AU62" s="36"/>
      <c r="AV62" s="36"/>
      <c r="AW62" s="36"/>
      <c r="AX62" s="36"/>
    </row>
    <row r="63" spans="2:50" s="541" customFormat="1" x14ac:dyDescent="0.2">
      <c r="C63" s="541" t="s">
        <v>1202</v>
      </c>
      <c r="D63" s="322"/>
      <c r="E63" s="209"/>
      <c r="F63" s="210"/>
      <c r="G63" s="218"/>
      <c r="H63" s="218"/>
      <c r="I63" s="218"/>
      <c r="J63" s="218"/>
      <c r="K63" s="218"/>
      <c r="L63" s="218"/>
      <c r="M63" s="218"/>
      <c r="N63" s="219"/>
      <c r="O63" s="218"/>
      <c r="P63" s="218"/>
      <c r="Q63" s="218"/>
      <c r="R63" s="218"/>
      <c r="S63" s="218"/>
      <c r="T63" s="219"/>
      <c r="U63" s="192">
        <f t="shared" si="14"/>
        <v>0</v>
      </c>
      <c r="V63" s="192">
        <f t="shared" si="15"/>
        <v>0</v>
      </c>
      <c r="W63" s="270">
        <f t="shared" si="16"/>
        <v>0</v>
      </c>
      <c r="X63" s="271">
        <f t="shared" si="17"/>
        <v>0</v>
      </c>
      <c r="Y63" s="303">
        <f>'J. GASB 68 TSERS'!C65*'J. GASB 68 TSERS'!L29</f>
        <v>0</v>
      </c>
      <c r="Z63" s="304"/>
      <c r="AA63" s="269"/>
      <c r="AB63" s="137"/>
      <c r="AC63" s="282" t="s">
        <v>1096</v>
      </c>
      <c r="AD63" s="45">
        <f>'J. GASB 68 TSERS'!C112</f>
        <v>0</v>
      </c>
      <c r="AE63" s="45"/>
      <c r="AF63" s="282" t="s">
        <v>1096</v>
      </c>
      <c r="AG63" s="45">
        <f>'J. GASB 68 TSERS'!D112</f>
        <v>0</v>
      </c>
      <c r="AH63" s="264"/>
      <c r="AI63" s="45"/>
      <c r="AJ63" s="265"/>
      <c r="AK63" s="137"/>
      <c r="AL63" s="218"/>
      <c r="AM63" s="218"/>
      <c r="AN63" s="270">
        <f t="shared" si="10"/>
        <v>0</v>
      </c>
      <c r="AO63" s="271">
        <f t="shared" si="11"/>
        <v>0</v>
      </c>
      <c r="AP63" s="192"/>
      <c r="AQ63" s="271"/>
      <c r="AR63" s="192">
        <f t="shared" si="12"/>
        <v>0</v>
      </c>
      <c r="AS63" s="271">
        <f t="shared" si="13"/>
        <v>0</v>
      </c>
      <c r="AT63" s="45"/>
      <c r="AU63" s="36"/>
      <c r="AV63" s="36"/>
      <c r="AW63" s="36"/>
      <c r="AX63" s="36"/>
    </row>
    <row r="64" spans="2:50" s="468" customFormat="1" ht="38.25" x14ac:dyDescent="0.2">
      <c r="C64" s="492" t="s">
        <v>1093</v>
      </c>
      <c r="D64" s="322"/>
      <c r="E64" s="209"/>
      <c r="F64" s="210"/>
      <c r="G64" s="218"/>
      <c r="H64" s="218"/>
      <c r="I64" s="218"/>
      <c r="J64" s="218"/>
      <c r="K64" s="218"/>
      <c r="L64" s="218"/>
      <c r="M64" s="218"/>
      <c r="N64" s="219"/>
      <c r="O64" s="218"/>
      <c r="P64" s="218"/>
      <c r="Q64" s="218"/>
      <c r="R64" s="218"/>
      <c r="S64" s="218"/>
      <c r="T64" s="219"/>
      <c r="U64" s="192">
        <f t="shared" si="14"/>
        <v>0</v>
      </c>
      <c r="V64" s="192">
        <f t="shared" si="15"/>
        <v>0</v>
      </c>
      <c r="W64" s="270">
        <f t="shared" si="16"/>
        <v>0</v>
      </c>
      <c r="X64" s="271">
        <f t="shared" si="17"/>
        <v>0</v>
      </c>
      <c r="Y64" s="303">
        <f>IF('J. GASB 68 TSERS'!K33&gt;0,'J. GASB 68 TSERS'!C65*'J. GASB 68 TSERS'!K33,0)</f>
        <v>0</v>
      </c>
      <c r="Z64" s="304"/>
      <c r="AA64" s="269"/>
      <c r="AB64" s="137"/>
      <c r="AC64" s="282" t="s">
        <v>1096</v>
      </c>
      <c r="AD64" s="45">
        <f>'J. GASB 68 TSERS'!C111</f>
        <v>0</v>
      </c>
      <c r="AE64" s="45"/>
      <c r="AF64" s="282" t="s">
        <v>1096</v>
      </c>
      <c r="AG64" s="45">
        <f>'J. GASB 68 TSERS'!D111</f>
        <v>0</v>
      </c>
      <c r="AH64" s="264"/>
      <c r="AI64" s="45"/>
      <c r="AJ64" s="265"/>
      <c r="AK64" s="137"/>
      <c r="AL64" s="218"/>
      <c r="AM64" s="218"/>
      <c r="AN64" s="270">
        <f t="shared" si="10"/>
        <v>0</v>
      </c>
      <c r="AO64" s="271">
        <f t="shared" si="11"/>
        <v>0</v>
      </c>
      <c r="AP64" s="192"/>
      <c r="AQ64" s="271"/>
      <c r="AR64" s="192">
        <f t="shared" si="12"/>
        <v>0</v>
      </c>
      <c r="AS64" s="271">
        <f t="shared" si="13"/>
        <v>0</v>
      </c>
      <c r="AT64" s="45"/>
      <c r="AU64" s="36"/>
      <c r="AV64" s="36"/>
      <c r="AW64" s="36"/>
      <c r="AX64" s="36"/>
    </row>
    <row r="65" spans="1:50" s="632" customFormat="1" ht="25.5" x14ac:dyDescent="0.2">
      <c r="C65" s="633" t="s">
        <v>1541</v>
      </c>
      <c r="D65" s="322"/>
      <c r="E65" s="209"/>
      <c r="F65" s="210"/>
      <c r="G65" s="218"/>
      <c r="H65" s="218"/>
      <c r="I65" s="218"/>
      <c r="J65" s="218"/>
      <c r="K65" s="218"/>
      <c r="L65" s="218"/>
      <c r="M65" s="218"/>
      <c r="N65" s="219"/>
      <c r="O65" s="218"/>
      <c r="P65" s="218"/>
      <c r="Q65" s="218"/>
      <c r="R65" s="218"/>
      <c r="S65" s="218"/>
      <c r="T65" s="219"/>
      <c r="U65" s="192"/>
      <c r="V65" s="192"/>
      <c r="W65" s="270"/>
      <c r="X65" s="271"/>
      <c r="Y65" s="305"/>
      <c r="Z65" s="304"/>
      <c r="AA65" s="269"/>
      <c r="AB65" s="137"/>
      <c r="AC65" s="693" t="s">
        <v>1658</v>
      </c>
      <c r="AD65" s="45">
        <f>'K. GASB 75 RHBF'!C118+'L. GASB 75 DIPNC'!C118</f>
        <v>0</v>
      </c>
      <c r="AE65" s="45">
        <f>'K. GASB 75 RHBF'!D118+'L. GASB 75 DIPNC'!D118</f>
        <v>0</v>
      </c>
      <c r="AF65" s="45"/>
      <c r="AG65" s="45">
        <f>'K. GASB 75 RHBF'!D118+'L. GASB 75 DIPNC'!D118</f>
        <v>0</v>
      </c>
      <c r="AH65" s="264"/>
      <c r="AI65" s="45"/>
      <c r="AJ65" s="265"/>
      <c r="AK65" s="137"/>
      <c r="AL65" s="218"/>
      <c r="AM65" s="218"/>
      <c r="AN65" s="270">
        <f t="shared" si="10"/>
        <v>0</v>
      </c>
      <c r="AO65" s="271">
        <f t="shared" si="11"/>
        <v>0</v>
      </c>
      <c r="AP65" s="192"/>
      <c r="AQ65" s="271"/>
      <c r="AR65" s="192">
        <f t="shared" si="12"/>
        <v>0</v>
      </c>
      <c r="AS65" s="271">
        <f t="shared" si="13"/>
        <v>0</v>
      </c>
      <c r="AT65" s="45"/>
      <c r="AU65" s="36"/>
      <c r="AV65" s="36"/>
      <c r="AW65" s="36"/>
      <c r="AX65" s="36"/>
    </row>
    <row r="66" spans="1:50" s="632" customFormat="1" ht="51" x14ac:dyDescent="0.2">
      <c r="C66" s="633" t="s">
        <v>1535</v>
      </c>
      <c r="D66" s="322"/>
      <c r="E66" s="209"/>
      <c r="F66" s="210"/>
      <c r="G66" s="218"/>
      <c r="H66" s="218"/>
      <c r="I66" s="218"/>
      <c r="J66" s="218"/>
      <c r="K66" s="218"/>
      <c r="L66" s="218"/>
      <c r="M66" s="218"/>
      <c r="N66" s="219"/>
      <c r="O66" s="218"/>
      <c r="P66" s="218"/>
      <c r="Q66" s="218"/>
      <c r="R66" s="218"/>
      <c r="S66" s="218"/>
      <c r="T66" s="219"/>
      <c r="U66" s="192"/>
      <c r="V66" s="192"/>
      <c r="W66" s="270"/>
      <c r="X66" s="271"/>
      <c r="Y66" s="303">
        <f>'K. GASB 75 RHBF'!C66*'K. GASB 75 RHBF'!M29</f>
        <v>0</v>
      </c>
      <c r="Z66" s="304"/>
      <c r="AA66" s="269"/>
      <c r="AB66" s="45"/>
      <c r="AC66" s="693" t="s">
        <v>1658</v>
      </c>
      <c r="AD66" s="45">
        <f>'L. GASB 75 DIPNC'!C113+'K. GASB 75 RHBF'!C113</f>
        <v>0</v>
      </c>
      <c r="AE66" s="45"/>
      <c r="AF66" s="282"/>
      <c r="AG66" s="45">
        <f>'K. GASB 75 RHBF'!D113+'L. GASB 75 DIPNC'!D113</f>
        <v>0</v>
      </c>
      <c r="AH66" s="264"/>
      <c r="AI66" s="45"/>
      <c r="AJ66" s="265"/>
      <c r="AK66" s="137"/>
      <c r="AL66" s="218"/>
      <c r="AM66" s="218"/>
      <c r="AN66" s="270">
        <f t="shared" si="10"/>
        <v>0</v>
      </c>
      <c r="AO66" s="271">
        <f t="shared" si="11"/>
        <v>0</v>
      </c>
      <c r="AP66" s="192"/>
      <c r="AQ66" s="271"/>
      <c r="AR66" s="192">
        <f t="shared" si="12"/>
        <v>0</v>
      </c>
      <c r="AS66" s="271">
        <f t="shared" si="13"/>
        <v>0</v>
      </c>
      <c r="AT66" s="45"/>
      <c r="AU66" s="36"/>
      <c r="AV66" s="36"/>
      <c r="AW66" s="36"/>
      <c r="AX66" s="36"/>
    </row>
    <row r="67" spans="1:50" s="632" customFormat="1" ht="25.5" x14ac:dyDescent="0.2">
      <c r="C67" s="633" t="s">
        <v>1536</v>
      </c>
      <c r="D67" s="322"/>
      <c r="E67" s="209"/>
      <c r="F67" s="210"/>
      <c r="G67" s="218"/>
      <c r="H67" s="218"/>
      <c r="I67" s="218"/>
      <c r="J67" s="218"/>
      <c r="K67" s="218"/>
      <c r="L67" s="218"/>
      <c r="M67" s="218"/>
      <c r="N67" s="219"/>
      <c r="O67" s="218"/>
      <c r="P67" s="218"/>
      <c r="Q67" s="218"/>
      <c r="R67" s="218"/>
      <c r="S67" s="218"/>
      <c r="T67" s="219"/>
      <c r="U67" s="192"/>
      <c r="V67" s="192"/>
      <c r="W67" s="270"/>
      <c r="X67" s="271"/>
      <c r="Y67" s="303">
        <f>'K. GASB 75 RHBF'!C66*'K. GASB 75 RHBF'!J29</f>
        <v>0</v>
      </c>
      <c r="Z67" s="304"/>
      <c r="AA67" s="269"/>
      <c r="AB67" s="45"/>
      <c r="AC67" s="693" t="s">
        <v>1658</v>
      </c>
      <c r="AD67" s="45">
        <f>'L. GASB 75 DIPNC'!C110+'K. GASB 75 RHBF'!C110</f>
        <v>0</v>
      </c>
      <c r="AE67" s="45"/>
      <c r="AF67" s="282"/>
      <c r="AG67" s="45">
        <f>'K. GASB 75 RHBF'!D110+'L. GASB 75 DIPNC'!D110</f>
        <v>0</v>
      </c>
      <c r="AH67" s="264"/>
      <c r="AI67" s="45"/>
      <c r="AJ67" s="265"/>
      <c r="AK67" s="137"/>
      <c r="AL67" s="218"/>
      <c r="AM67" s="218"/>
      <c r="AN67" s="270">
        <f t="shared" si="10"/>
        <v>0</v>
      </c>
      <c r="AO67" s="271">
        <f t="shared" si="11"/>
        <v>0</v>
      </c>
      <c r="AP67" s="192"/>
      <c r="AQ67" s="271"/>
      <c r="AR67" s="192">
        <f t="shared" si="12"/>
        <v>0</v>
      </c>
      <c r="AS67" s="271">
        <f t="shared" si="13"/>
        <v>0</v>
      </c>
      <c r="AT67" s="45"/>
      <c r="AU67" s="36"/>
      <c r="AV67" s="36"/>
      <c r="AW67" s="36"/>
      <c r="AX67" s="36"/>
    </row>
    <row r="68" spans="1:50" s="632" customFormat="1" x14ac:dyDescent="0.2">
      <c r="C68" s="461" t="s">
        <v>1537</v>
      </c>
      <c r="D68" s="322"/>
      <c r="E68" s="209"/>
      <c r="F68" s="210"/>
      <c r="G68" s="218"/>
      <c r="H68" s="218"/>
      <c r="I68" s="218"/>
      <c r="J68" s="218"/>
      <c r="K68" s="218"/>
      <c r="L68" s="218"/>
      <c r="M68" s="218"/>
      <c r="N68" s="219"/>
      <c r="O68" s="218"/>
      <c r="P68" s="218"/>
      <c r="Q68" s="218"/>
      <c r="R68" s="218"/>
      <c r="S68" s="218"/>
      <c r="T68" s="219"/>
      <c r="U68" s="192"/>
      <c r="V68" s="192"/>
      <c r="W68" s="270"/>
      <c r="X68" s="271"/>
      <c r="Y68" s="303">
        <f>'K. GASB 75 RHBF'!L29*'K. GASB 75 RHBF'!C66</f>
        <v>0</v>
      </c>
      <c r="Z68" s="304"/>
      <c r="AA68" s="269"/>
      <c r="AB68" s="45"/>
      <c r="AC68" s="693" t="s">
        <v>1658</v>
      </c>
      <c r="AD68" s="45">
        <f>'L. GASB 75 DIPNC'!C112+'K. GASB 75 RHBF'!C112</f>
        <v>0</v>
      </c>
      <c r="AE68" s="45"/>
      <c r="AF68" s="282"/>
      <c r="AG68" s="45">
        <f>'K. GASB 75 RHBF'!D112+'L. GASB 75 DIPNC'!D112</f>
        <v>0</v>
      </c>
      <c r="AH68" s="264"/>
      <c r="AI68" s="45"/>
      <c r="AJ68" s="265"/>
      <c r="AK68" s="137"/>
      <c r="AL68" s="218"/>
      <c r="AM68" s="218"/>
      <c r="AN68" s="270">
        <f t="shared" si="10"/>
        <v>0</v>
      </c>
      <c r="AO68" s="271">
        <f t="shared" si="11"/>
        <v>0</v>
      </c>
      <c r="AP68" s="192"/>
      <c r="AQ68" s="271"/>
      <c r="AR68" s="192">
        <f t="shared" si="12"/>
        <v>0</v>
      </c>
      <c r="AS68" s="271">
        <f t="shared" si="13"/>
        <v>0</v>
      </c>
      <c r="AT68" s="45"/>
      <c r="AU68" s="36"/>
      <c r="AV68" s="36"/>
      <c r="AW68" s="36"/>
      <c r="AX68" s="36"/>
    </row>
    <row r="69" spans="1:50" s="632" customFormat="1" ht="38.25" x14ac:dyDescent="0.2">
      <c r="C69" s="633" t="s">
        <v>1538</v>
      </c>
      <c r="D69" s="322"/>
      <c r="E69" s="209"/>
      <c r="F69" s="210"/>
      <c r="G69" s="218"/>
      <c r="H69" s="218"/>
      <c r="I69" s="218"/>
      <c r="J69" s="218"/>
      <c r="K69" s="218"/>
      <c r="L69" s="218"/>
      <c r="M69" s="218"/>
      <c r="N69" s="219"/>
      <c r="O69" s="218"/>
      <c r="P69" s="218"/>
      <c r="Q69" s="218"/>
      <c r="R69" s="218"/>
      <c r="S69" s="218"/>
      <c r="T69" s="219"/>
      <c r="U69" s="192"/>
      <c r="V69" s="192"/>
      <c r="W69" s="270"/>
      <c r="X69" s="271"/>
      <c r="Y69" s="303">
        <f>IF('K. GASB 75 RHBF'!K33&gt;0,'K. GASB 75 RHBF'!C66*'K. GASB 75 RHBF'!K33,0)</f>
        <v>0</v>
      </c>
      <c r="Z69" s="304"/>
      <c r="AA69" s="269"/>
      <c r="AB69" s="45"/>
      <c r="AC69" s="693" t="s">
        <v>1658</v>
      </c>
      <c r="AD69" s="45">
        <f>'L. GASB 75 DIPNC'!C111+'K. GASB 75 RHBF'!C111</f>
        <v>0</v>
      </c>
      <c r="AE69" s="45"/>
      <c r="AF69" s="282"/>
      <c r="AG69" s="45">
        <f>'K. GASB 75 RHBF'!D111+'L. GASB 75 DIPNC'!D111</f>
        <v>0</v>
      </c>
      <c r="AH69" s="264"/>
      <c r="AI69" s="45"/>
      <c r="AJ69" s="265"/>
      <c r="AK69" s="137"/>
      <c r="AL69" s="218"/>
      <c r="AM69" s="218"/>
      <c r="AN69" s="270">
        <f t="shared" si="10"/>
        <v>0</v>
      </c>
      <c r="AO69" s="271">
        <f t="shared" si="11"/>
        <v>0</v>
      </c>
      <c r="AP69" s="192"/>
      <c r="AQ69" s="271"/>
      <c r="AR69" s="192">
        <f t="shared" si="12"/>
        <v>0</v>
      </c>
      <c r="AS69" s="271">
        <f t="shared" si="13"/>
        <v>0</v>
      </c>
      <c r="AT69" s="45"/>
      <c r="AU69" s="36"/>
      <c r="AV69" s="36"/>
      <c r="AW69" s="36"/>
      <c r="AX69" s="36"/>
    </row>
    <row r="70" spans="1:50" ht="13.5" customHeight="1" x14ac:dyDescent="0.2">
      <c r="C70" s="322"/>
      <c r="D70" s="322"/>
      <c r="E70" s="209"/>
      <c r="F70" s="210"/>
      <c r="G70" s="218"/>
      <c r="H70" s="218"/>
      <c r="I70" s="218"/>
      <c r="J70" s="218"/>
      <c r="K70" s="218"/>
      <c r="L70" s="218"/>
      <c r="M70" s="218"/>
      <c r="N70" s="219"/>
      <c r="O70" s="218"/>
      <c r="P70" s="218"/>
      <c r="Q70" s="218"/>
      <c r="R70" s="218"/>
      <c r="S70" s="218"/>
      <c r="T70" s="219"/>
      <c r="U70" s="192">
        <f t="shared" si="14"/>
        <v>0</v>
      </c>
      <c r="V70" s="192">
        <f t="shared" si="15"/>
        <v>0</v>
      </c>
      <c r="W70" s="270">
        <f t="shared" si="16"/>
        <v>0</v>
      </c>
      <c r="X70" s="271">
        <f t="shared" si="17"/>
        <v>0</v>
      </c>
      <c r="Y70" s="303"/>
      <c r="Z70" s="304"/>
      <c r="AA70" s="269"/>
      <c r="AB70" s="137"/>
      <c r="AC70" s="265"/>
      <c r="AD70" s="45"/>
      <c r="AE70" s="45"/>
      <c r="AF70" s="265"/>
      <c r="AG70" s="45"/>
      <c r="AH70" s="264"/>
      <c r="AI70" s="45"/>
      <c r="AJ70" s="265"/>
      <c r="AK70" s="137"/>
      <c r="AL70" s="218"/>
      <c r="AM70" s="218"/>
      <c r="AN70" s="270"/>
      <c r="AO70" s="271"/>
      <c r="AP70" s="192"/>
      <c r="AQ70" s="271"/>
      <c r="AR70" s="192"/>
      <c r="AS70" s="271"/>
      <c r="AT70" s="45"/>
      <c r="AU70" s="36"/>
      <c r="AV70" s="36"/>
      <c r="AW70" s="36"/>
      <c r="AX70" s="36"/>
    </row>
    <row r="71" spans="1:50" ht="12.75" customHeight="1" x14ac:dyDescent="0.2">
      <c r="B71" s="4" t="s">
        <v>193</v>
      </c>
      <c r="C71" s="322"/>
      <c r="D71" s="322"/>
      <c r="E71" s="209"/>
      <c r="F71" s="210"/>
      <c r="G71" s="218"/>
      <c r="H71" s="218"/>
      <c r="I71" s="218"/>
      <c r="J71" s="218"/>
      <c r="K71" s="218"/>
      <c r="L71" s="218"/>
      <c r="M71" s="218"/>
      <c r="N71" s="219"/>
      <c r="O71" s="218"/>
      <c r="P71" s="218"/>
      <c r="Q71" s="218"/>
      <c r="R71" s="218"/>
      <c r="S71" s="218"/>
      <c r="T71" s="219"/>
      <c r="U71" s="192">
        <f t="shared" si="14"/>
        <v>0</v>
      </c>
      <c r="V71" s="192">
        <f t="shared" si="15"/>
        <v>0</v>
      </c>
      <c r="W71" s="270">
        <f t="shared" si="16"/>
        <v>0</v>
      </c>
      <c r="X71" s="271">
        <f t="shared" si="17"/>
        <v>0</v>
      </c>
      <c r="Y71" s="303"/>
      <c r="Z71" s="304"/>
      <c r="AA71" s="269"/>
      <c r="AB71" s="137"/>
      <c r="AC71" s="265"/>
      <c r="AD71" s="45"/>
      <c r="AE71" s="45"/>
      <c r="AF71" s="265"/>
      <c r="AG71" s="45"/>
      <c r="AH71" s="264"/>
      <c r="AI71" s="45"/>
      <c r="AJ71" s="265"/>
      <c r="AK71" s="137"/>
      <c r="AL71" s="218"/>
      <c r="AM71" s="218"/>
      <c r="AN71" s="270"/>
      <c r="AO71" s="271"/>
      <c r="AP71" s="192"/>
      <c r="AQ71" s="271"/>
      <c r="AR71" s="192"/>
      <c r="AS71" s="271"/>
      <c r="AT71" s="45"/>
      <c r="AU71" s="36"/>
      <c r="AV71" s="36"/>
      <c r="AW71" s="36"/>
      <c r="AX71" s="36"/>
    </row>
    <row r="72" spans="1:50" x14ac:dyDescent="0.2">
      <c r="C72" s="314" t="s">
        <v>416</v>
      </c>
      <c r="D72" s="314"/>
      <c r="E72" s="209"/>
      <c r="F72" s="210"/>
      <c r="G72" s="218"/>
      <c r="H72" s="218"/>
      <c r="I72" s="218"/>
      <c r="J72" s="218"/>
      <c r="K72" s="218"/>
      <c r="L72" s="218"/>
      <c r="M72" s="218"/>
      <c r="N72" s="219"/>
      <c r="O72" s="218"/>
      <c r="P72" s="218"/>
      <c r="Q72" s="218"/>
      <c r="R72" s="218"/>
      <c r="S72" s="218"/>
      <c r="T72" s="219"/>
      <c r="U72" s="192">
        <f t="shared" si="0"/>
        <v>0</v>
      </c>
      <c r="V72" s="192">
        <f t="shared" si="1"/>
        <v>0</v>
      </c>
      <c r="W72" s="270">
        <f>E72+G72+I72+K72+M72+U72</f>
        <v>0</v>
      </c>
      <c r="X72" s="271">
        <f>F72+H72+J72+L72+N72+V72</f>
        <v>0</v>
      </c>
      <c r="Y72" s="303"/>
      <c r="Z72" s="304"/>
      <c r="AA72" s="269"/>
      <c r="AB72" s="137"/>
      <c r="AC72" s="265"/>
      <c r="AD72" s="45"/>
      <c r="AE72" s="45"/>
      <c r="AF72" s="265"/>
      <c r="AG72" s="45"/>
      <c r="AH72" s="264"/>
      <c r="AI72" s="45"/>
      <c r="AJ72" s="265"/>
      <c r="AK72" s="137"/>
      <c r="AL72" s="218"/>
      <c r="AM72" s="218"/>
      <c r="AN72" s="270">
        <f t="shared" ref="AN72:AN101" si="18">W72+Y72+AA72+AD72+AI72+AL72</f>
        <v>0</v>
      </c>
      <c r="AO72" s="271">
        <f t="shared" ref="AO72:AO124" si="19">X72+Z72+AB72+AG72+AK72+AM72</f>
        <v>0</v>
      </c>
      <c r="AP72" s="192"/>
      <c r="AQ72" s="271"/>
      <c r="AR72" s="192">
        <f>IF(AN72-AO72&lt;0, " ",AN72-AO72)</f>
        <v>0</v>
      </c>
      <c r="AS72" s="271">
        <f>IF(AN72-AO72&gt;0, " ",AO72-AN72)</f>
        <v>0</v>
      </c>
      <c r="AT72" s="45"/>
      <c r="AU72" s="36"/>
      <c r="AV72" s="36"/>
      <c r="AW72" s="36"/>
      <c r="AX72" s="36"/>
    </row>
    <row r="73" spans="1:50" x14ac:dyDescent="0.2">
      <c r="C73" s="335" t="s">
        <v>417</v>
      </c>
      <c r="D73" s="335"/>
      <c r="E73" s="209"/>
      <c r="F73" s="210"/>
      <c r="G73" s="218"/>
      <c r="H73" s="218"/>
      <c r="I73" s="218"/>
      <c r="J73" s="218"/>
      <c r="K73" s="218"/>
      <c r="L73" s="218"/>
      <c r="M73" s="218"/>
      <c r="N73" s="219"/>
      <c r="O73" s="218"/>
      <c r="P73" s="218"/>
      <c r="Q73" s="218"/>
      <c r="R73" s="218"/>
      <c r="S73" s="218"/>
      <c r="T73" s="219"/>
      <c r="U73" s="192">
        <f t="shared" si="0"/>
        <v>0</v>
      </c>
      <c r="V73" s="192">
        <f t="shared" si="1"/>
        <v>0</v>
      </c>
      <c r="W73" s="270">
        <f>E73+G73+I73+K73+M73+U73</f>
        <v>0</v>
      </c>
      <c r="X73" s="271">
        <f>F73+H73+J73+L73+N73+V73</f>
        <v>0</v>
      </c>
      <c r="Y73" s="304"/>
      <c r="Z73" s="304"/>
      <c r="AA73" s="269"/>
      <c r="AB73" s="137"/>
      <c r="AC73" s="265"/>
      <c r="AD73" s="45"/>
      <c r="AE73" s="45"/>
      <c r="AF73" s="265"/>
      <c r="AG73" s="45"/>
      <c r="AH73" s="264"/>
      <c r="AI73" s="45"/>
      <c r="AJ73" s="265"/>
      <c r="AK73" s="137"/>
      <c r="AL73" s="218"/>
      <c r="AM73" s="218"/>
      <c r="AN73" s="270">
        <f t="shared" si="18"/>
        <v>0</v>
      </c>
      <c r="AO73" s="271">
        <f t="shared" si="19"/>
        <v>0</v>
      </c>
      <c r="AP73" s="192"/>
      <c r="AQ73" s="271"/>
      <c r="AR73" s="192">
        <f>IF(AN73-AO73&lt;0, " ",AN73-AO73)</f>
        <v>0</v>
      </c>
      <c r="AS73" s="271">
        <f>IF(AN73-AO73&gt;0, " ",AO73-AN73)</f>
        <v>0</v>
      </c>
      <c r="AT73" s="45"/>
      <c r="AU73" s="36"/>
      <c r="AV73" s="36"/>
      <c r="AW73" s="36"/>
      <c r="AX73" s="36"/>
    </row>
    <row r="74" spans="1:50" x14ac:dyDescent="0.2">
      <c r="A74" s="12"/>
      <c r="B74" s="12"/>
      <c r="C74" s="341" t="s">
        <v>366</v>
      </c>
      <c r="D74" s="341"/>
      <c r="E74" s="213"/>
      <c r="F74" s="214"/>
      <c r="G74" s="222"/>
      <c r="H74" s="222"/>
      <c r="I74" s="222"/>
      <c r="J74" s="222"/>
      <c r="K74" s="222"/>
      <c r="L74" s="222"/>
      <c r="M74" s="222"/>
      <c r="N74" s="223"/>
      <c r="O74" s="222"/>
      <c r="P74" s="222"/>
      <c r="Q74" s="222"/>
      <c r="R74" s="222"/>
      <c r="S74" s="222"/>
      <c r="T74" s="223"/>
      <c r="U74" s="192">
        <f t="shared" si="0"/>
        <v>0</v>
      </c>
      <c r="V74" s="192">
        <f t="shared" si="1"/>
        <v>0</v>
      </c>
      <c r="W74" s="270">
        <f t="shared" si="4"/>
        <v>0</v>
      </c>
      <c r="X74" s="271">
        <f t="shared" si="5"/>
        <v>0</v>
      </c>
      <c r="Y74" s="308"/>
      <c r="Z74" s="308"/>
      <c r="AA74" s="276"/>
      <c r="AB74" s="186"/>
      <c r="AC74" s="277"/>
      <c r="AD74" s="185"/>
      <c r="AE74" s="185"/>
      <c r="AF74" s="277"/>
      <c r="AG74" s="185"/>
      <c r="AH74" s="278" t="str">
        <f>'I. Eliminations-Consolidations'!A213</f>
        <v>I.2</v>
      </c>
      <c r="AI74" s="185">
        <f>'I. Eliminations-Consolidations'!J213</f>
        <v>0</v>
      </c>
      <c r="AJ74" s="277"/>
      <c r="AK74" s="186"/>
      <c r="AL74" s="222"/>
      <c r="AM74" s="222"/>
      <c r="AN74" s="270">
        <f t="shared" si="18"/>
        <v>0</v>
      </c>
      <c r="AO74" s="271">
        <f t="shared" si="19"/>
        <v>0</v>
      </c>
      <c r="AP74" s="192"/>
      <c r="AQ74" s="271"/>
      <c r="AR74" s="192" t="str">
        <f>IF(AN74+AN75+AN76-AO74-AO75-AO76&lt;=0, " ",AN74+AN75+AN76-AO74-AO75-AO76)</f>
        <v xml:space="preserve"> </v>
      </c>
      <c r="AS74" s="271">
        <f>IF(AN74+AN75+AN76-AO74-AO75-AO76&gt;0, " ",AO74+AO75+AO76-AN74-AN75-AN76)</f>
        <v>0</v>
      </c>
      <c r="AT74" s="45"/>
      <c r="AU74" s="36"/>
      <c r="AV74" s="36"/>
      <c r="AW74" s="36"/>
      <c r="AX74" s="36"/>
    </row>
    <row r="75" spans="1:50" x14ac:dyDescent="0.2">
      <c r="A75" s="12"/>
      <c r="B75" s="12"/>
      <c r="C75" s="341"/>
      <c r="D75" s="341"/>
      <c r="E75" s="213"/>
      <c r="F75" s="214"/>
      <c r="G75" s="222"/>
      <c r="H75" s="222"/>
      <c r="I75" s="222"/>
      <c r="J75" s="222"/>
      <c r="K75" s="222"/>
      <c r="L75" s="222"/>
      <c r="M75" s="222"/>
      <c r="N75" s="223"/>
      <c r="O75" s="222"/>
      <c r="P75" s="222"/>
      <c r="Q75" s="222"/>
      <c r="R75" s="222"/>
      <c r="S75" s="222"/>
      <c r="T75" s="223"/>
      <c r="U75" s="192">
        <f t="shared" si="0"/>
        <v>0</v>
      </c>
      <c r="V75" s="192">
        <f t="shared" si="1"/>
        <v>0</v>
      </c>
      <c r="W75" s="270">
        <f t="shared" si="4"/>
        <v>0</v>
      </c>
      <c r="X75" s="271">
        <f t="shared" si="5"/>
        <v>0</v>
      </c>
      <c r="Y75" s="308"/>
      <c r="Z75" s="308"/>
      <c r="AA75" s="276"/>
      <c r="AB75" s="186"/>
      <c r="AC75" s="277"/>
      <c r="AD75" s="185"/>
      <c r="AE75" s="185"/>
      <c r="AF75" s="277"/>
      <c r="AG75" s="185"/>
      <c r="AH75" s="278" t="str">
        <f>'I. Eliminations-Consolidations'!A218</f>
        <v>I.3</v>
      </c>
      <c r="AI75" s="185">
        <f>'I. Eliminations-Consolidations'!J219</f>
        <v>0</v>
      </c>
      <c r="AJ75" s="277"/>
      <c r="AK75" s="186"/>
      <c r="AL75" s="222"/>
      <c r="AM75" s="222"/>
      <c r="AN75" s="270">
        <f t="shared" si="18"/>
        <v>0</v>
      </c>
      <c r="AO75" s="271">
        <f t="shared" si="19"/>
        <v>0</v>
      </c>
      <c r="AP75" s="192"/>
      <c r="AQ75" s="271"/>
      <c r="AR75" s="192"/>
      <c r="AS75" s="271"/>
      <c r="AT75" s="45"/>
      <c r="AU75" s="36"/>
      <c r="AV75" s="36"/>
      <c r="AW75" s="36"/>
      <c r="AX75" s="36"/>
    </row>
    <row r="76" spans="1:50" x14ac:dyDescent="0.2">
      <c r="A76" s="12"/>
      <c r="B76" s="12"/>
      <c r="C76" s="341"/>
      <c r="D76" s="341"/>
      <c r="E76" s="213"/>
      <c r="F76" s="214"/>
      <c r="G76" s="222"/>
      <c r="H76" s="222"/>
      <c r="I76" s="222"/>
      <c r="J76" s="222"/>
      <c r="K76" s="222"/>
      <c r="L76" s="222"/>
      <c r="M76" s="222"/>
      <c r="N76" s="223"/>
      <c r="O76" s="222"/>
      <c r="P76" s="222"/>
      <c r="Q76" s="222"/>
      <c r="R76" s="222"/>
      <c r="S76" s="222"/>
      <c r="T76" s="223"/>
      <c r="U76" s="192">
        <f t="shared" si="0"/>
        <v>0</v>
      </c>
      <c r="V76" s="192">
        <f t="shared" si="1"/>
        <v>0</v>
      </c>
      <c r="W76" s="270">
        <f t="shared" si="4"/>
        <v>0</v>
      </c>
      <c r="X76" s="271">
        <f t="shared" si="5"/>
        <v>0</v>
      </c>
      <c r="Y76" s="308"/>
      <c r="Z76" s="308"/>
      <c r="AA76" s="276"/>
      <c r="AB76" s="186"/>
      <c r="AC76" s="277"/>
      <c r="AD76" s="185"/>
      <c r="AE76" s="185"/>
      <c r="AF76" s="277"/>
      <c r="AG76" s="185"/>
      <c r="AH76" s="278" t="str">
        <f>'I. Eliminations-Consolidations'!A224</f>
        <v>I.4</v>
      </c>
      <c r="AI76" s="185">
        <f>'I. Eliminations-Consolidations'!J226</f>
        <v>0</v>
      </c>
      <c r="AJ76" s="277"/>
      <c r="AK76" s="186"/>
      <c r="AL76" s="222"/>
      <c r="AM76" s="222"/>
      <c r="AN76" s="270">
        <f t="shared" si="18"/>
        <v>0</v>
      </c>
      <c r="AO76" s="271">
        <f t="shared" si="19"/>
        <v>0</v>
      </c>
      <c r="AP76" s="192"/>
      <c r="AQ76" s="271"/>
      <c r="AR76" s="192"/>
      <c r="AS76" s="271"/>
      <c r="AT76" s="45"/>
      <c r="AU76" s="36"/>
      <c r="AV76" s="36"/>
      <c r="AW76" s="36"/>
      <c r="AX76" s="36"/>
    </row>
    <row r="77" spans="1:50" x14ac:dyDescent="0.2">
      <c r="A77" s="12"/>
      <c r="B77" s="12"/>
      <c r="C77" s="338" t="s">
        <v>441</v>
      </c>
      <c r="D77" s="338"/>
      <c r="E77" s="209"/>
      <c r="F77" s="210"/>
      <c r="G77" s="218"/>
      <c r="H77" s="218"/>
      <c r="I77" s="218"/>
      <c r="J77" s="218"/>
      <c r="K77" s="218"/>
      <c r="L77" s="218"/>
      <c r="M77" s="218"/>
      <c r="N77" s="219"/>
      <c r="O77" s="218"/>
      <c r="P77" s="218"/>
      <c r="Q77" s="218"/>
      <c r="R77" s="218"/>
      <c r="S77" s="218"/>
      <c r="T77" s="219"/>
      <c r="U77" s="192">
        <f t="shared" si="0"/>
        <v>0</v>
      </c>
      <c r="V77" s="192">
        <f t="shared" si="1"/>
        <v>0</v>
      </c>
      <c r="W77" s="270">
        <f t="shared" si="4"/>
        <v>0</v>
      </c>
      <c r="X77" s="271">
        <f t="shared" si="5"/>
        <v>0</v>
      </c>
      <c r="Y77" s="304"/>
      <c r="Z77" s="304"/>
      <c r="AA77" s="269"/>
      <c r="AB77" s="137"/>
      <c r="AC77" s="265"/>
      <c r="AD77" s="45"/>
      <c r="AE77" s="45"/>
      <c r="AF77" s="265"/>
      <c r="AG77" s="45"/>
      <c r="AH77" s="264"/>
      <c r="AI77" s="45"/>
      <c r="AJ77" s="265" t="str">
        <f>'I. Eliminations-Consolidations'!A224</f>
        <v>I.4</v>
      </c>
      <c r="AK77" s="137">
        <f>'I. Eliminations-Consolidations'!L227</f>
        <v>0</v>
      </c>
      <c r="AL77" s="218"/>
      <c r="AM77" s="218"/>
      <c r="AN77" s="270">
        <f t="shared" si="18"/>
        <v>0</v>
      </c>
      <c r="AO77" s="271">
        <f t="shared" si="19"/>
        <v>0</v>
      </c>
      <c r="AP77" s="192"/>
      <c r="AQ77" s="271"/>
      <c r="AR77" s="192">
        <f>IF(AN77-AO77&lt;0, " ",AN77-AO77)</f>
        <v>0</v>
      </c>
      <c r="AS77" s="271">
        <f>IF(AN77-AO77&gt;0, " ",AO77-AN77)</f>
        <v>0</v>
      </c>
      <c r="AT77" s="45"/>
      <c r="AU77" s="36"/>
      <c r="AV77" s="36"/>
      <c r="AW77" s="36"/>
      <c r="AX77" s="36"/>
    </row>
    <row r="78" spans="1:50" x14ac:dyDescent="0.2">
      <c r="A78" s="12"/>
      <c r="B78" s="12"/>
      <c r="C78" s="338" t="s">
        <v>768</v>
      </c>
      <c r="D78" s="338"/>
      <c r="E78" s="209"/>
      <c r="F78" s="210"/>
      <c r="G78" s="218"/>
      <c r="H78" s="218"/>
      <c r="I78" s="218"/>
      <c r="J78" s="218"/>
      <c r="K78" s="218"/>
      <c r="L78" s="218"/>
      <c r="M78" s="218"/>
      <c r="N78" s="219"/>
      <c r="O78" s="218"/>
      <c r="P78" s="218"/>
      <c r="Q78" s="218"/>
      <c r="R78" s="218"/>
      <c r="S78" s="218"/>
      <c r="T78" s="219"/>
      <c r="U78" s="192">
        <f>O78+Q78+S78</f>
        <v>0</v>
      </c>
      <c r="V78" s="192">
        <f>P78+R78+T78</f>
        <v>0</v>
      </c>
      <c r="W78" s="270">
        <f>E78+G78+I78+K78+M78+U78</f>
        <v>0</v>
      </c>
      <c r="X78" s="271">
        <f>F78+H78+J78+L78+N78+V78</f>
        <v>0</v>
      </c>
      <c r="Y78" s="304"/>
      <c r="Z78" s="304"/>
      <c r="AA78" s="269"/>
      <c r="AB78" s="137"/>
      <c r="AC78" s="265"/>
      <c r="AD78" s="45"/>
      <c r="AE78" s="45"/>
      <c r="AF78" s="265"/>
      <c r="AG78" s="45"/>
      <c r="AH78" s="264"/>
      <c r="AI78" s="45"/>
      <c r="AJ78" s="265"/>
      <c r="AK78" s="137"/>
      <c r="AL78" s="218"/>
      <c r="AM78" s="218"/>
      <c r="AN78" s="270"/>
      <c r="AO78" s="271"/>
      <c r="AP78" s="192"/>
      <c r="AQ78" s="271"/>
      <c r="AR78" s="192"/>
      <c r="AS78" s="271"/>
      <c r="AT78" s="45"/>
      <c r="AU78" s="36"/>
      <c r="AV78" s="36"/>
      <c r="AW78" s="36"/>
      <c r="AX78" s="36"/>
    </row>
    <row r="79" spans="1:50" x14ac:dyDescent="0.2">
      <c r="C79" s="314" t="s">
        <v>345</v>
      </c>
      <c r="D79" s="314"/>
      <c r="E79" s="209"/>
      <c r="F79" s="210"/>
      <c r="G79" s="218"/>
      <c r="H79" s="218"/>
      <c r="I79" s="218"/>
      <c r="J79" s="218"/>
      <c r="K79" s="218"/>
      <c r="L79" s="218"/>
      <c r="M79" s="218"/>
      <c r="N79" s="219"/>
      <c r="O79" s="218"/>
      <c r="P79" s="218"/>
      <c r="Q79" s="218"/>
      <c r="R79" s="218"/>
      <c r="S79" s="218"/>
      <c r="T79" s="219"/>
      <c r="U79" s="192">
        <f t="shared" si="0"/>
        <v>0</v>
      </c>
      <c r="V79" s="192">
        <f t="shared" si="1"/>
        <v>0</v>
      </c>
      <c r="W79" s="270">
        <f t="shared" si="4"/>
        <v>0</v>
      </c>
      <c r="X79" s="271">
        <f t="shared" si="5"/>
        <v>0</v>
      </c>
      <c r="Y79" s="303"/>
      <c r="Z79" s="304"/>
      <c r="AA79" s="269"/>
      <c r="AB79" s="137"/>
      <c r="AC79" s="274"/>
      <c r="AD79" s="44"/>
      <c r="AE79" s="44"/>
      <c r="AF79" s="274"/>
      <c r="AG79" s="44"/>
      <c r="AH79" s="275"/>
      <c r="AI79" s="45"/>
      <c r="AJ79" s="265"/>
      <c r="AK79" s="137"/>
      <c r="AL79" s="218"/>
      <c r="AM79" s="218"/>
      <c r="AN79" s="270">
        <f t="shared" si="18"/>
        <v>0</v>
      </c>
      <c r="AO79" s="271">
        <f t="shared" si="19"/>
        <v>0</v>
      </c>
      <c r="AP79" s="192"/>
      <c r="AQ79" s="271"/>
      <c r="AR79" s="192">
        <f>IF(AN79-AO79&lt;0, " ",AN79-AO79)</f>
        <v>0</v>
      </c>
      <c r="AS79" s="271">
        <f>IF(AN79-AO79&gt;0, " ",AO79-AN79)</f>
        <v>0</v>
      </c>
      <c r="AT79" s="45"/>
      <c r="AU79" s="36"/>
      <c r="AV79" s="36"/>
      <c r="AW79" s="36"/>
      <c r="AX79" s="36"/>
    </row>
    <row r="80" spans="1:50" x14ac:dyDescent="0.2">
      <c r="C80" s="339" t="s">
        <v>655</v>
      </c>
      <c r="D80" s="339"/>
      <c r="E80" s="213"/>
      <c r="F80" s="214"/>
      <c r="G80" s="222"/>
      <c r="H80" s="222"/>
      <c r="I80" s="222"/>
      <c r="J80" s="222"/>
      <c r="K80" s="222"/>
      <c r="L80" s="222"/>
      <c r="M80" s="222"/>
      <c r="N80" s="223"/>
      <c r="O80" s="222"/>
      <c r="P80" s="222"/>
      <c r="Q80" s="222"/>
      <c r="R80" s="222"/>
      <c r="S80" s="222"/>
      <c r="T80" s="223"/>
      <c r="U80" s="192">
        <f t="shared" si="0"/>
        <v>0</v>
      </c>
      <c r="V80" s="192">
        <f t="shared" si="1"/>
        <v>0</v>
      </c>
      <c r="W80" s="270">
        <f t="shared" si="4"/>
        <v>0</v>
      </c>
      <c r="X80" s="271">
        <f t="shared" si="5"/>
        <v>0</v>
      </c>
      <c r="Y80" s="307"/>
      <c r="Z80" s="308"/>
      <c r="AA80" s="276"/>
      <c r="AB80" s="186"/>
      <c r="AC80" s="277"/>
      <c r="AD80" s="185"/>
      <c r="AE80" s="185"/>
      <c r="AF80" s="277"/>
      <c r="AG80" s="185"/>
      <c r="AH80" s="278" t="str">
        <f>'I. Eliminations-Consolidations'!A213</f>
        <v>I.2</v>
      </c>
      <c r="AI80" s="185">
        <f>'I. Eliminations-Consolidations'!J214</f>
        <v>0</v>
      </c>
      <c r="AJ80" s="277"/>
      <c r="AK80" s="186"/>
      <c r="AL80" s="222"/>
      <c r="AM80" s="222"/>
      <c r="AN80" s="270">
        <f t="shared" si="18"/>
        <v>0</v>
      </c>
      <c r="AO80" s="271">
        <f t="shared" si="19"/>
        <v>0</v>
      </c>
      <c r="AP80" s="192"/>
      <c r="AQ80" s="271"/>
      <c r="AR80" s="192" t="str">
        <f>IF(AN80+AN81-AO80-AO81&lt;=0, " ",AN80+AN81-AO80-AO81)</f>
        <v xml:space="preserve"> </v>
      </c>
      <c r="AS80" s="271">
        <f>IF(AN80+AN81-AO80-AO81&gt;0, " ",AO80+AO81-AN80-AN81)</f>
        <v>0</v>
      </c>
      <c r="AT80" s="45"/>
      <c r="AU80" s="36"/>
      <c r="AV80" s="36"/>
      <c r="AW80" s="36"/>
      <c r="AX80" s="36"/>
    </row>
    <row r="81" spans="3:50" x14ac:dyDescent="0.2">
      <c r="C81" s="339"/>
      <c r="D81" s="339"/>
      <c r="E81" s="213"/>
      <c r="F81" s="214"/>
      <c r="G81" s="222"/>
      <c r="H81" s="222"/>
      <c r="I81" s="222"/>
      <c r="J81" s="222"/>
      <c r="K81" s="222"/>
      <c r="L81" s="222"/>
      <c r="M81" s="222"/>
      <c r="N81" s="223"/>
      <c r="O81" s="222"/>
      <c r="P81" s="222"/>
      <c r="Q81" s="222"/>
      <c r="R81" s="222"/>
      <c r="S81" s="222"/>
      <c r="T81" s="223"/>
      <c r="U81" s="192">
        <f t="shared" si="0"/>
        <v>0</v>
      </c>
      <c r="V81" s="192">
        <f t="shared" si="1"/>
        <v>0</v>
      </c>
      <c r="W81" s="270">
        <f t="shared" si="4"/>
        <v>0</v>
      </c>
      <c r="X81" s="271">
        <f t="shared" si="5"/>
        <v>0</v>
      </c>
      <c r="Y81" s="307"/>
      <c r="Z81" s="308"/>
      <c r="AA81" s="276"/>
      <c r="AB81" s="186"/>
      <c r="AC81" s="277"/>
      <c r="AD81" s="185"/>
      <c r="AE81" s="185"/>
      <c r="AF81" s="277"/>
      <c r="AG81" s="185"/>
      <c r="AH81" s="278" t="str">
        <f>'I. Eliminations-Consolidations'!A218</f>
        <v>I.3</v>
      </c>
      <c r="AI81" s="185">
        <f>'I. Eliminations-Consolidations'!J218</f>
        <v>0</v>
      </c>
      <c r="AJ81" s="277"/>
      <c r="AK81" s="186"/>
      <c r="AL81" s="222"/>
      <c r="AM81" s="222"/>
      <c r="AN81" s="270">
        <f t="shared" si="18"/>
        <v>0</v>
      </c>
      <c r="AO81" s="271">
        <f t="shared" si="19"/>
        <v>0</v>
      </c>
      <c r="AP81" s="192"/>
      <c r="AQ81" s="271"/>
      <c r="AR81" s="192"/>
      <c r="AS81" s="271"/>
      <c r="AT81" s="45"/>
      <c r="AU81" s="36"/>
      <c r="AV81" s="36"/>
      <c r="AW81" s="36"/>
      <c r="AX81" s="36"/>
    </row>
    <row r="82" spans="3:50" x14ac:dyDescent="0.2">
      <c r="C82" s="339" t="s">
        <v>349</v>
      </c>
      <c r="D82" s="339"/>
      <c r="E82" s="213"/>
      <c r="F82" s="214"/>
      <c r="G82" s="222"/>
      <c r="H82" s="222"/>
      <c r="I82" s="222"/>
      <c r="J82" s="222"/>
      <c r="K82" s="222"/>
      <c r="L82" s="222"/>
      <c r="M82" s="222"/>
      <c r="N82" s="223"/>
      <c r="O82" s="222"/>
      <c r="P82" s="222"/>
      <c r="Q82" s="222"/>
      <c r="R82" s="222"/>
      <c r="S82" s="222"/>
      <c r="T82" s="223"/>
      <c r="U82" s="192">
        <f t="shared" si="0"/>
        <v>0</v>
      </c>
      <c r="V82" s="192">
        <f t="shared" si="1"/>
        <v>0</v>
      </c>
      <c r="W82" s="270">
        <f t="shared" si="4"/>
        <v>0</v>
      </c>
      <c r="X82" s="271">
        <f t="shared" si="5"/>
        <v>0</v>
      </c>
      <c r="Y82" s="307"/>
      <c r="Z82" s="308"/>
      <c r="AA82" s="276"/>
      <c r="AB82" s="186"/>
      <c r="AC82" s="277"/>
      <c r="AD82" s="185"/>
      <c r="AE82" s="185"/>
      <c r="AF82" s="277" t="str">
        <f>'E. Debt Service'!D107</f>
        <v>E.3</v>
      </c>
      <c r="AG82" s="185">
        <f>'E. Debt Service'!N108</f>
        <v>0</v>
      </c>
      <c r="AH82" s="278"/>
      <c r="AI82" s="185"/>
      <c r="AJ82" s="277"/>
      <c r="AK82" s="186"/>
      <c r="AL82" s="222"/>
      <c r="AM82" s="222"/>
      <c r="AN82" s="270">
        <f t="shared" si="18"/>
        <v>0</v>
      </c>
      <c r="AO82" s="271">
        <f t="shared" si="19"/>
        <v>0</v>
      </c>
      <c r="AP82" s="192"/>
      <c r="AQ82" s="271"/>
      <c r="AR82" s="192">
        <f>IF(AN82+AN83-AO82-AO83&lt;0, " ",AN82+AN83-AO82-AO83)</f>
        <v>0</v>
      </c>
      <c r="AS82" s="271">
        <f>IF(AN82+AN83-AO82-AO83&gt;0, " ",AO82+AO83-AN82-AN83)</f>
        <v>0</v>
      </c>
      <c r="AT82" s="45"/>
      <c r="AU82" s="36"/>
      <c r="AV82" s="36"/>
      <c r="AW82" s="36"/>
      <c r="AX82" s="36"/>
    </row>
    <row r="83" spans="3:50" x14ac:dyDescent="0.2">
      <c r="C83" s="339"/>
      <c r="D83" s="339"/>
      <c r="E83" s="213"/>
      <c r="F83" s="214"/>
      <c r="G83" s="222"/>
      <c r="H83" s="222"/>
      <c r="I83" s="222"/>
      <c r="J83" s="222"/>
      <c r="K83" s="222"/>
      <c r="L83" s="222"/>
      <c r="M83" s="222"/>
      <c r="N83" s="223"/>
      <c r="O83" s="222"/>
      <c r="P83" s="222"/>
      <c r="Q83" s="222"/>
      <c r="R83" s="222"/>
      <c r="S83" s="222"/>
      <c r="T83" s="223"/>
      <c r="U83" s="192">
        <f>O83+Q83+S83</f>
        <v>0</v>
      </c>
      <c r="V83" s="192">
        <f>P83+R83+T83</f>
        <v>0</v>
      </c>
      <c r="W83" s="270">
        <f>E83+G83+I83+K83+M83+U83</f>
        <v>0</v>
      </c>
      <c r="X83" s="271">
        <f>F83+H83+J83+L83+N83+V83</f>
        <v>0</v>
      </c>
      <c r="Y83" s="307"/>
      <c r="Z83" s="308"/>
      <c r="AA83" s="276"/>
      <c r="AB83" s="186"/>
      <c r="AC83" s="277" t="str">
        <f>'E. Debt Service'!$D$110</f>
        <v>E.4</v>
      </c>
      <c r="AD83" s="185">
        <f>'E. Debt Service'!L110</f>
        <v>0</v>
      </c>
      <c r="AE83" s="185"/>
      <c r="AF83" s="277" t="str">
        <f>'E. Debt Service'!$D$110</f>
        <v>E.4</v>
      </c>
      <c r="AG83" s="185">
        <f>'E. Debt Service'!N110</f>
        <v>0</v>
      </c>
      <c r="AH83" s="278"/>
      <c r="AI83" s="185"/>
      <c r="AJ83" s="277"/>
      <c r="AK83" s="186"/>
      <c r="AL83" s="222"/>
      <c r="AM83" s="222"/>
      <c r="AN83" s="270">
        <f t="shared" si="18"/>
        <v>0</v>
      </c>
      <c r="AO83" s="271">
        <f t="shared" si="19"/>
        <v>0</v>
      </c>
      <c r="AP83" s="192"/>
      <c r="AQ83" s="271"/>
      <c r="AR83" s="192"/>
      <c r="AS83" s="271"/>
      <c r="AT83" s="45"/>
      <c r="AU83" s="36"/>
      <c r="AV83" s="36"/>
      <c r="AW83" s="36"/>
      <c r="AX83" s="36"/>
    </row>
    <row r="84" spans="3:50" x14ac:dyDescent="0.2">
      <c r="C84" s="314" t="s">
        <v>126</v>
      </c>
      <c r="D84" s="343"/>
      <c r="E84" s="209"/>
      <c r="F84" s="210"/>
      <c r="G84" s="218"/>
      <c r="H84" s="218"/>
      <c r="I84" s="218"/>
      <c r="J84" s="218"/>
      <c r="K84" s="218"/>
      <c r="L84" s="218"/>
      <c r="M84" s="218"/>
      <c r="N84" s="219"/>
      <c r="O84" s="218"/>
      <c r="P84" s="218"/>
      <c r="Q84" s="218"/>
      <c r="R84" s="218"/>
      <c r="S84" s="218"/>
      <c r="T84" s="219"/>
      <c r="U84" s="192">
        <f t="shared" si="0"/>
        <v>0</v>
      </c>
      <c r="V84" s="192">
        <f t="shared" si="1"/>
        <v>0</v>
      </c>
      <c r="W84" s="270">
        <f t="shared" si="4"/>
        <v>0</v>
      </c>
      <c r="X84" s="271">
        <f t="shared" si="5"/>
        <v>0</v>
      </c>
      <c r="Y84" s="303"/>
      <c r="Z84" s="304"/>
      <c r="AA84" s="269"/>
      <c r="AB84" s="137"/>
      <c r="AC84" s="265"/>
      <c r="AD84" s="45"/>
      <c r="AE84" s="45"/>
      <c r="AF84" s="265"/>
      <c r="AG84" s="45"/>
      <c r="AH84" s="264"/>
      <c r="AI84" s="44"/>
      <c r="AJ84" s="274" t="str">
        <f>'I. Eliminations-Consolidations'!$A$233</f>
        <v>I.6</v>
      </c>
      <c r="AK84" s="138">
        <f>'I. Eliminations-Consolidations'!L241</f>
        <v>0</v>
      </c>
      <c r="AL84" s="218"/>
      <c r="AM84" s="218"/>
      <c r="AN84" s="270">
        <f t="shared" si="18"/>
        <v>0</v>
      </c>
      <c r="AO84" s="271">
        <f t="shared" si="19"/>
        <v>0</v>
      </c>
      <c r="AP84" s="192"/>
      <c r="AQ84" s="271"/>
      <c r="AR84" s="192">
        <f t="shared" ref="AR84:AR91" si="20">IF(AN84-AO84&lt;0, " ",AN84-AO84)</f>
        <v>0</v>
      </c>
      <c r="AS84" s="271">
        <f t="shared" ref="AS84:AS99" si="21">IF(AN84-AO84&gt;0, " ",AO84-AN84)</f>
        <v>0</v>
      </c>
      <c r="AT84" s="45"/>
      <c r="AU84" s="36"/>
      <c r="AV84" s="36"/>
      <c r="AW84" s="36"/>
      <c r="AX84" s="36"/>
    </row>
    <row r="85" spans="3:50" x14ac:dyDescent="0.2">
      <c r="C85" s="314" t="s">
        <v>138</v>
      </c>
      <c r="D85" s="343"/>
      <c r="E85" s="209"/>
      <c r="F85" s="210"/>
      <c r="G85" s="218"/>
      <c r="H85" s="218"/>
      <c r="I85" s="218"/>
      <c r="J85" s="218"/>
      <c r="K85" s="218"/>
      <c r="L85" s="218"/>
      <c r="M85" s="218"/>
      <c r="N85" s="219"/>
      <c r="O85" s="218"/>
      <c r="P85" s="218"/>
      <c r="Q85" s="218"/>
      <c r="R85" s="218"/>
      <c r="S85" s="218"/>
      <c r="T85" s="219"/>
      <c r="U85" s="192">
        <f t="shared" ref="U85:U172" si="22">O85+Q85+S85</f>
        <v>0</v>
      </c>
      <c r="V85" s="192">
        <f t="shared" ref="V85:V172" si="23">P85+R85+T85</f>
        <v>0</v>
      </c>
      <c r="W85" s="270">
        <f t="shared" si="4"/>
        <v>0</v>
      </c>
      <c r="X85" s="271">
        <f t="shared" si="5"/>
        <v>0</v>
      </c>
      <c r="Y85" s="303"/>
      <c r="Z85" s="304"/>
      <c r="AA85" s="269"/>
      <c r="AB85" s="137"/>
      <c r="AC85" s="265"/>
      <c r="AD85" s="45"/>
      <c r="AE85" s="45"/>
      <c r="AF85" s="265"/>
      <c r="AG85" s="45"/>
      <c r="AH85" s="264"/>
      <c r="AI85" s="44"/>
      <c r="AJ85" s="274" t="str">
        <f>'I. Eliminations-Consolidations'!$A$233</f>
        <v>I.6</v>
      </c>
      <c r="AK85" s="138">
        <f>'I. Eliminations-Consolidations'!L246</f>
        <v>0</v>
      </c>
      <c r="AL85" s="218"/>
      <c r="AM85" s="218"/>
      <c r="AN85" s="270">
        <f t="shared" si="18"/>
        <v>0</v>
      </c>
      <c r="AO85" s="271">
        <f t="shared" si="19"/>
        <v>0</v>
      </c>
      <c r="AP85" s="192"/>
      <c r="AQ85" s="271"/>
      <c r="AR85" s="192">
        <f t="shared" si="20"/>
        <v>0</v>
      </c>
      <c r="AS85" s="271">
        <f t="shared" si="21"/>
        <v>0</v>
      </c>
      <c r="AT85" s="45"/>
      <c r="AU85" s="36"/>
      <c r="AV85" s="36"/>
      <c r="AW85" s="36"/>
      <c r="AX85" s="36"/>
    </row>
    <row r="86" spans="3:50" x14ac:dyDescent="0.2">
      <c r="C86" s="314" t="s">
        <v>127</v>
      </c>
      <c r="D86" s="343"/>
      <c r="E86" s="209"/>
      <c r="F86" s="210"/>
      <c r="G86" s="218"/>
      <c r="H86" s="218"/>
      <c r="I86" s="218"/>
      <c r="J86" s="218"/>
      <c r="K86" s="218"/>
      <c r="L86" s="218"/>
      <c r="M86" s="218"/>
      <c r="N86" s="219"/>
      <c r="O86" s="218"/>
      <c r="P86" s="218"/>
      <c r="Q86" s="218"/>
      <c r="R86" s="218"/>
      <c r="S86" s="218"/>
      <c r="T86" s="219"/>
      <c r="U86" s="192">
        <f t="shared" si="22"/>
        <v>0</v>
      </c>
      <c r="V86" s="192">
        <f t="shared" si="23"/>
        <v>0</v>
      </c>
      <c r="W86" s="270">
        <f t="shared" ref="W86:W172" si="24">E86+G86+I86+K86+M86+U86</f>
        <v>0</v>
      </c>
      <c r="X86" s="271">
        <f t="shared" ref="X86:X172" si="25">F86+H86+J86+L86+N86+V86</f>
        <v>0</v>
      </c>
      <c r="Y86" s="303"/>
      <c r="Z86" s="304"/>
      <c r="AA86" s="269"/>
      <c r="AB86" s="137"/>
      <c r="AC86" s="265"/>
      <c r="AD86" s="45"/>
      <c r="AE86" s="45"/>
      <c r="AF86" s="265"/>
      <c r="AG86" s="45"/>
      <c r="AH86" s="264"/>
      <c r="AI86" s="44"/>
      <c r="AJ86" s="274" t="str">
        <f>'I. Eliminations-Consolidations'!$A$233</f>
        <v>I.6</v>
      </c>
      <c r="AK86" s="138">
        <f>'I. Eliminations-Consolidations'!L242</f>
        <v>0</v>
      </c>
      <c r="AL86" s="218"/>
      <c r="AM86" s="218"/>
      <c r="AN86" s="270">
        <f t="shared" si="18"/>
        <v>0</v>
      </c>
      <c r="AO86" s="271">
        <f t="shared" si="19"/>
        <v>0</v>
      </c>
      <c r="AP86" s="192"/>
      <c r="AQ86" s="271"/>
      <c r="AR86" s="192">
        <f t="shared" si="20"/>
        <v>0</v>
      </c>
      <c r="AS86" s="271">
        <f t="shared" si="21"/>
        <v>0</v>
      </c>
      <c r="AT86" s="45"/>
      <c r="AU86" s="36"/>
      <c r="AV86" s="36"/>
      <c r="AW86" s="36"/>
      <c r="AX86" s="36"/>
    </row>
    <row r="87" spans="3:50" x14ac:dyDescent="0.2">
      <c r="C87" s="322" t="s">
        <v>725</v>
      </c>
      <c r="D87" s="343"/>
      <c r="E87" s="209"/>
      <c r="F87" s="210"/>
      <c r="G87" s="218"/>
      <c r="H87" s="218"/>
      <c r="I87" s="218"/>
      <c r="J87" s="218"/>
      <c r="K87" s="218"/>
      <c r="L87" s="218"/>
      <c r="M87" s="218"/>
      <c r="N87" s="219"/>
      <c r="O87" s="218"/>
      <c r="P87" s="218"/>
      <c r="Q87" s="218"/>
      <c r="R87" s="218"/>
      <c r="S87" s="218"/>
      <c r="T87" s="219"/>
      <c r="U87" s="192">
        <f t="shared" ref="U87:V89" si="26">O87+Q87+S87</f>
        <v>0</v>
      </c>
      <c r="V87" s="192">
        <f t="shared" si="26"/>
        <v>0</v>
      </c>
      <c r="W87" s="270">
        <f t="shared" ref="W87:X89" si="27">E87+G87+I87+K87+M87+U87</f>
        <v>0</v>
      </c>
      <c r="X87" s="271">
        <f t="shared" si="27"/>
        <v>0</v>
      </c>
      <c r="Y87" s="303"/>
      <c r="Z87" s="304"/>
      <c r="AA87" s="269"/>
      <c r="AB87" s="137"/>
      <c r="AC87" s="265"/>
      <c r="AD87" s="45"/>
      <c r="AE87" s="45"/>
      <c r="AF87" s="265"/>
      <c r="AG87" s="45"/>
      <c r="AH87" s="264"/>
      <c r="AI87" s="44"/>
      <c r="AJ87" s="274" t="str">
        <f>'I. Eliminations-Consolidations'!$A$233</f>
        <v>I.6</v>
      </c>
      <c r="AK87" s="138">
        <f>'I. Eliminations-Consolidations'!L243</f>
        <v>0</v>
      </c>
      <c r="AL87" s="218"/>
      <c r="AM87" s="218"/>
      <c r="AN87" s="270">
        <f>W87+Y87+AA87+AD87+AI87+AL87</f>
        <v>0</v>
      </c>
      <c r="AO87" s="271">
        <f>X87+Z87+AB87+AG87+AK87+AM87</f>
        <v>0</v>
      </c>
      <c r="AP87" s="192"/>
      <c r="AQ87" s="271"/>
      <c r="AR87" s="192">
        <f>IF(AN87-AO87&lt;0, " ",AN87-AO87)</f>
        <v>0</v>
      </c>
      <c r="AS87" s="271">
        <f>IF(AN87-AO87&gt;0, " ",AO87-AN87)</f>
        <v>0</v>
      </c>
      <c r="AT87" s="45"/>
      <c r="AU87" s="36"/>
      <c r="AV87" s="36"/>
      <c r="AW87" s="36"/>
      <c r="AX87" s="36"/>
    </row>
    <row r="88" spans="3:50" x14ac:dyDescent="0.2">
      <c r="C88" s="322" t="s">
        <v>726</v>
      </c>
      <c r="D88" s="343"/>
      <c r="E88" s="209"/>
      <c r="F88" s="210"/>
      <c r="G88" s="218"/>
      <c r="H88" s="218"/>
      <c r="I88" s="218"/>
      <c r="J88" s="218"/>
      <c r="K88" s="218"/>
      <c r="L88" s="218"/>
      <c r="M88" s="218"/>
      <c r="N88" s="219"/>
      <c r="O88" s="218"/>
      <c r="P88" s="218"/>
      <c r="Q88" s="218"/>
      <c r="R88" s="218"/>
      <c r="S88" s="218"/>
      <c r="T88" s="219"/>
      <c r="U88" s="192">
        <f t="shared" si="26"/>
        <v>0</v>
      </c>
      <c r="V88" s="192">
        <f t="shared" si="26"/>
        <v>0</v>
      </c>
      <c r="W88" s="270">
        <f t="shared" si="27"/>
        <v>0</v>
      </c>
      <c r="X88" s="271">
        <f t="shared" si="27"/>
        <v>0</v>
      </c>
      <c r="Y88" s="303"/>
      <c r="Z88" s="304"/>
      <c r="AA88" s="269"/>
      <c r="AB88" s="137"/>
      <c r="AC88" s="265"/>
      <c r="AD88" s="45"/>
      <c r="AE88" s="45"/>
      <c r="AF88" s="265"/>
      <c r="AG88" s="45"/>
      <c r="AH88" s="264"/>
      <c r="AI88" s="44"/>
      <c r="AJ88" s="274" t="str">
        <f>'I. Eliminations-Consolidations'!$A$233</f>
        <v>I.6</v>
      </c>
      <c r="AK88" s="138">
        <f>'I. Eliminations-Consolidations'!L244</f>
        <v>0</v>
      </c>
      <c r="AL88" s="218"/>
      <c r="AM88" s="218"/>
      <c r="AN88" s="270">
        <f>W88+Y88+AA88+AD88+AI88+AL88</f>
        <v>0</v>
      </c>
      <c r="AO88" s="271">
        <f>X88+Z88+AB88+AG88+AK88+AM88</f>
        <v>0</v>
      </c>
      <c r="AP88" s="192"/>
      <c r="AQ88" s="271"/>
      <c r="AR88" s="192">
        <f>IF(AN88-AO88&lt;0, " ",AN88-AO88)</f>
        <v>0</v>
      </c>
      <c r="AS88" s="271">
        <f>IF(AN88-AO88&gt;0, " ",AO88-AN88)</f>
        <v>0</v>
      </c>
      <c r="AT88" s="45"/>
      <c r="AU88" s="36"/>
      <c r="AV88" s="36"/>
      <c r="AW88" s="36"/>
      <c r="AX88" s="36"/>
    </row>
    <row r="89" spans="3:50" x14ac:dyDescent="0.2">
      <c r="C89" s="314" t="s">
        <v>603</v>
      </c>
      <c r="D89" s="343"/>
      <c r="E89" s="209"/>
      <c r="F89" s="210"/>
      <c r="G89" s="218"/>
      <c r="H89" s="218"/>
      <c r="I89" s="218"/>
      <c r="J89" s="218"/>
      <c r="K89" s="218"/>
      <c r="L89" s="218"/>
      <c r="M89" s="218"/>
      <c r="N89" s="219"/>
      <c r="O89" s="218"/>
      <c r="P89" s="218"/>
      <c r="Q89" s="218"/>
      <c r="R89" s="218"/>
      <c r="S89" s="218"/>
      <c r="T89" s="219"/>
      <c r="U89" s="192">
        <f t="shared" si="26"/>
        <v>0</v>
      </c>
      <c r="V89" s="192">
        <f t="shared" si="26"/>
        <v>0</v>
      </c>
      <c r="W89" s="270">
        <f t="shared" si="27"/>
        <v>0</v>
      </c>
      <c r="X89" s="271">
        <f t="shared" si="27"/>
        <v>0</v>
      </c>
      <c r="Y89" s="303"/>
      <c r="Z89" s="304"/>
      <c r="AA89" s="269"/>
      <c r="AB89" s="137"/>
      <c r="AC89" s="265"/>
      <c r="AD89" s="45"/>
      <c r="AE89" s="45"/>
      <c r="AF89" s="265"/>
      <c r="AG89" s="45"/>
      <c r="AH89" s="264"/>
      <c r="AI89" s="44"/>
      <c r="AJ89" s="274" t="str">
        <f>'I. Eliminations-Consolidations'!$A$233</f>
        <v>I.6</v>
      </c>
      <c r="AK89" s="138">
        <f>'I. Eliminations-Consolidations'!L245</f>
        <v>0</v>
      </c>
      <c r="AL89" s="218"/>
      <c r="AM89" s="218"/>
      <c r="AN89" s="270">
        <f t="shared" si="18"/>
        <v>0</v>
      </c>
      <c r="AO89" s="271">
        <f t="shared" si="19"/>
        <v>0</v>
      </c>
      <c r="AP89" s="192"/>
      <c r="AQ89" s="271"/>
      <c r="AR89" s="192">
        <f>IF(AN89-AO89&lt;0, " ",AN89-AO89)</f>
        <v>0</v>
      </c>
      <c r="AS89" s="271">
        <f t="shared" si="21"/>
        <v>0</v>
      </c>
      <c r="AT89" s="45"/>
      <c r="AU89" s="36"/>
      <c r="AV89" s="36"/>
      <c r="AW89" s="36"/>
      <c r="AX89" s="36"/>
    </row>
    <row r="90" spans="3:50" x14ac:dyDescent="0.2">
      <c r="C90" s="322" t="str">
        <f>C100</f>
        <v>Other long-term liability #1</v>
      </c>
      <c r="D90" s="343" t="s">
        <v>328</v>
      </c>
      <c r="E90" s="209"/>
      <c r="F90" s="210"/>
      <c r="G90" s="218"/>
      <c r="H90" s="218"/>
      <c r="I90" s="218"/>
      <c r="J90" s="218"/>
      <c r="K90" s="218"/>
      <c r="L90" s="218"/>
      <c r="M90" s="218"/>
      <c r="N90" s="219"/>
      <c r="O90" s="218"/>
      <c r="P90" s="218"/>
      <c r="Q90" s="218"/>
      <c r="R90" s="218"/>
      <c r="S90" s="218"/>
      <c r="T90" s="219"/>
      <c r="U90" s="192">
        <f t="shared" si="22"/>
        <v>0</v>
      </c>
      <c r="V90" s="192">
        <f t="shared" si="23"/>
        <v>0</v>
      </c>
      <c r="W90" s="270">
        <f t="shared" si="24"/>
        <v>0</v>
      </c>
      <c r="X90" s="271">
        <f t="shared" si="25"/>
        <v>0</v>
      </c>
      <c r="Y90" s="303"/>
      <c r="Z90" s="304"/>
      <c r="AA90" s="269"/>
      <c r="AB90" s="137"/>
      <c r="AC90" s="265"/>
      <c r="AD90" s="45"/>
      <c r="AE90" s="45"/>
      <c r="AF90" s="265"/>
      <c r="AG90" s="45"/>
      <c r="AH90" s="264"/>
      <c r="AI90" s="44"/>
      <c r="AJ90" s="274" t="str">
        <f>'I. Eliminations-Consolidations'!$A$233</f>
        <v>I.6</v>
      </c>
      <c r="AK90" s="138">
        <f>'I. Eliminations-Consolidations'!L247</f>
        <v>0</v>
      </c>
      <c r="AL90" s="218"/>
      <c r="AM90" s="218"/>
      <c r="AN90" s="270">
        <f t="shared" si="18"/>
        <v>0</v>
      </c>
      <c r="AO90" s="271">
        <f t="shared" si="19"/>
        <v>0</v>
      </c>
      <c r="AP90" s="192"/>
      <c r="AQ90" s="271"/>
      <c r="AR90" s="192">
        <f t="shared" si="20"/>
        <v>0</v>
      </c>
      <c r="AS90" s="271">
        <f t="shared" si="21"/>
        <v>0</v>
      </c>
      <c r="AT90" s="45"/>
      <c r="AU90" s="36"/>
      <c r="AV90" s="36"/>
      <c r="AW90" s="36"/>
      <c r="AX90" s="36"/>
    </row>
    <row r="91" spans="3:50" x14ac:dyDescent="0.2">
      <c r="C91" s="322" t="str">
        <f>C101</f>
        <v>Other long-term liability #2</v>
      </c>
      <c r="D91" s="343" t="s">
        <v>328</v>
      </c>
      <c r="E91" s="209"/>
      <c r="F91" s="210"/>
      <c r="G91" s="218"/>
      <c r="H91" s="218"/>
      <c r="I91" s="218"/>
      <c r="J91" s="218"/>
      <c r="K91" s="218"/>
      <c r="L91" s="218"/>
      <c r="M91" s="218"/>
      <c r="N91" s="219"/>
      <c r="O91" s="218"/>
      <c r="P91" s="218"/>
      <c r="Q91" s="218"/>
      <c r="R91" s="218"/>
      <c r="S91" s="218"/>
      <c r="T91" s="219"/>
      <c r="U91" s="192">
        <f t="shared" si="22"/>
        <v>0</v>
      </c>
      <c r="V91" s="192">
        <f t="shared" si="23"/>
        <v>0</v>
      </c>
      <c r="W91" s="270">
        <f t="shared" si="24"/>
        <v>0</v>
      </c>
      <c r="X91" s="271">
        <f t="shared" si="25"/>
        <v>0</v>
      </c>
      <c r="Y91" s="303"/>
      <c r="Z91" s="304"/>
      <c r="AA91" s="269"/>
      <c r="AB91" s="137"/>
      <c r="AC91" s="265"/>
      <c r="AD91" s="45"/>
      <c r="AE91" s="45"/>
      <c r="AF91" s="265"/>
      <c r="AG91" s="45"/>
      <c r="AH91" s="264"/>
      <c r="AI91" s="44"/>
      <c r="AJ91" s="274" t="str">
        <f>'I. Eliminations-Consolidations'!$A$233</f>
        <v>I.6</v>
      </c>
      <c r="AK91" s="138">
        <f>'I. Eliminations-Consolidations'!L248</f>
        <v>0</v>
      </c>
      <c r="AL91" s="218"/>
      <c r="AM91" s="218"/>
      <c r="AN91" s="270">
        <f t="shared" si="18"/>
        <v>0</v>
      </c>
      <c r="AO91" s="271">
        <f t="shared" si="19"/>
        <v>0</v>
      </c>
      <c r="AP91" s="192"/>
      <c r="AQ91" s="271"/>
      <c r="AR91" s="192">
        <f t="shared" si="20"/>
        <v>0</v>
      </c>
      <c r="AS91" s="271">
        <f t="shared" si="21"/>
        <v>0</v>
      </c>
      <c r="AT91" s="45"/>
      <c r="AU91" s="36"/>
      <c r="AV91" s="36"/>
      <c r="AW91" s="36"/>
      <c r="AX91" s="36"/>
    </row>
    <row r="92" spans="3:50" x14ac:dyDescent="0.2">
      <c r="C92" s="322" t="s">
        <v>119</v>
      </c>
      <c r="D92" s="322"/>
      <c r="E92" s="209"/>
      <c r="F92" s="210"/>
      <c r="G92" s="218"/>
      <c r="H92" s="218"/>
      <c r="I92" s="218"/>
      <c r="J92" s="218"/>
      <c r="K92" s="218"/>
      <c r="L92" s="218"/>
      <c r="M92" s="218"/>
      <c r="N92" s="219"/>
      <c r="O92" s="218"/>
      <c r="P92" s="218"/>
      <c r="Q92" s="218"/>
      <c r="R92" s="218"/>
      <c r="S92" s="218"/>
      <c r="T92" s="219"/>
      <c r="U92" s="192">
        <f t="shared" si="22"/>
        <v>0</v>
      </c>
      <c r="V92" s="192">
        <f t="shared" si="23"/>
        <v>0</v>
      </c>
      <c r="W92" s="270">
        <f t="shared" si="24"/>
        <v>0</v>
      </c>
      <c r="X92" s="271">
        <f t="shared" si="25"/>
        <v>0</v>
      </c>
      <c r="Y92" s="303"/>
      <c r="Z92" s="304">
        <f>'Beginning Capital Assets &amp; LTD'!K72</f>
        <v>0</v>
      </c>
      <c r="AA92" s="269"/>
      <c r="AB92" s="137"/>
      <c r="AC92" s="265" t="str">
        <f>'E. Debt Service'!$D$101</f>
        <v>E.2</v>
      </c>
      <c r="AD92" s="44">
        <f>'E. Debt Service'!L101</f>
        <v>0</v>
      </c>
      <c r="AE92" s="45"/>
      <c r="AF92" s="265" t="str">
        <f>'F. Debt Issues'!$D$34</f>
        <v>F.1</v>
      </c>
      <c r="AG92" s="44">
        <f>'F. Debt Issues'!N38</f>
        <v>0</v>
      </c>
      <c r="AH92" s="264" t="str">
        <f>'I. Eliminations-Consolidations'!$A$233</f>
        <v>I.6</v>
      </c>
      <c r="AI92" s="44">
        <f>'I. Eliminations-Consolidations'!J234</f>
        <v>0</v>
      </c>
      <c r="AJ92" s="274"/>
      <c r="AK92" s="138"/>
      <c r="AL92" s="218"/>
      <c r="AM92" s="218"/>
      <c r="AN92" s="270">
        <f t="shared" si="18"/>
        <v>0</v>
      </c>
      <c r="AO92" s="271">
        <f t="shared" si="19"/>
        <v>0</v>
      </c>
      <c r="AP92" s="192"/>
      <c r="AQ92" s="271"/>
      <c r="AR92" s="192">
        <f t="shared" ref="AR92:AR149" si="28">IF(AN92-AO92&lt;0, " ",AN92-AO92)</f>
        <v>0</v>
      </c>
      <c r="AS92" s="271">
        <f t="shared" si="21"/>
        <v>0</v>
      </c>
      <c r="AT92" s="45"/>
      <c r="AU92" s="36"/>
      <c r="AV92" s="36"/>
      <c r="AW92" s="36"/>
      <c r="AX92" s="36"/>
    </row>
    <row r="93" spans="3:50" x14ac:dyDescent="0.2">
      <c r="C93" s="322" t="s">
        <v>3</v>
      </c>
      <c r="D93" s="322"/>
      <c r="E93" s="209"/>
      <c r="F93" s="210"/>
      <c r="G93" s="218"/>
      <c r="H93" s="218"/>
      <c r="I93" s="218"/>
      <c r="J93" s="218"/>
      <c r="K93" s="218"/>
      <c r="L93" s="218"/>
      <c r="M93" s="218"/>
      <c r="N93" s="219"/>
      <c r="O93" s="218"/>
      <c r="P93" s="218"/>
      <c r="Q93" s="218"/>
      <c r="R93" s="218"/>
      <c r="S93" s="218"/>
      <c r="T93" s="219"/>
      <c r="U93" s="192">
        <f t="shared" ref="U93:V95" si="29">O93+Q93+S93</f>
        <v>0</v>
      </c>
      <c r="V93" s="192">
        <f t="shared" si="29"/>
        <v>0</v>
      </c>
      <c r="W93" s="270">
        <f t="shared" ref="W93:X95" si="30">E93+G93+I93+K93+M93+U93</f>
        <v>0</v>
      </c>
      <c r="X93" s="271">
        <f t="shared" si="30"/>
        <v>0</v>
      </c>
      <c r="Y93" s="303"/>
      <c r="Z93" s="304">
        <f>'Beginning Capital Assets &amp; LTD'!K75</f>
        <v>0</v>
      </c>
      <c r="AA93" s="269"/>
      <c r="AB93" s="137"/>
      <c r="AC93" s="265" t="str">
        <f>'E. Debt Service'!$D$101</f>
        <v>E.2</v>
      </c>
      <c r="AD93" s="44">
        <f>'E. Debt Service'!L102</f>
        <v>0</v>
      </c>
      <c r="AE93" s="45"/>
      <c r="AF93" s="265" t="str">
        <f>'F. Debt Issues'!$D$34</f>
        <v>F.1</v>
      </c>
      <c r="AG93" s="44">
        <f>'F. Debt Issues'!N39</f>
        <v>0</v>
      </c>
      <c r="AH93" s="264" t="str">
        <f>'I. Eliminations-Consolidations'!$A$233</f>
        <v>I.6</v>
      </c>
      <c r="AI93" s="44">
        <f>'I. Eliminations-Consolidations'!J235</f>
        <v>0</v>
      </c>
      <c r="AJ93" s="274"/>
      <c r="AK93" s="138"/>
      <c r="AL93" s="218"/>
      <c r="AM93" s="218"/>
      <c r="AN93" s="270">
        <f>W93+Y93+AA93+AD93+AI93+AL93</f>
        <v>0</v>
      </c>
      <c r="AO93" s="271">
        <f>X93+Z93+AB93+AG93+AK93+AM93</f>
        <v>0</v>
      </c>
      <c r="AP93" s="192"/>
      <c r="AQ93" s="271"/>
      <c r="AR93" s="192">
        <f>IF(AN93-AO93&lt;0, " ",AN93-AO93)</f>
        <v>0</v>
      </c>
      <c r="AS93" s="271">
        <f>IF(AN93-AO93&gt;0, " ",AO93-AN93)</f>
        <v>0</v>
      </c>
      <c r="AT93" s="45"/>
      <c r="AU93" s="36"/>
      <c r="AV93" s="36"/>
      <c r="AW93" s="36"/>
      <c r="AX93" s="36"/>
    </row>
    <row r="94" spans="3:50" x14ac:dyDescent="0.2">
      <c r="C94" s="322" t="s">
        <v>724</v>
      </c>
      <c r="D94" s="322"/>
      <c r="E94" s="209"/>
      <c r="F94" s="210"/>
      <c r="G94" s="218"/>
      <c r="H94" s="218"/>
      <c r="I94" s="218"/>
      <c r="J94" s="218"/>
      <c r="K94" s="218"/>
      <c r="L94" s="218"/>
      <c r="M94" s="218"/>
      <c r="N94" s="219"/>
      <c r="O94" s="218"/>
      <c r="P94" s="218"/>
      <c r="Q94" s="218"/>
      <c r="R94" s="218"/>
      <c r="S94" s="218"/>
      <c r="T94" s="219"/>
      <c r="U94" s="192">
        <f t="shared" si="29"/>
        <v>0</v>
      </c>
      <c r="V94" s="192">
        <f t="shared" si="29"/>
        <v>0</v>
      </c>
      <c r="W94" s="270">
        <f t="shared" si="30"/>
        <v>0</v>
      </c>
      <c r="X94" s="271">
        <f t="shared" si="30"/>
        <v>0</v>
      </c>
      <c r="Y94" s="303"/>
      <c r="Z94" s="304"/>
      <c r="AA94" s="269"/>
      <c r="AB94" s="137"/>
      <c r="AC94" s="265" t="str">
        <f>'E. Debt Service'!$D$101</f>
        <v>E.2</v>
      </c>
      <c r="AD94" s="44">
        <f>'E. Debt Service'!L103</f>
        <v>0</v>
      </c>
      <c r="AE94" s="45"/>
      <c r="AF94" s="265" t="str">
        <f>'F. Debt Issues'!$D$34</f>
        <v>F.1</v>
      </c>
      <c r="AG94" s="44">
        <f>'F. Debt Issues'!N40</f>
        <v>0</v>
      </c>
      <c r="AH94" s="264" t="str">
        <f>'I. Eliminations-Consolidations'!$A$233</f>
        <v>I.6</v>
      </c>
      <c r="AI94" s="44">
        <f>'I. Eliminations-Consolidations'!J236</f>
        <v>0</v>
      </c>
      <c r="AJ94" s="274"/>
      <c r="AK94" s="138"/>
      <c r="AL94" s="218"/>
      <c r="AM94" s="218"/>
      <c r="AN94" s="270">
        <f>W94+Y94+AA94+AD94+AI94+AL94</f>
        <v>0</v>
      </c>
      <c r="AO94" s="271">
        <f>X94+Z94+AB94+AG94+AK94+AM94</f>
        <v>0</v>
      </c>
      <c r="AP94" s="192"/>
      <c r="AQ94" s="271"/>
      <c r="AR94" s="192">
        <f>IF(AN94-AO94&lt;0, " ",AN94-AO94)</f>
        <v>0</v>
      </c>
      <c r="AS94" s="271">
        <f>IF(AN94-AO94&gt;0, " ",AO94-AN94)</f>
        <v>0</v>
      </c>
      <c r="AT94" s="45"/>
      <c r="AU94" s="36"/>
      <c r="AV94" s="36"/>
      <c r="AW94" s="36"/>
      <c r="AX94" s="36"/>
    </row>
    <row r="95" spans="3:50" x14ac:dyDescent="0.2">
      <c r="C95" s="314" t="s">
        <v>149</v>
      </c>
      <c r="D95" s="314"/>
      <c r="E95" s="209"/>
      <c r="F95" s="210"/>
      <c r="G95" s="218"/>
      <c r="H95" s="218"/>
      <c r="I95" s="218"/>
      <c r="J95" s="218"/>
      <c r="K95" s="218"/>
      <c r="L95" s="218"/>
      <c r="M95" s="218"/>
      <c r="N95" s="219"/>
      <c r="O95" s="218"/>
      <c r="P95" s="218"/>
      <c r="Q95" s="218"/>
      <c r="R95" s="218"/>
      <c r="S95" s="218"/>
      <c r="T95" s="219"/>
      <c r="U95" s="192">
        <f t="shared" si="29"/>
        <v>0</v>
      </c>
      <c r="V95" s="192">
        <f t="shared" si="29"/>
        <v>0</v>
      </c>
      <c r="W95" s="270">
        <f t="shared" si="30"/>
        <v>0</v>
      </c>
      <c r="X95" s="271">
        <f t="shared" si="30"/>
        <v>0</v>
      </c>
      <c r="Y95" s="303"/>
      <c r="Z95" s="304">
        <f>'Beginning Capital Assets &amp; LTD'!K73</f>
        <v>0</v>
      </c>
      <c r="AA95" s="269"/>
      <c r="AB95" s="137"/>
      <c r="AC95" s="265" t="str">
        <f>'E. Debt Service'!$D$101</f>
        <v>E.2</v>
      </c>
      <c r="AD95" s="44">
        <f>'E. Debt Service'!L104</f>
        <v>0</v>
      </c>
      <c r="AE95" s="45"/>
      <c r="AF95" s="265" t="str">
        <f>'F. Debt Issues'!$D$34</f>
        <v>F.1</v>
      </c>
      <c r="AG95" s="44">
        <f>'F. Debt Issues'!N41</f>
        <v>0</v>
      </c>
      <c r="AH95" s="264" t="str">
        <f>'I. Eliminations-Consolidations'!$A$233</f>
        <v>I.6</v>
      </c>
      <c r="AI95" s="44">
        <f>'I. Eliminations-Consolidations'!J237</f>
        <v>0</v>
      </c>
      <c r="AJ95" s="274"/>
      <c r="AK95" s="138"/>
      <c r="AL95" s="218"/>
      <c r="AM95" s="218"/>
      <c r="AN95" s="270">
        <f t="shared" si="18"/>
        <v>0</v>
      </c>
      <c r="AO95" s="271">
        <f t="shared" si="19"/>
        <v>0</v>
      </c>
      <c r="AP95" s="192"/>
      <c r="AQ95" s="271"/>
      <c r="AR95" s="192">
        <f>IF(AN95-AO95&lt;0, " ",AN95-AO95)</f>
        <v>0</v>
      </c>
      <c r="AS95" s="271">
        <f t="shared" si="21"/>
        <v>0</v>
      </c>
      <c r="AT95" s="45"/>
      <c r="AU95" s="36"/>
      <c r="AV95" s="36"/>
      <c r="AW95" s="36"/>
      <c r="AX95" s="36"/>
    </row>
    <row r="96" spans="3:50" x14ac:dyDescent="0.2">
      <c r="C96" s="322" t="s">
        <v>367</v>
      </c>
      <c r="D96" s="322"/>
      <c r="E96" s="209"/>
      <c r="F96" s="210"/>
      <c r="G96" s="218"/>
      <c r="H96" s="218"/>
      <c r="I96" s="218"/>
      <c r="J96" s="218"/>
      <c r="K96" s="218"/>
      <c r="L96" s="218"/>
      <c r="M96" s="218"/>
      <c r="N96" s="219"/>
      <c r="O96" s="218"/>
      <c r="P96" s="218"/>
      <c r="Q96" s="218"/>
      <c r="R96" s="218"/>
      <c r="S96" s="218"/>
      <c r="T96" s="219"/>
      <c r="U96" s="192">
        <f t="shared" si="22"/>
        <v>0</v>
      </c>
      <c r="V96" s="192">
        <f t="shared" si="23"/>
        <v>0</v>
      </c>
      <c r="W96" s="270">
        <f t="shared" si="24"/>
        <v>0</v>
      </c>
      <c r="X96" s="271">
        <f t="shared" si="25"/>
        <v>0</v>
      </c>
      <c r="Y96" s="303"/>
      <c r="Z96" s="304">
        <f>'Beginning Capital Assets &amp; LTD'!K74</f>
        <v>0</v>
      </c>
      <c r="AA96" s="269"/>
      <c r="AB96" s="137"/>
      <c r="AC96" s="265"/>
      <c r="AD96" s="45"/>
      <c r="AE96" s="45"/>
      <c r="AF96" s="265"/>
      <c r="AG96" s="45"/>
      <c r="AH96" s="264"/>
      <c r="AI96" s="44"/>
      <c r="AJ96" s="274"/>
      <c r="AK96" s="138"/>
      <c r="AL96" s="218"/>
      <c r="AM96" s="218"/>
      <c r="AN96" s="270">
        <f t="shared" si="18"/>
        <v>0</v>
      </c>
      <c r="AO96" s="271">
        <f t="shared" si="19"/>
        <v>0</v>
      </c>
      <c r="AP96" s="192"/>
      <c r="AQ96" s="271"/>
      <c r="AR96" s="192">
        <f t="shared" si="28"/>
        <v>0</v>
      </c>
      <c r="AS96" s="271">
        <f t="shared" si="21"/>
        <v>0</v>
      </c>
      <c r="AT96" s="45"/>
      <c r="AU96" s="36"/>
      <c r="AV96" s="36"/>
      <c r="AW96" s="36"/>
      <c r="AX96" s="36"/>
    </row>
    <row r="97" spans="2:50" x14ac:dyDescent="0.2">
      <c r="C97" s="322" t="s">
        <v>433</v>
      </c>
      <c r="D97" s="322"/>
      <c r="E97" s="209"/>
      <c r="F97" s="210"/>
      <c r="G97" s="218"/>
      <c r="H97" s="218"/>
      <c r="I97" s="218"/>
      <c r="J97" s="218"/>
      <c r="K97" s="218"/>
      <c r="L97" s="218"/>
      <c r="M97" s="218"/>
      <c r="N97" s="219"/>
      <c r="O97" s="218"/>
      <c r="P97" s="218"/>
      <c r="Q97" s="218"/>
      <c r="R97" s="218"/>
      <c r="S97" s="218"/>
      <c r="T97" s="219"/>
      <c r="U97" s="192">
        <f>O97+Q97+S97</f>
        <v>0</v>
      </c>
      <c r="V97" s="192">
        <f>P97+R97+T97</f>
        <v>0</v>
      </c>
      <c r="W97" s="270">
        <f>E97+G97+I97+K97+M97+U97</f>
        <v>0</v>
      </c>
      <c r="X97" s="271">
        <f>F97+H97+J97+L97+N97+V97</f>
        <v>0</v>
      </c>
      <c r="Y97" s="303"/>
      <c r="Z97" s="304">
        <f>'Beginning Capital Assets &amp; LTD'!K76</f>
        <v>0</v>
      </c>
      <c r="AA97" s="269"/>
      <c r="AB97" s="137"/>
      <c r="AC97" s="265" t="str">
        <f>'H. Other Liabilities &amp; Expenses'!D235</f>
        <v>H.1</v>
      </c>
      <c r="AD97" s="45">
        <f>'H. Other Liabilities &amp; Expenses'!L255</f>
        <v>0</v>
      </c>
      <c r="AE97" s="45"/>
      <c r="AF97" s="265" t="str">
        <f>'H. Other Liabilities &amp; Expenses'!D235</f>
        <v>H.1</v>
      </c>
      <c r="AG97" s="45">
        <f>'H. Other Liabilities &amp; Expenses'!N255</f>
        <v>0</v>
      </c>
      <c r="AH97" s="264"/>
      <c r="AI97" s="44"/>
      <c r="AJ97" s="274"/>
      <c r="AK97" s="138"/>
      <c r="AL97" s="218"/>
      <c r="AM97" s="218"/>
      <c r="AN97" s="270">
        <f>W97+Y97+AA97+AD97+AI97+AL97</f>
        <v>0</v>
      </c>
      <c r="AO97" s="271">
        <f>X97+Z97+AB97+AG97+AK97+AM97</f>
        <v>0</v>
      </c>
      <c r="AP97" s="192"/>
      <c r="AQ97" s="271"/>
      <c r="AR97" s="192">
        <f>IF(AN97-AO97&lt;0, " ",AN97-AO97)</f>
        <v>0</v>
      </c>
      <c r="AS97" s="271">
        <f>IF(AN97-AO97&gt;0, " ",AO97-AN97)</f>
        <v>0</v>
      </c>
      <c r="AT97" s="45"/>
      <c r="AU97" s="36"/>
      <c r="AV97" s="36"/>
      <c r="AW97" s="36"/>
      <c r="AX97" s="36"/>
    </row>
    <row r="98" spans="2:50" x14ac:dyDescent="0.2">
      <c r="C98" s="322" t="s">
        <v>369</v>
      </c>
      <c r="D98" s="322"/>
      <c r="E98" s="209"/>
      <c r="F98" s="210"/>
      <c r="G98" s="218"/>
      <c r="H98" s="218"/>
      <c r="I98" s="218"/>
      <c r="J98" s="218"/>
      <c r="K98" s="218"/>
      <c r="L98" s="218"/>
      <c r="M98" s="218"/>
      <c r="N98" s="219"/>
      <c r="O98" s="218"/>
      <c r="P98" s="218"/>
      <c r="Q98" s="218"/>
      <c r="R98" s="218"/>
      <c r="S98" s="218"/>
      <c r="T98" s="219"/>
      <c r="U98" s="192">
        <f t="shared" si="22"/>
        <v>0</v>
      </c>
      <c r="V98" s="192">
        <f t="shared" si="23"/>
        <v>0</v>
      </c>
      <c r="W98" s="270">
        <f t="shared" si="24"/>
        <v>0</v>
      </c>
      <c r="X98" s="271">
        <f t="shared" si="25"/>
        <v>0</v>
      </c>
      <c r="Y98" s="303"/>
      <c r="Z98" s="304">
        <f>'Beginning Capital Assets &amp; LTD'!K77</f>
        <v>0</v>
      </c>
      <c r="AA98" s="269"/>
      <c r="AB98" s="137"/>
      <c r="AC98" s="265" t="str">
        <f>'H. Other Liabilities &amp; Expenses'!D235</f>
        <v>H.1</v>
      </c>
      <c r="AD98" s="45">
        <f>'H. Other Liabilities &amp; Expenses'!L256</f>
        <v>0</v>
      </c>
      <c r="AE98" s="45"/>
      <c r="AF98" s="265" t="str">
        <f>'H. Other Liabilities &amp; Expenses'!D235</f>
        <v>H.1</v>
      </c>
      <c r="AG98" s="45">
        <f>'H. Other Liabilities &amp; Expenses'!N256</f>
        <v>0</v>
      </c>
      <c r="AH98" s="264" t="str">
        <f>'I. Eliminations-Consolidations'!A233</f>
        <v>I.6</v>
      </c>
      <c r="AI98" s="45">
        <f>'I. Eliminations-Consolidations'!J238</f>
        <v>0</v>
      </c>
      <c r="AJ98" s="265"/>
      <c r="AK98" s="137"/>
      <c r="AL98" s="218"/>
      <c r="AM98" s="218"/>
      <c r="AN98" s="270">
        <f t="shared" si="18"/>
        <v>0</v>
      </c>
      <c r="AO98" s="271">
        <f t="shared" si="19"/>
        <v>0</v>
      </c>
      <c r="AP98" s="192"/>
      <c r="AQ98" s="271"/>
      <c r="AR98" s="192">
        <f t="shared" si="28"/>
        <v>0</v>
      </c>
      <c r="AS98" s="271">
        <f t="shared" si="21"/>
        <v>0</v>
      </c>
      <c r="AT98" s="45"/>
      <c r="AU98" s="36"/>
      <c r="AV98" s="36"/>
      <c r="AW98" s="36"/>
      <c r="AX98" s="36"/>
    </row>
    <row r="99" spans="2:50" x14ac:dyDescent="0.2">
      <c r="C99" s="322" t="s">
        <v>623</v>
      </c>
      <c r="D99" s="322"/>
      <c r="E99" s="209"/>
      <c r="F99" s="210"/>
      <c r="G99" s="218"/>
      <c r="H99" s="218"/>
      <c r="I99" s="218"/>
      <c r="J99" s="218"/>
      <c r="K99" s="218"/>
      <c r="L99" s="218"/>
      <c r="M99" s="218"/>
      <c r="N99" s="219"/>
      <c r="O99" s="218"/>
      <c r="P99" s="218"/>
      <c r="Q99" s="218"/>
      <c r="R99" s="218"/>
      <c r="S99" s="218"/>
      <c r="T99" s="219"/>
      <c r="U99" s="192">
        <f t="shared" si="22"/>
        <v>0</v>
      </c>
      <c r="V99" s="192">
        <f t="shared" si="23"/>
        <v>0</v>
      </c>
      <c r="W99" s="270">
        <f t="shared" si="24"/>
        <v>0</v>
      </c>
      <c r="X99" s="271">
        <f t="shared" si="25"/>
        <v>0</v>
      </c>
      <c r="Y99" s="303"/>
      <c r="Z99" s="304">
        <f>'Beginning Capital Assets &amp; LTD'!K78</f>
        <v>0</v>
      </c>
      <c r="AA99" s="269"/>
      <c r="AB99" s="137"/>
      <c r="AC99" s="265"/>
      <c r="AD99" s="45"/>
      <c r="AE99" s="45"/>
      <c r="AF99" s="265" t="str">
        <f>'H. Other Liabilities &amp; Expenses'!D235</f>
        <v>H.1</v>
      </c>
      <c r="AG99" s="45">
        <f>'H. Other Liabilities &amp; Expenses'!N257</f>
        <v>0</v>
      </c>
      <c r="AH99" s="264" t="str">
        <f>'I. Eliminations-Consolidations'!A233</f>
        <v>I.6</v>
      </c>
      <c r="AI99" s="45">
        <f>'I. Eliminations-Consolidations'!J233</f>
        <v>0</v>
      </c>
      <c r="AJ99" s="265"/>
      <c r="AK99" s="137"/>
      <c r="AL99" s="218"/>
      <c r="AM99" s="218"/>
      <c r="AN99" s="270">
        <f t="shared" si="18"/>
        <v>0</v>
      </c>
      <c r="AO99" s="271">
        <f t="shared" si="19"/>
        <v>0</v>
      </c>
      <c r="AP99" s="192"/>
      <c r="AQ99" s="271"/>
      <c r="AR99" s="192">
        <f t="shared" si="28"/>
        <v>0</v>
      </c>
      <c r="AS99" s="271">
        <f t="shared" si="21"/>
        <v>0</v>
      </c>
      <c r="AT99" s="45"/>
      <c r="AU99" s="36"/>
      <c r="AV99" s="36"/>
      <c r="AW99" s="36"/>
      <c r="AX99" s="36"/>
    </row>
    <row r="100" spans="2:50" x14ac:dyDescent="0.2">
      <c r="C100" s="233" t="s">
        <v>24</v>
      </c>
      <c r="D100" s="227"/>
      <c r="E100" s="209"/>
      <c r="F100" s="210"/>
      <c r="G100" s="218"/>
      <c r="H100" s="218"/>
      <c r="I100" s="218"/>
      <c r="J100" s="218"/>
      <c r="K100" s="218"/>
      <c r="L100" s="218"/>
      <c r="M100" s="218"/>
      <c r="N100" s="219"/>
      <c r="O100" s="218"/>
      <c r="P100" s="218"/>
      <c r="Q100" s="218"/>
      <c r="R100" s="218"/>
      <c r="S100" s="218"/>
      <c r="T100" s="219"/>
      <c r="U100" s="192">
        <f t="shared" si="22"/>
        <v>0</v>
      </c>
      <c r="V100" s="192">
        <f t="shared" si="23"/>
        <v>0</v>
      </c>
      <c r="W100" s="270">
        <f t="shared" si="24"/>
        <v>0</v>
      </c>
      <c r="X100" s="271">
        <f t="shared" si="25"/>
        <v>0</v>
      </c>
      <c r="Y100" s="303"/>
      <c r="Z100" s="304">
        <f>'Beginning Capital Assets &amp; LTD'!K79</f>
        <v>0</v>
      </c>
      <c r="AA100" s="269"/>
      <c r="AB100" s="137"/>
      <c r="AC100" s="265"/>
      <c r="AD100" s="45"/>
      <c r="AE100" s="45"/>
      <c r="AF100" s="265" t="str">
        <f>'H. Other Liabilities &amp; Expenses'!D235</f>
        <v>H.1</v>
      </c>
      <c r="AG100" s="45">
        <f>'H. Other Liabilities &amp; Expenses'!N258</f>
        <v>0</v>
      </c>
      <c r="AH100" s="264" t="str">
        <f>'I. Eliminations-Consolidations'!A233</f>
        <v>I.6</v>
      </c>
      <c r="AI100" s="45">
        <f>'I. Eliminations-Consolidations'!J239</f>
        <v>0</v>
      </c>
      <c r="AJ100" s="265"/>
      <c r="AK100" s="137"/>
      <c r="AL100" s="218"/>
      <c r="AM100" s="218"/>
      <c r="AN100" s="270">
        <f t="shared" si="18"/>
        <v>0</v>
      </c>
      <c r="AO100" s="271">
        <f t="shared" si="19"/>
        <v>0</v>
      </c>
      <c r="AP100" s="192"/>
      <c r="AQ100" s="271"/>
      <c r="AR100" s="192">
        <f t="shared" si="28"/>
        <v>0</v>
      </c>
      <c r="AS100" s="271">
        <f t="shared" ref="AS100:AS149" si="31">IF(AN100-AO100&gt;0, " ",AO100-AN100)</f>
        <v>0</v>
      </c>
      <c r="AT100" s="45"/>
      <c r="AU100" s="36"/>
      <c r="AV100" s="36"/>
      <c r="AW100" s="36"/>
      <c r="AX100" s="36"/>
    </row>
    <row r="101" spans="2:50" x14ac:dyDescent="0.2">
      <c r="C101" s="233" t="s">
        <v>25</v>
      </c>
      <c r="D101" s="227"/>
      <c r="E101" s="209"/>
      <c r="F101" s="210"/>
      <c r="G101" s="218"/>
      <c r="H101" s="218"/>
      <c r="I101" s="218"/>
      <c r="J101" s="218"/>
      <c r="K101" s="218"/>
      <c r="L101" s="218"/>
      <c r="M101" s="218"/>
      <c r="N101" s="219"/>
      <c r="O101" s="218"/>
      <c r="P101" s="218"/>
      <c r="Q101" s="218"/>
      <c r="R101" s="218"/>
      <c r="S101" s="218"/>
      <c r="T101" s="219"/>
      <c r="U101" s="192">
        <f t="shared" si="22"/>
        <v>0</v>
      </c>
      <c r="V101" s="192">
        <f t="shared" si="23"/>
        <v>0</v>
      </c>
      <c r="W101" s="270">
        <f t="shared" si="24"/>
        <v>0</v>
      </c>
      <c r="X101" s="271">
        <f t="shared" si="25"/>
        <v>0</v>
      </c>
      <c r="Y101" s="303"/>
      <c r="Z101" s="304">
        <f>'Beginning Capital Assets &amp; LTD'!K80</f>
        <v>0</v>
      </c>
      <c r="AA101" s="269"/>
      <c r="AB101" s="137"/>
      <c r="AC101" s="265"/>
      <c r="AD101" s="45"/>
      <c r="AE101" s="45"/>
      <c r="AF101" s="265" t="str">
        <f>'H. Other Liabilities &amp; Expenses'!D235</f>
        <v>H.1</v>
      </c>
      <c r="AG101" s="45">
        <f>'H. Other Liabilities &amp; Expenses'!N259</f>
        <v>0</v>
      </c>
      <c r="AH101" s="264" t="str">
        <f>'I. Eliminations-Consolidations'!A233</f>
        <v>I.6</v>
      </c>
      <c r="AI101" s="45">
        <f>'I. Eliminations-Consolidations'!J240</f>
        <v>0</v>
      </c>
      <c r="AJ101" s="265"/>
      <c r="AK101" s="137"/>
      <c r="AL101" s="218"/>
      <c r="AM101" s="218"/>
      <c r="AN101" s="270">
        <f t="shared" si="18"/>
        <v>0</v>
      </c>
      <c r="AO101" s="271">
        <f t="shared" si="19"/>
        <v>0</v>
      </c>
      <c r="AP101" s="192"/>
      <c r="AQ101" s="271"/>
      <c r="AR101" s="192">
        <f t="shared" si="28"/>
        <v>0</v>
      </c>
      <c r="AS101" s="271">
        <f t="shared" si="31"/>
        <v>0</v>
      </c>
      <c r="AT101" s="45"/>
      <c r="AU101" s="36"/>
      <c r="AV101" s="36"/>
      <c r="AW101" s="36"/>
      <c r="AX101" s="36"/>
    </row>
    <row r="102" spans="2:50" s="468" customFormat="1" x14ac:dyDescent="0.2">
      <c r="C102" s="227" t="s">
        <v>1094</v>
      </c>
      <c r="D102" s="227"/>
      <c r="E102" s="209"/>
      <c r="F102" s="210"/>
      <c r="G102" s="218"/>
      <c r="H102" s="218"/>
      <c r="I102" s="218"/>
      <c r="J102" s="218"/>
      <c r="K102" s="218"/>
      <c r="L102" s="218"/>
      <c r="M102" s="218"/>
      <c r="N102" s="219"/>
      <c r="O102" s="218"/>
      <c r="P102" s="218"/>
      <c r="Q102" s="218"/>
      <c r="R102" s="218"/>
      <c r="S102" s="218"/>
      <c r="T102" s="219"/>
      <c r="U102" s="192">
        <f>O102+Q102+S102</f>
        <v>0</v>
      </c>
      <c r="V102" s="192">
        <f>P102+R102+T102</f>
        <v>0</v>
      </c>
      <c r="W102" s="270">
        <f>E102+G102+I102+K102+M102+U102</f>
        <v>0</v>
      </c>
      <c r="X102" s="271">
        <f>F102+H102+J102+L102+N102+V102</f>
        <v>0</v>
      </c>
      <c r="Y102" s="304"/>
      <c r="Z102" s="304">
        <f>'J. GASB 68 TSERS'!C65*'J. GASB 68 TSERS'!H29</f>
        <v>0</v>
      </c>
      <c r="AA102" s="269"/>
      <c r="AB102" s="137"/>
      <c r="AC102" s="265" t="s">
        <v>1096</v>
      </c>
      <c r="AD102" s="45">
        <f>'J. GASB 68 TSERS'!C92</f>
        <v>0</v>
      </c>
      <c r="AE102" s="45"/>
      <c r="AF102" s="265" t="s">
        <v>1096</v>
      </c>
      <c r="AG102" s="45">
        <f>'J. GASB 68 TSERS'!D92</f>
        <v>0</v>
      </c>
      <c r="AH102" s="264"/>
      <c r="AI102" s="45"/>
      <c r="AJ102" s="265"/>
      <c r="AK102" s="137"/>
      <c r="AL102" s="218"/>
      <c r="AM102" s="218"/>
      <c r="AN102" s="270">
        <f>W102+Y102+AA102+AD102+AI102+AL102</f>
        <v>0</v>
      </c>
      <c r="AO102" s="271">
        <f>X102+Z102+AB102+AG102+AK102+AM102</f>
        <v>0</v>
      </c>
      <c r="AP102" s="192"/>
      <c r="AQ102" s="271"/>
      <c r="AR102" s="192">
        <f>IF(AN102-AO102&lt;0, " ",AN102-AO102)</f>
        <v>0</v>
      </c>
      <c r="AS102" s="271">
        <f>IF(AN102-AO102&gt;0, " ",AO102-AN102)</f>
        <v>0</v>
      </c>
      <c r="AT102" s="45"/>
      <c r="AU102" s="36"/>
      <c r="AV102" s="36"/>
      <c r="AW102" s="36"/>
      <c r="AX102" s="36"/>
    </row>
    <row r="103" spans="2:50" s="632" customFormat="1" x14ac:dyDescent="0.2">
      <c r="C103" s="227" t="s">
        <v>1532</v>
      </c>
      <c r="D103" s="227"/>
      <c r="E103" s="209"/>
      <c r="F103" s="210"/>
      <c r="G103" s="218"/>
      <c r="H103" s="218"/>
      <c r="I103" s="218"/>
      <c r="J103" s="218"/>
      <c r="K103" s="218"/>
      <c r="L103" s="218"/>
      <c r="M103" s="218"/>
      <c r="N103" s="219"/>
      <c r="O103" s="218"/>
      <c r="P103" s="218"/>
      <c r="Q103" s="218"/>
      <c r="R103" s="218"/>
      <c r="S103" s="218"/>
      <c r="T103" s="219"/>
      <c r="U103" s="192"/>
      <c r="V103" s="192"/>
      <c r="W103" s="270"/>
      <c r="X103" s="271"/>
      <c r="Y103" s="304"/>
      <c r="Z103" s="304"/>
      <c r="AA103" s="269"/>
      <c r="AB103" s="137"/>
      <c r="AC103" s="265" t="s">
        <v>1533</v>
      </c>
      <c r="AD103" s="44">
        <f>'K. GASB 75 RHBF'!C92</f>
        <v>0</v>
      </c>
      <c r="AF103" s="690" t="s">
        <v>1533</v>
      </c>
      <c r="AG103" s="45">
        <f>'K. GASB 75 RHBF'!D92</f>
        <v>0</v>
      </c>
      <c r="AH103" s="264"/>
      <c r="AI103" s="45"/>
      <c r="AJ103" s="265"/>
      <c r="AK103" s="137"/>
      <c r="AL103" s="218"/>
      <c r="AM103" s="218"/>
      <c r="AN103" s="270">
        <f>W103+Y103+AA103+AD103+AI103+AL103</f>
        <v>0</v>
      </c>
      <c r="AO103" s="271">
        <f>X103+Z103+AB103+AG103+AK103+AM103</f>
        <v>0</v>
      </c>
      <c r="AP103" s="192"/>
      <c r="AQ103" s="271"/>
      <c r="AR103" s="192">
        <f>IF(AN103-AO103&lt;0, " ",AN103-AO103)</f>
        <v>0</v>
      </c>
      <c r="AS103" s="271">
        <f>IF(AN103-AO103&gt;0, " ",AO103-AN103)</f>
        <v>0</v>
      </c>
      <c r="AT103" s="45"/>
      <c r="AU103" s="36"/>
      <c r="AV103" s="36"/>
      <c r="AW103" s="36"/>
      <c r="AX103" s="36"/>
    </row>
    <row r="104" spans="2:50" s="763" customFormat="1" x14ac:dyDescent="0.2">
      <c r="C104" s="764" t="s">
        <v>1651</v>
      </c>
      <c r="D104" s="227"/>
      <c r="E104" s="209"/>
      <c r="F104" s="210"/>
      <c r="G104" s="218"/>
      <c r="H104" s="218"/>
      <c r="I104" s="218"/>
      <c r="J104" s="218"/>
      <c r="K104" s="218"/>
      <c r="L104" s="218"/>
      <c r="M104" s="218"/>
      <c r="N104" s="219"/>
      <c r="O104" s="218"/>
      <c r="P104" s="218"/>
      <c r="Q104" s="218"/>
      <c r="R104" s="218"/>
      <c r="S104" s="218"/>
      <c r="T104" s="219"/>
      <c r="U104" s="192"/>
      <c r="V104" s="192"/>
      <c r="W104" s="270"/>
      <c r="X104" s="271"/>
      <c r="Y104" s="304"/>
      <c r="Z104" s="304"/>
      <c r="AA104" s="269"/>
      <c r="AB104" s="137"/>
      <c r="AC104" s="265"/>
      <c r="AD104" s="45"/>
      <c r="AF104" s="690"/>
      <c r="AG104" s="45"/>
      <c r="AH104" s="264"/>
      <c r="AI104" s="45"/>
      <c r="AJ104" s="265"/>
      <c r="AK104" s="137"/>
      <c r="AL104" s="218"/>
      <c r="AM104" s="218"/>
      <c r="AN104" s="270"/>
      <c r="AO104" s="271"/>
      <c r="AP104" s="192"/>
      <c r="AQ104" s="271"/>
      <c r="AR104" s="192"/>
      <c r="AS104" s="271"/>
      <c r="AT104" s="45"/>
      <c r="AU104" s="36"/>
      <c r="AV104" s="36"/>
      <c r="AW104" s="36"/>
      <c r="AX104" s="36"/>
    </row>
    <row r="105" spans="2:50" x14ac:dyDescent="0.2">
      <c r="C105" s="227"/>
      <c r="D105" s="227"/>
      <c r="E105" s="209"/>
      <c r="F105" s="210"/>
      <c r="G105" s="218"/>
      <c r="H105" s="218"/>
      <c r="I105" s="218"/>
      <c r="J105" s="218"/>
      <c r="K105" s="218"/>
      <c r="L105" s="218"/>
      <c r="M105" s="218"/>
      <c r="N105" s="219"/>
      <c r="O105" s="218"/>
      <c r="P105" s="218"/>
      <c r="Q105" s="218"/>
      <c r="R105" s="218"/>
      <c r="S105" s="218"/>
      <c r="T105" s="219"/>
      <c r="U105" s="192"/>
      <c r="V105" s="192"/>
      <c r="W105" s="270"/>
      <c r="X105" s="271"/>
      <c r="Y105" s="304"/>
      <c r="Z105" s="304"/>
      <c r="AA105" s="269"/>
      <c r="AB105" s="137"/>
      <c r="AC105" s="265"/>
      <c r="AD105" s="45"/>
      <c r="AE105" s="45"/>
      <c r="AF105" s="265"/>
      <c r="AG105" s="45"/>
      <c r="AH105" s="264"/>
      <c r="AI105" s="45"/>
      <c r="AJ105" s="265"/>
      <c r="AK105" s="137"/>
      <c r="AL105" s="218"/>
      <c r="AM105" s="218"/>
      <c r="AN105" s="270"/>
      <c r="AO105" s="271"/>
      <c r="AP105" s="192"/>
      <c r="AQ105" s="271"/>
      <c r="AR105" s="192"/>
      <c r="AS105" s="271"/>
      <c r="AT105" s="45"/>
      <c r="AU105" s="36"/>
      <c r="AV105" s="36"/>
      <c r="AW105" s="36"/>
      <c r="AX105" s="36"/>
    </row>
    <row r="106" spans="2:50" x14ac:dyDescent="0.2">
      <c r="B106" s="4" t="s">
        <v>745</v>
      </c>
      <c r="C106" s="227"/>
      <c r="D106" s="227"/>
      <c r="E106" s="209"/>
      <c r="F106" s="210"/>
      <c r="G106" s="218"/>
      <c r="H106" s="218"/>
      <c r="I106" s="218"/>
      <c r="J106" s="218"/>
      <c r="K106" s="218"/>
      <c r="L106" s="218"/>
      <c r="M106" s="218"/>
      <c r="N106" s="219"/>
      <c r="O106" s="218"/>
      <c r="P106" s="218"/>
      <c r="Q106" s="218"/>
      <c r="R106" s="218"/>
      <c r="S106" s="218"/>
      <c r="T106" s="219"/>
      <c r="U106" s="192">
        <f t="shared" ref="U106:V112" si="32">O106+Q106+S106</f>
        <v>0</v>
      </c>
      <c r="V106" s="192">
        <f t="shared" si="32"/>
        <v>0</v>
      </c>
      <c r="W106" s="270">
        <f t="shared" ref="W106:X112" si="33">E106+G106+I106+K106+M106+U106</f>
        <v>0</v>
      </c>
      <c r="X106" s="271">
        <f t="shared" si="33"/>
        <v>0</v>
      </c>
      <c r="Y106" s="304"/>
      <c r="Z106" s="304"/>
      <c r="AA106" s="269"/>
      <c r="AB106" s="137"/>
      <c r="AC106" s="265"/>
      <c r="AD106" s="45"/>
      <c r="AE106" s="45"/>
      <c r="AF106" s="265"/>
      <c r="AG106" s="45"/>
      <c r="AH106" s="264"/>
      <c r="AI106" s="45"/>
      <c r="AJ106" s="265"/>
      <c r="AK106" s="137"/>
      <c r="AL106" s="218"/>
      <c r="AM106" s="218"/>
      <c r="AN106" s="270"/>
      <c r="AO106" s="271"/>
      <c r="AP106" s="192"/>
      <c r="AQ106" s="271"/>
      <c r="AR106" s="192"/>
      <c r="AS106" s="271"/>
      <c r="AT106" s="45"/>
      <c r="AU106" s="36"/>
      <c r="AV106" s="36"/>
      <c r="AW106" s="36"/>
      <c r="AX106" s="36"/>
    </row>
    <row r="107" spans="2:50" x14ac:dyDescent="0.2">
      <c r="C107" s="459" t="s">
        <v>746</v>
      </c>
      <c r="D107" s="322"/>
      <c r="E107" s="211"/>
      <c r="F107" s="212"/>
      <c r="G107" s="220"/>
      <c r="H107" s="220"/>
      <c r="I107" s="220"/>
      <c r="J107" s="220"/>
      <c r="K107" s="220"/>
      <c r="L107" s="220"/>
      <c r="M107" s="220"/>
      <c r="N107" s="221"/>
      <c r="O107" s="220"/>
      <c r="P107" s="220"/>
      <c r="Q107" s="220"/>
      <c r="R107" s="220"/>
      <c r="S107" s="220"/>
      <c r="T107" s="221"/>
      <c r="U107" s="192">
        <f t="shared" si="32"/>
        <v>0</v>
      </c>
      <c r="V107" s="192">
        <f t="shared" si="32"/>
        <v>0</v>
      </c>
      <c r="W107" s="270">
        <f t="shared" si="33"/>
        <v>0</v>
      </c>
      <c r="X107" s="271">
        <f t="shared" si="33"/>
        <v>0</v>
      </c>
      <c r="Y107" s="305"/>
      <c r="Z107" s="306"/>
      <c r="AA107" s="273"/>
      <c r="AB107" s="138"/>
      <c r="AC107" s="274"/>
      <c r="AD107" s="44"/>
      <c r="AE107" s="44"/>
      <c r="AF107" s="274"/>
      <c r="AG107" s="44"/>
      <c r="AH107" s="275"/>
      <c r="AI107" s="44"/>
      <c r="AJ107" s="274"/>
      <c r="AK107" s="138"/>
      <c r="AL107" s="220"/>
      <c r="AM107" s="220"/>
      <c r="AN107" s="270">
        <f t="shared" ref="AN107:AN116" si="34">W107+Y107+AA107+AD107+AI107+AL107</f>
        <v>0</v>
      </c>
      <c r="AO107" s="271">
        <f t="shared" ref="AO107:AO116" si="35">X107+Z107+AB107+AG107+AK107+AM107</f>
        <v>0</v>
      </c>
      <c r="AP107" s="192"/>
      <c r="AQ107" s="271"/>
      <c r="AR107" s="192">
        <f t="shared" ref="AR107:AR119" si="36">IF(AN107-AO107&lt;0, " ",AN107-AO107)</f>
        <v>0</v>
      </c>
      <c r="AS107" s="271">
        <f t="shared" ref="AS107:AS116" si="37">IF(AN107-AO107&gt;0, " ",AO107-AN107)</f>
        <v>0</v>
      </c>
      <c r="AT107" s="45"/>
      <c r="AU107" s="36"/>
      <c r="AV107" s="36"/>
      <c r="AW107" s="36"/>
      <c r="AX107" s="36"/>
    </row>
    <row r="108" spans="2:50" x14ac:dyDescent="0.2">
      <c r="C108" s="227" t="s">
        <v>768</v>
      </c>
      <c r="D108" s="227"/>
      <c r="E108" s="209"/>
      <c r="F108" s="210"/>
      <c r="G108" s="218"/>
      <c r="H108" s="218"/>
      <c r="I108" s="218"/>
      <c r="J108" s="218"/>
      <c r="K108" s="218"/>
      <c r="L108" s="218"/>
      <c r="M108" s="218"/>
      <c r="N108" s="219"/>
      <c r="O108" s="218"/>
      <c r="P108" s="218"/>
      <c r="Q108" s="218"/>
      <c r="R108" s="218"/>
      <c r="S108" s="218"/>
      <c r="T108" s="219"/>
      <c r="U108" s="192">
        <f t="shared" si="32"/>
        <v>0</v>
      </c>
      <c r="V108" s="192">
        <f t="shared" si="32"/>
        <v>0</v>
      </c>
      <c r="W108" s="270">
        <f t="shared" si="33"/>
        <v>0</v>
      </c>
      <c r="X108" s="271">
        <f t="shared" si="33"/>
        <v>0</v>
      </c>
      <c r="Y108" s="304"/>
      <c r="Z108" s="304"/>
      <c r="AA108" s="269"/>
      <c r="AB108" s="137"/>
      <c r="AC108" s="265"/>
      <c r="AD108" s="45"/>
      <c r="AE108" s="45"/>
      <c r="AF108" s="265"/>
      <c r="AG108" s="45"/>
      <c r="AH108" s="264"/>
      <c r="AI108" s="45"/>
      <c r="AJ108" s="265"/>
      <c r="AK108" s="137"/>
      <c r="AL108" s="218"/>
      <c r="AM108" s="218"/>
      <c r="AN108" s="270">
        <f t="shared" si="34"/>
        <v>0</v>
      </c>
      <c r="AO108" s="271">
        <f t="shared" si="35"/>
        <v>0</v>
      </c>
      <c r="AP108" s="192"/>
      <c r="AQ108" s="271"/>
      <c r="AR108" s="192">
        <f t="shared" si="36"/>
        <v>0</v>
      </c>
      <c r="AS108" s="271">
        <f t="shared" si="37"/>
        <v>0</v>
      </c>
      <c r="AT108" s="45"/>
      <c r="AU108" s="36"/>
      <c r="AV108" s="36"/>
      <c r="AW108" s="36"/>
      <c r="AX108" s="36"/>
    </row>
    <row r="109" spans="2:50" s="541" customFormat="1" ht="51" x14ac:dyDescent="0.2">
      <c r="C109" s="540" t="s">
        <v>1204</v>
      </c>
      <c r="D109" s="227"/>
      <c r="E109" s="209"/>
      <c r="F109" s="210"/>
      <c r="G109" s="218"/>
      <c r="H109" s="218"/>
      <c r="I109" s="218"/>
      <c r="J109" s="218"/>
      <c r="K109" s="218"/>
      <c r="L109" s="218"/>
      <c r="M109" s="218"/>
      <c r="N109" s="219"/>
      <c r="O109" s="218"/>
      <c r="P109" s="218"/>
      <c r="Q109" s="218"/>
      <c r="R109" s="218"/>
      <c r="S109" s="218"/>
      <c r="T109" s="219"/>
      <c r="U109" s="192">
        <f t="shared" si="32"/>
        <v>0</v>
      </c>
      <c r="V109" s="192">
        <f t="shared" si="32"/>
        <v>0</v>
      </c>
      <c r="W109" s="270">
        <f t="shared" si="33"/>
        <v>0</v>
      </c>
      <c r="X109" s="271">
        <f t="shared" si="33"/>
        <v>0</v>
      </c>
      <c r="Y109" s="304"/>
      <c r="Z109" s="304">
        <f>'J. GASB 68 TSERS'!C65*'J. GASB 68 TSERS'!R29</f>
        <v>0</v>
      </c>
      <c r="AA109" s="269"/>
      <c r="AB109" s="137"/>
      <c r="AC109" s="265" t="s">
        <v>1096</v>
      </c>
      <c r="AD109" s="45">
        <f>'J. GASB 68 TSERS'!C117</f>
        <v>0</v>
      </c>
      <c r="AE109" s="45"/>
      <c r="AF109" s="265" t="s">
        <v>1096</v>
      </c>
      <c r="AG109" s="45">
        <f>'J. GASB 68 TSERS'!D117</f>
        <v>0</v>
      </c>
      <c r="AH109" s="264"/>
      <c r="AI109" s="45"/>
      <c r="AJ109" s="265"/>
      <c r="AK109" s="137"/>
      <c r="AL109" s="218"/>
      <c r="AM109" s="218"/>
      <c r="AN109" s="270">
        <f t="shared" si="34"/>
        <v>0</v>
      </c>
      <c r="AO109" s="271">
        <f t="shared" si="35"/>
        <v>0</v>
      </c>
      <c r="AP109" s="192"/>
      <c r="AQ109" s="271"/>
      <c r="AR109" s="192">
        <f t="shared" si="36"/>
        <v>0</v>
      </c>
      <c r="AS109" s="271">
        <f t="shared" si="37"/>
        <v>0</v>
      </c>
      <c r="AT109" s="45"/>
      <c r="AU109" s="36"/>
      <c r="AV109" s="36"/>
      <c r="AW109" s="36"/>
      <c r="AX109" s="36"/>
    </row>
    <row r="110" spans="2:50" s="541" customFormat="1" ht="25.5" x14ac:dyDescent="0.2">
      <c r="C110" s="540" t="s">
        <v>1203</v>
      </c>
      <c r="D110" s="227"/>
      <c r="E110" s="209"/>
      <c r="F110" s="210"/>
      <c r="G110" s="218"/>
      <c r="H110" s="218"/>
      <c r="I110" s="218"/>
      <c r="J110" s="218"/>
      <c r="K110" s="218"/>
      <c r="L110" s="218"/>
      <c r="M110" s="218"/>
      <c r="N110" s="219"/>
      <c r="O110" s="218"/>
      <c r="P110" s="218"/>
      <c r="Q110" s="218"/>
      <c r="R110" s="218"/>
      <c r="S110" s="218"/>
      <c r="T110" s="219"/>
      <c r="U110" s="192">
        <f t="shared" si="32"/>
        <v>0</v>
      </c>
      <c r="V110" s="192">
        <f t="shared" si="32"/>
        <v>0</v>
      </c>
      <c r="W110" s="270">
        <f t="shared" si="33"/>
        <v>0</v>
      </c>
      <c r="X110" s="271">
        <f t="shared" si="33"/>
        <v>0</v>
      </c>
      <c r="Y110" s="304"/>
      <c r="Z110" s="304">
        <f>'J. GASB 68 TSERS'!C65*'J. GASB 68 TSERS'!O29</f>
        <v>0</v>
      </c>
      <c r="AA110" s="269"/>
      <c r="AB110" s="137"/>
      <c r="AC110" s="265" t="s">
        <v>1096</v>
      </c>
      <c r="AD110" s="45">
        <f>'J. GASB 68 TSERS'!C114</f>
        <v>0</v>
      </c>
      <c r="AE110" s="45"/>
      <c r="AF110" s="265" t="s">
        <v>1096</v>
      </c>
      <c r="AG110" s="45">
        <f>'J. GASB 68 TSERS'!D114</f>
        <v>0</v>
      </c>
      <c r="AH110" s="264"/>
      <c r="AI110" s="45"/>
      <c r="AJ110" s="265"/>
      <c r="AK110" s="137"/>
      <c r="AL110" s="218"/>
      <c r="AM110" s="218"/>
      <c r="AN110" s="270">
        <f t="shared" si="34"/>
        <v>0</v>
      </c>
      <c r="AO110" s="271">
        <f t="shared" si="35"/>
        <v>0</v>
      </c>
      <c r="AP110" s="192"/>
      <c r="AQ110" s="271"/>
      <c r="AR110" s="192">
        <f t="shared" si="36"/>
        <v>0</v>
      </c>
      <c r="AS110" s="271">
        <f t="shared" si="37"/>
        <v>0</v>
      </c>
      <c r="AT110" s="45"/>
      <c r="AU110" s="36"/>
      <c r="AV110" s="36"/>
      <c r="AW110" s="36"/>
      <c r="AX110" s="36"/>
    </row>
    <row r="111" spans="2:50" s="541" customFormat="1" x14ac:dyDescent="0.2">
      <c r="C111" s="541" t="s">
        <v>1202</v>
      </c>
      <c r="D111" s="227"/>
      <c r="E111" s="209"/>
      <c r="F111" s="210"/>
      <c r="G111" s="218"/>
      <c r="H111" s="218"/>
      <c r="I111" s="218"/>
      <c r="J111" s="218"/>
      <c r="K111" s="218"/>
      <c r="L111" s="218"/>
      <c r="M111" s="218"/>
      <c r="N111" s="219"/>
      <c r="O111" s="218"/>
      <c r="P111" s="218"/>
      <c r="Q111" s="218"/>
      <c r="R111" s="218"/>
      <c r="S111" s="218"/>
      <c r="T111" s="219"/>
      <c r="U111" s="192">
        <f t="shared" si="32"/>
        <v>0</v>
      </c>
      <c r="V111" s="192">
        <f t="shared" si="32"/>
        <v>0</v>
      </c>
      <c r="W111" s="270">
        <f t="shared" si="33"/>
        <v>0</v>
      </c>
      <c r="X111" s="271">
        <f t="shared" si="33"/>
        <v>0</v>
      </c>
      <c r="Y111" s="304"/>
      <c r="Z111" s="304">
        <f>'J. GASB 68 TSERS'!C65*'J. GASB 68 TSERS'!Q29</f>
        <v>0</v>
      </c>
      <c r="AA111" s="269"/>
      <c r="AB111" s="137"/>
      <c r="AC111" s="265" t="s">
        <v>1096</v>
      </c>
      <c r="AD111" s="45">
        <f>'J. GASB 68 TSERS'!C116</f>
        <v>0</v>
      </c>
      <c r="AE111" s="45"/>
      <c r="AF111" s="265" t="s">
        <v>1096</v>
      </c>
      <c r="AG111" s="45">
        <f>'J. GASB 68 TSERS'!D116</f>
        <v>0</v>
      </c>
      <c r="AH111" s="264"/>
      <c r="AI111" s="45"/>
      <c r="AJ111" s="265"/>
      <c r="AK111" s="137"/>
      <c r="AL111" s="218"/>
      <c r="AM111" s="218"/>
      <c r="AN111" s="270">
        <f t="shared" si="34"/>
        <v>0</v>
      </c>
      <c r="AO111" s="271">
        <f t="shared" si="35"/>
        <v>0</v>
      </c>
      <c r="AP111" s="192"/>
      <c r="AQ111" s="271"/>
      <c r="AR111" s="192">
        <f t="shared" si="36"/>
        <v>0</v>
      </c>
      <c r="AS111" s="271">
        <f t="shared" si="37"/>
        <v>0</v>
      </c>
      <c r="AT111" s="45"/>
      <c r="AU111" s="36"/>
      <c r="AV111" s="36"/>
      <c r="AW111" s="36"/>
      <c r="AX111" s="36"/>
    </row>
    <row r="112" spans="2:50" s="468" customFormat="1" ht="38.25" x14ac:dyDescent="0.2">
      <c r="C112" s="492" t="s">
        <v>1093</v>
      </c>
      <c r="D112" s="227"/>
      <c r="E112" s="209"/>
      <c r="F112" s="210"/>
      <c r="G112" s="218"/>
      <c r="H112" s="218"/>
      <c r="I112" s="218"/>
      <c r="J112" s="218"/>
      <c r="K112" s="218"/>
      <c r="L112" s="218"/>
      <c r="M112" s="218"/>
      <c r="N112" s="219"/>
      <c r="O112" s="218"/>
      <c r="P112" s="218"/>
      <c r="Q112" s="218"/>
      <c r="R112" s="218"/>
      <c r="S112" s="218"/>
      <c r="T112" s="219"/>
      <c r="U112" s="192">
        <f t="shared" si="32"/>
        <v>0</v>
      </c>
      <c r="V112" s="192">
        <f t="shared" si="32"/>
        <v>0</v>
      </c>
      <c r="W112" s="270">
        <f t="shared" si="33"/>
        <v>0</v>
      </c>
      <c r="X112" s="271">
        <f t="shared" si="33"/>
        <v>0</v>
      </c>
      <c r="Y112" s="304"/>
      <c r="Z112" s="304">
        <f>IF('J. GASB 68 TSERS'!K33&lt;0,'J. GASB 68 TSERS'!C65*-'J. GASB 68 TSERS'!K33,0)</f>
        <v>0</v>
      </c>
      <c r="AA112" s="269"/>
      <c r="AB112" s="137"/>
      <c r="AC112" s="265" t="s">
        <v>1096</v>
      </c>
      <c r="AD112" s="45">
        <f>'J. GASB 68 TSERS'!C115</f>
        <v>0</v>
      </c>
      <c r="AE112" s="45"/>
      <c r="AF112" s="265" t="s">
        <v>1096</v>
      </c>
      <c r="AG112" s="45">
        <f>'J. GASB 68 TSERS'!D115</f>
        <v>0</v>
      </c>
      <c r="AH112" s="264"/>
      <c r="AI112" s="45"/>
      <c r="AJ112" s="265"/>
      <c r="AK112" s="137"/>
      <c r="AL112" s="218"/>
      <c r="AM112" s="218"/>
      <c r="AN112" s="270">
        <f t="shared" si="34"/>
        <v>0</v>
      </c>
      <c r="AO112" s="271">
        <f t="shared" si="35"/>
        <v>0</v>
      </c>
      <c r="AP112" s="192"/>
      <c r="AQ112" s="271"/>
      <c r="AR112" s="192">
        <f t="shared" si="36"/>
        <v>0</v>
      </c>
      <c r="AS112" s="271">
        <f t="shared" si="37"/>
        <v>0</v>
      </c>
      <c r="AT112" s="45"/>
      <c r="AU112" s="36"/>
      <c r="AV112" s="36"/>
      <c r="AW112" s="36"/>
      <c r="AX112" s="36"/>
    </row>
    <row r="113" spans="1:50" s="632" customFormat="1" ht="51" x14ac:dyDescent="0.2">
      <c r="C113" s="633" t="s">
        <v>1535</v>
      </c>
      <c r="D113" s="227"/>
      <c r="E113" s="209"/>
      <c r="F113" s="210"/>
      <c r="G113" s="218"/>
      <c r="H113" s="218"/>
      <c r="I113" s="218"/>
      <c r="J113" s="218"/>
      <c r="K113" s="218"/>
      <c r="L113" s="218"/>
      <c r="M113" s="218"/>
      <c r="N113" s="219"/>
      <c r="O113" s="218"/>
      <c r="P113" s="218"/>
      <c r="Q113" s="218"/>
      <c r="R113" s="218"/>
      <c r="S113" s="218"/>
      <c r="T113" s="219"/>
      <c r="U113" s="192"/>
      <c r="V113" s="192"/>
      <c r="W113" s="270"/>
      <c r="X113" s="271"/>
      <c r="Y113" s="304"/>
      <c r="Z113" s="304"/>
      <c r="AA113" s="269"/>
      <c r="AB113" s="992"/>
      <c r="AC113" s="993" t="s">
        <v>1748</v>
      </c>
      <c r="AD113" s="45">
        <f>'K. GASB 75 RHBF'!C117+'L. GASB 75 DIPNC'!C117</f>
        <v>0</v>
      </c>
      <c r="AE113" s="45"/>
      <c r="AF113" s="694" t="s">
        <v>1539</v>
      </c>
      <c r="AG113" s="45">
        <f>'K. GASB 75 RHBF'!D117+'L. GASB 75 DIPNC'!D117</f>
        <v>0</v>
      </c>
      <c r="AH113" s="264"/>
      <c r="AI113" s="45"/>
      <c r="AJ113" s="265"/>
      <c r="AK113" s="137"/>
      <c r="AL113" s="218"/>
      <c r="AM113" s="218"/>
      <c r="AN113" s="270">
        <f>W113+Y113+AA113+AD113+AI113+AL113</f>
        <v>0</v>
      </c>
      <c r="AO113" s="271">
        <f>X113+Z113+AB113+AG113+AK113+AM113</f>
        <v>0</v>
      </c>
      <c r="AP113" s="192"/>
      <c r="AQ113" s="271"/>
      <c r="AR113" s="192">
        <f t="shared" si="36"/>
        <v>0</v>
      </c>
      <c r="AS113" s="271">
        <f t="shared" si="37"/>
        <v>0</v>
      </c>
      <c r="AT113" s="44"/>
      <c r="AU113" s="78"/>
      <c r="AV113" s="36"/>
      <c r="AW113" s="36"/>
      <c r="AX113" s="36"/>
    </row>
    <row r="114" spans="1:50" s="632" customFormat="1" ht="25.5" x14ac:dyDescent="0.2">
      <c r="C114" s="633" t="s">
        <v>1536</v>
      </c>
      <c r="D114" s="227"/>
      <c r="E114" s="209"/>
      <c r="F114" s="210"/>
      <c r="G114" s="218"/>
      <c r="H114" s="218"/>
      <c r="I114" s="218"/>
      <c r="J114" s="218"/>
      <c r="K114" s="218"/>
      <c r="L114" s="218"/>
      <c r="M114" s="218"/>
      <c r="N114" s="219"/>
      <c r="O114" s="218"/>
      <c r="P114" s="218"/>
      <c r="Q114" s="218"/>
      <c r="R114" s="218"/>
      <c r="S114" s="218"/>
      <c r="T114" s="219"/>
      <c r="U114" s="192"/>
      <c r="V114" s="192"/>
      <c r="W114" s="270"/>
      <c r="X114" s="271"/>
      <c r="Y114" s="304"/>
      <c r="Z114" s="304"/>
      <c r="AA114" s="269"/>
      <c r="AB114" s="137"/>
      <c r="AC114" s="265" t="s">
        <v>1749</v>
      </c>
      <c r="AD114" s="45">
        <f>'K. GASB 75 RHBF'!C114+'L. GASB 75 DIPNC'!C114</f>
        <v>0</v>
      </c>
      <c r="AE114" s="45"/>
      <c r="AF114" s="694" t="s">
        <v>1539</v>
      </c>
      <c r="AG114" s="695">
        <f>'K. GASB 75 RHBF'!D114+'L. GASB 75 DIPNC'!D114</f>
        <v>0</v>
      </c>
      <c r="AH114" s="264"/>
      <c r="AI114" s="45"/>
      <c r="AJ114" s="265"/>
      <c r="AK114" s="137"/>
      <c r="AL114" s="218"/>
      <c r="AM114" s="218"/>
      <c r="AN114" s="270">
        <f t="shared" si="34"/>
        <v>0</v>
      </c>
      <c r="AO114" s="271">
        <f t="shared" si="35"/>
        <v>0</v>
      </c>
      <c r="AP114" s="192"/>
      <c r="AQ114" s="271"/>
      <c r="AR114" s="192">
        <f t="shared" si="36"/>
        <v>0</v>
      </c>
      <c r="AS114" s="271">
        <f t="shared" si="37"/>
        <v>0</v>
      </c>
      <c r="AT114" s="44"/>
      <c r="AU114" s="78"/>
      <c r="AV114" s="36"/>
      <c r="AW114" s="36"/>
      <c r="AX114" s="36"/>
    </row>
    <row r="115" spans="1:50" s="632" customFormat="1" x14ac:dyDescent="0.2">
      <c r="C115" s="461" t="s">
        <v>1537</v>
      </c>
      <c r="D115" s="227"/>
      <c r="E115" s="209"/>
      <c r="F115" s="210"/>
      <c r="G115" s="218"/>
      <c r="H115" s="218"/>
      <c r="I115" s="218"/>
      <c r="J115" s="218"/>
      <c r="K115" s="218"/>
      <c r="L115" s="218"/>
      <c r="M115" s="218"/>
      <c r="N115" s="219"/>
      <c r="O115" s="218"/>
      <c r="P115" s="218"/>
      <c r="Q115" s="218"/>
      <c r="R115" s="218"/>
      <c r="S115" s="218"/>
      <c r="T115" s="219"/>
      <c r="U115" s="192"/>
      <c r="V115" s="192"/>
      <c r="W115" s="270"/>
      <c r="X115" s="271"/>
      <c r="Y115" s="304"/>
      <c r="Z115" s="304"/>
      <c r="AA115" s="269"/>
      <c r="AB115" s="137"/>
      <c r="AC115" s="265" t="s">
        <v>1749</v>
      </c>
      <c r="AD115" s="45">
        <f>'L. GASB 75 DIPNC'!C116+'K. GASB 75 RHBF'!C116</f>
        <v>0</v>
      </c>
      <c r="AE115" s="45"/>
      <c r="AF115" s="694" t="s">
        <v>1748</v>
      </c>
      <c r="AG115" s="45">
        <f>'K. GASB 75 RHBF'!D116+'L. GASB 75 DIPNC'!D116</f>
        <v>0</v>
      </c>
      <c r="AH115" s="264"/>
      <c r="AI115" s="45"/>
      <c r="AJ115" s="265"/>
      <c r="AK115" s="137"/>
      <c r="AL115" s="218"/>
      <c r="AM115" s="218"/>
      <c r="AN115" s="270">
        <f t="shared" si="34"/>
        <v>0</v>
      </c>
      <c r="AO115" s="271">
        <f t="shared" si="35"/>
        <v>0</v>
      </c>
      <c r="AP115" s="192"/>
      <c r="AQ115" s="271"/>
      <c r="AR115" s="192">
        <f t="shared" si="36"/>
        <v>0</v>
      </c>
      <c r="AS115" s="271">
        <f t="shared" si="37"/>
        <v>0</v>
      </c>
      <c r="AT115" s="44"/>
      <c r="AU115" s="78"/>
      <c r="AV115" s="36"/>
      <c r="AW115" s="36"/>
      <c r="AX115" s="36"/>
    </row>
    <row r="116" spans="1:50" s="632" customFormat="1" ht="38.25" x14ac:dyDescent="0.2">
      <c r="C116" s="633" t="s">
        <v>1538</v>
      </c>
      <c r="D116" s="227"/>
      <c r="E116" s="209"/>
      <c r="F116" s="210"/>
      <c r="G116" s="218"/>
      <c r="H116" s="218"/>
      <c r="I116" s="218"/>
      <c r="J116" s="218"/>
      <c r="K116" s="218"/>
      <c r="L116" s="218"/>
      <c r="M116" s="218"/>
      <c r="N116" s="219"/>
      <c r="O116" s="218"/>
      <c r="P116" s="218"/>
      <c r="Q116" s="218"/>
      <c r="R116" s="218"/>
      <c r="S116" s="218"/>
      <c r="T116" s="219"/>
      <c r="U116" s="192"/>
      <c r="V116" s="192"/>
      <c r="W116" s="270"/>
      <c r="X116" s="271"/>
      <c r="Y116" s="304"/>
      <c r="Z116" s="304"/>
      <c r="AA116" s="269"/>
      <c r="AB116" s="137"/>
      <c r="AC116" s="265" t="s">
        <v>1749</v>
      </c>
      <c r="AD116" s="45">
        <f>'K. GASB 75 RHBF'!C115+'L. GASB 75 DIPNC'!C115</f>
        <v>0</v>
      </c>
      <c r="AE116" s="45"/>
      <c r="AF116" s="694" t="s">
        <v>1748</v>
      </c>
      <c r="AG116" s="45">
        <f>'K. GASB 75 RHBF'!D115+'L. GASB 75 DIPNC'!D115</f>
        <v>0</v>
      </c>
      <c r="AH116" s="264"/>
      <c r="AI116" s="45"/>
      <c r="AJ116" s="265"/>
      <c r="AK116" s="137"/>
      <c r="AL116" s="218"/>
      <c r="AM116" s="218"/>
      <c r="AN116" s="270">
        <f t="shared" si="34"/>
        <v>0</v>
      </c>
      <c r="AO116" s="271">
        <f t="shared" si="35"/>
        <v>0</v>
      </c>
      <c r="AP116" s="192"/>
      <c r="AQ116" s="271"/>
      <c r="AR116" s="192">
        <f t="shared" si="36"/>
        <v>0</v>
      </c>
      <c r="AS116" s="271">
        <f t="shared" si="37"/>
        <v>0</v>
      </c>
      <c r="AT116" s="44"/>
      <c r="AU116" s="33"/>
      <c r="AV116" s="36"/>
      <c r="AW116" s="36"/>
      <c r="AX116" s="36"/>
    </row>
    <row r="117" spans="1:50" s="468" customFormat="1" x14ac:dyDescent="0.2">
      <c r="C117" s="227"/>
      <c r="D117" s="227"/>
      <c r="E117" s="209"/>
      <c r="F117" s="210"/>
      <c r="G117" s="218"/>
      <c r="H117" s="218"/>
      <c r="I117" s="218"/>
      <c r="J117" s="218"/>
      <c r="K117" s="218"/>
      <c r="L117" s="218"/>
      <c r="M117" s="218"/>
      <c r="N117" s="219"/>
      <c r="O117" s="218"/>
      <c r="P117" s="218"/>
      <c r="Q117" s="218"/>
      <c r="R117" s="218"/>
      <c r="S117" s="218"/>
      <c r="T117" s="219"/>
      <c r="U117" s="192"/>
      <c r="V117" s="192"/>
      <c r="W117" s="270"/>
      <c r="X117" s="271"/>
      <c r="Y117" s="304"/>
      <c r="Z117" s="304"/>
      <c r="AA117" s="269"/>
      <c r="AB117" s="137"/>
      <c r="AC117" s="265"/>
      <c r="AD117" s="45"/>
      <c r="AE117" s="45"/>
      <c r="AF117" s="265"/>
      <c r="AG117" s="45"/>
      <c r="AH117" s="264"/>
      <c r="AI117" s="45"/>
      <c r="AJ117" s="265"/>
      <c r="AK117" s="137"/>
      <c r="AL117" s="218"/>
      <c r="AM117" s="218"/>
      <c r="AN117" s="270"/>
      <c r="AO117" s="271"/>
      <c r="AP117" s="192"/>
      <c r="AQ117" s="271"/>
      <c r="AR117" s="192">
        <f t="shared" si="36"/>
        <v>0</v>
      </c>
      <c r="AS117" s="271"/>
      <c r="AT117" s="44"/>
      <c r="AU117" s="854"/>
      <c r="AV117" s="36"/>
      <c r="AW117" s="36"/>
      <c r="AX117" s="36"/>
    </row>
    <row r="118" spans="1:50" x14ac:dyDescent="0.2">
      <c r="A118" s="11"/>
      <c r="B118" s="11"/>
      <c r="C118" s="339" t="s">
        <v>37</v>
      </c>
      <c r="D118" s="339"/>
      <c r="E118" s="213"/>
      <c r="F118" s="214"/>
      <c r="G118" s="222"/>
      <c r="H118" s="222"/>
      <c r="I118" s="222"/>
      <c r="J118" s="222"/>
      <c r="K118" s="222"/>
      <c r="L118" s="222"/>
      <c r="M118" s="222"/>
      <c r="N118" s="223"/>
      <c r="O118" s="222"/>
      <c r="P118" s="222"/>
      <c r="Q118" s="222"/>
      <c r="R118" s="222"/>
      <c r="S118" s="222"/>
      <c r="T118" s="223"/>
      <c r="U118" s="192">
        <f t="shared" si="22"/>
        <v>0</v>
      </c>
      <c r="V118" s="192">
        <f t="shared" si="23"/>
        <v>0</v>
      </c>
      <c r="W118" s="270">
        <f t="shared" si="24"/>
        <v>0</v>
      </c>
      <c r="X118" s="271">
        <f t="shared" si="25"/>
        <v>0</v>
      </c>
      <c r="Y118" s="309">
        <f>'Beginning Capital Assets &amp; LTD'!I81</f>
        <v>0</v>
      </c>
      <c r="Z118" s="309">
        <f>'Beginning Capital Assets &amp; LTD'!K69</f>
        <v>0</v>
      </c>
      <c r="AA118" s="276"/>
      <c r="AB118" s="186"/>
      <c r="AC118" s="277" t="str">
        <f>'E. Debt Service'!D107</f>
        <v>E.3</v>
      </c>
      <c r="AD118" s="185">
        <f>'E. Debt Service'!L107</f>
        <v>0</v>
      </c>
      <c r="AE118" s="185"/>
      <c r="AF118" s="283" t="str">
        <f>'G.  Other Asset Entries'!B90</f>
        <v>G.1</v>
      </c>
      <c r="AG118" s="185">
        <f>'G.  Other Asset Entries'!N111</f>
        <v>0</v>
      </c>
      <c r="AH118" s="278"/>
      <c r="AI118" s="185"/>
      <c r="AJ118" s="277"/>
      <c r="AK118" s="186"/>
      <c r="AL118" s="222"/>
      <c r="AM118" s="222"/>
      <c r="AN118" s="270">
        <f>W118+Y118+AA118+AD118+AL118</f>
        <v>0</v>
      </c>
      <c r="AO118" s="271">
        <f t="shared" si="19"/>
        <v>0</v>
      </c>
      <c r="AP118" s="192"/>
      <c r="AQ118" s="271"/>
      <c r="AR118" s="192">
        <f t="shared" si="36"/>
        <v>0</v>
      </c>
      <c r="AS118" s="271">
        <f>IF(SUM(AO118:AO123)-SUM(AN118:AN123)&gt;0,SUM(AO118:AO123)-SUM(AN118:AN123),0)</f>
        <v>0</v>
      </c>
      <c r="AT118" s="1010"/>
      <c r="AU118" s="78"/>
      <c r="AV118" s="36"/>
      <c r="AW118" s="36"/>
      <c r="AX118" s="36"/>
    </row>
    <row r="119" spans="1:50" s="468" customFormat="1" x14ac:dyDescent="0.2">
      <c r="A119" s="472"/>
      <c r="B119" s="472"/>
      <c r="C119" s="339"/>
      <c r="D119" s="339"/>
      <c r="E119" s="213"/>
      <c r="F119" s="214"/>
      <c r="G119" s="222"/>
      <c r="H119" s="222"/>
      <c r="I119" s="222"/>
      <c r="J119" s="222"/>
      <c r="K119" s="222"/>
      <c r="L119" s="222"/>
      <c r="M119" s="222"/>
      <c r="N119" s="223"/>
      <c r="O119" s="222"/>
      <c r="P119" s="222"/>
      <c r="Q119" s="222"/>
      <c r="R119" s="222"/>
      <c r="S119" s="222"/>
      <c r="T119" s="223"/>
      <c r="U119" s="192">
        <f>O119+Q119+S119</f>
        <v>0</v>
      </c>
      <c r="V119" s="192">
        <f>P119+R119+T119</f>
        <v>0</v>
      </c>
      <c r="W119" s="270">
        <f>E119+G119+I119+K119+M119+U119</f>
        <v>0</v>
      </c>
      <c r="X119" s="271">
        <f>F119+H119+J119+L119+N119+V119</f>
        <v>0</v>
      </c>
      <c r="Y119" s="309"/>
      <c r="Z119" s="309"/>
      <c r="AA119" s="276"/>
      <c r="AB119" s="186"/>
      <c r="AC119" s="277" t="s">
        <v>1096</v>
      </c>
      <c r="AD119" s="185">
        <f>'J. GASB 68 TSERS'!C91</f>
        <v>0</v>
      </c>
      <c r="AE119" s="185"/>
      <c r="AF119" s="283" t="s">
        <v>1096</v>
      </c>
      <c r="AG119" s="185">
        <f>'J. GASB 68 TSERS'!D91</f>
        <v>0</v>
      </c>
      <c r="AH119" s="278"/>
      <c r="AI119" s="185"/>
      <c r="AJ119" s="277"/>
      <c r="AK119" s="186"/>
      <c r="AL119" s="222"/>
      <c r="AM119" s="222"/>
      <c r="AN119" s="270">
        <f>W119+Y119+AA119+AD119+AL119</f>
        <v>0</v>
      </c>
      <c r="AO119" s="271">
        <f>X119+Z119+AB119+AG119+AK119+AM119</f>
        <v>0</v>
      </c>
      <c r="AP119" s="192"/>
      <c r="AQ119" s="271"/>
      <c r="AR119" s="192">
        <f t="shared" si="36"/>
        <v>0</v>
      </c>
      <c r="AS119" s="271"/>
      <c r="AT119" s="1007"/>
      <c r="AU119" s="78"/>
      <c r="AV119" s="36"/>
      <c r="AW119" s="36"/>
      <c r="AX119" s="36"/>
    </row>
    <row r="120" spans="1:50" s="632" customFormat="1" x14ac:dyDescent="0.2">
      <c r="A120" s="634"/>
      <c r="B120" s="634"/>
      <c r="C120" s="339"/>
      <c r="D120" s="339"/>
      <c r="E120" s="213"/>
      <c r="F120" s="214"/>
      <c r="G120" s="222"/>
      <c r="H120" s="222"/>
      <c r="I120" s="222"/>
      <c r="J120" s="222"/>
      <c r="K120" s="222"/>
      <c r="L120" s="222"/>
      <c r="M120" s="222"/>
      <c r="N120" s="223"/>
      <c r="O120" s="222"/>
      <c r="P120" s="222"/>
      <c r="Q120" s="222"/>
      <c r="R120" s="222"/>
      <c r="S120" s="222"/>
      <c r="T120" s="223"/>
      <c r="U120" s="192"/>
      <c r="V120" s="192"/>
      <c r="W120" s="270"/>
      <c r="X120" s="271"/>
      <c r="Y120" s="309"/>
      <c r="Z120" s="309"/>
      <c r="AA120" s="276"/>
      <c r="AB120" s="186"/>
      <c r="AC120" s="691" t="s">
        <v>1534</v>
      </c>
      <c r="AD120" s="185"/>
      <c r="AE120" s="185"/>
      <c r="AF120" s="691" t="s">
        <v>1534</v>
      </c>
      <c r="AG120" s="185"/>
      <c r="AH120" s="278"/>
      <c r="AI120" s="185"/>
      <c r="AJ120" s="277"/>
      <c r="AK120" s="186"/>
      <c r="AL120" s="222"/>
      <c r="AM120" s="222"/>
      <c r="AN120" s="270">
        <f>W120+Y120+AA120+AD120+AL120</f>
        <v>0</v>
      </c>
      <c r="AO120" s="271">
        <f>X120+Z120+AB120+AG120+AK120+AM120</f>
        <v>0</v>
      </c>
      <c r="AP120" s="192"/>
      <c r="AQ120" s="271"/>
      <c r="AR120" s="192"/>
      <c r="AS120" s="271"/>
      <c r="AT120" s="44"/>
      <c r="AU120" s="78"/>
      <c r="AV120" s="36"/>
      <c r="AW120" s="36"/>
      <c r="AX120" s="36"/>
    </row>
    <row r="121" spans="1:50" s="575" customFormat="1" x14ac:dyDescent="0.2">
      <c r="A121" s="576"/>
      <c r="B121" s="576"/>
      <c r="C121" s="577" t="s">
        <v>1159</v>
      </c>
      <c r="D121" s="339"/>
      <c r="E121" s="213"/>
      <c r="F121" s="214"/>
      <c r="G121" s="222"/>
      <c r="H121" s="222"/>
      <c r="I121" s="222"/>
      <c r="J121" s="222"/>
      <c r="K121" s="222"/>
      <c r="L121" s="222"/>
      <c r="M121" s="222"/>
      <c r="N121" s="223"/>
      <c r="O121" s="222"/>
      <c r="P121" s="222"/>
      <c r="Q121" s="222"/>
      <c r="R121" s="222"/>
      <c r="S121" s="222"/>
      <c r="T121" s="223"/>
      <c r="U121" s="192">
        <f>O121+Q121+S121</f>
        <v>0</v>
      </c>
      <c r="V121" s="192">
        <f>P121+R121+T121</f>
        <v>0</v>
      </c>
      <c r="W121" s="270">
        <f>E121+G121+I121+K121+M121+U121</f>
        <v>0</v>
      </c>
      <c r="X121" s="271">
        <f>F121+H121+J121+L121+N121+V121</f>
        <v>0</v>
      </c>
      <c r="Y121" s="213">
        <f>Z112+Z111+Z110+Z109+Z102</f>
        <v>0</v>
      </c>
      <c r="Z121" s="214">
        <f>Y64+Y63+Y62+Y61+Y60+Y23</f>
        <v>0</v>
      </c>
      <c r="AA121" s="276"/>
      <c r="AB121" s="186"/>
      <c r="AC121" s="277" t="s">
        <v>1533</v>
      </c>
      <c r="AD121" s="185"/>
      <c r="AE121" s="185"/>
      <c r="AF121" s="283" t="s">
        <v>1646</v>
      </c>
      <c r="AG121" s="185"/>
      <c r="AH121" s="278"/>
      <c r="AI121" s="185"/>
      <c r="AJ121" s="277"/>
      <c r="AK121" s="186"/>
      <c r="AL121" s="222"/>
      <c r="AM121" s="222"/>
      <c r="AN121" s="270">
        <f>W121+Y121+AA121+AD121+AL121</f>
        <v>0</v>
      </c>
      <c r="AO121" s="271">
        <f>X121+Z121+AB121+AG121+AK121+AM121</f>
        <v>0</v>
      </c>
      <c r="AP121" s="192"/>
      <c r="AQ121" s="271"/>
      <c r="AR121" s="192"/>
      <c r="AS121" s="271"/>
      <c r="AT121" s="1007"/>
      <c r="AU121" s="78"/>
      <c r="AV121" s="36"/>
      <c r="AW121" s="36"/>
      <c r="AX121" s="36"/>
    </row>
    <row r="122" spans="1:50" s="575" customFormat="1" x14ac:dyDescent="0.2">
      <c r="A122" s="576"/>
      <c r="B122" s="576"/>
      <c r="C122" s="339" t="s">
        <v>1645</v>
      </c>
      <c r="D122" s="339"/>
      <c r="E122" s="213"/>
      <c r="F122" s="214"/>
      <c r="G122" s="222"/>
      <c r="H122" s="222"/>
      <c r="I122" s="222"/>
      <c r="J122" s="222"/>
      <c r="K122" s="222"/>
      <c r="L122" s="222"/>
      <c r="M122" s="222"/>
      <c r="N122" s="223"/>
      <c r="O122" s="222"/>
      <c r="P122" s="222"/>
      <c r="Q122" s="222"/>
      <c r="R122" s="222"/>
      <c r="S122" s="222"/>
      <c r="T122" s="223"/>
      <c r="U122" s="192"/>
      <c r="V122" s="192"/>
      <c r="W122" s="270"/>
      <c r="X122" s="271"/>
      <c r="Y122" s="309"/>
      <c r="Z122" s="309"/>
      <c r="AA122" s="276"/>
      <c r="AB122" s="186"/>
      <c r="AC122" s="277"/>
      <c r="AD122" s="185"/>
      <c r="AE122" s="185"/>
      <c r="AF122" s="283"/>
      <c r="AG122" s="185"/>
      <c r="AH122" s="278"/>
      <c r="AI122" s="185"/>
      <c r="AJ122" s="277"/>
      <c r="AK122" s="186"/>
      <c r="AL122" s="222"/>
      <c r="AM122" s="222"/>
      <c r="AN122" s="270"/>
      <c r="AO122" s="271">
        <f>X122+Z122+AB122+AG122+AK122+AM122</f>
        <v>0</v>
      </c>
      <c r="AP122" s="192"/>
      <c r="AQ122" s="271"/>
      <c r="AR122" s="192"/>
      <c r="AS122" s="271"/>
      <c r="AT122" s="44"/>
      <c r="AU122" s="78"/>
      <c r="AV122" s="36"/>
      <c r="AW122" s="36"/>
      <c r="AX122" s="36"/>
    </row>
    <row r="123" spans="1:50" x14ac:dyDescent="0.2">
      <c r="A123" s="11"/>
      <c r="B123" s="11"/>
      <c r="C123" s="339" t="s">
        <v>742</v>
      </c>
      <c r="D123" s="339"/>
      <c r="E123" s="213"/>
      <c r="F123" s="214"/>
      <c r="G123" s="222"/>
      <c r="H123" s="222"/>
      <c r="I123" s="222"/>
      <c r="J123" s="222"/>
      <c r="K123" s="222"/>
      <c r="L123" s="222"/>
      <c r="M123" s="222"/>
      <c r="N123" s="223"/>
      <c r="O123" s="222"/>
      <c r="P123" s="222"/>
      <c r="Q123" s="222"/>
      <c r="R123" s="222"/>
      <c r="S123" s="222"/>
      <c r="T123" s="223"/>
      <c r="U123" s="192">
        <f t="shared" si="22"/>
        <v>0</v>
      </c>
      <c r="V123" s="192">
        <f t="shared" si="23"/>
        <v>0</v>
      </c>
      <c r="W123" s="270">
        <f t="shared" si="24"/>
        <v>0</v>
      </c>
      <c r="X123" s="271">
        <f t="shared" si="25"/>
        <v>0</v>
      </c>
      <c r="Y123" s="309"/>
      <c r="Z123" s="309"/>
      <c r="AA123" s="276"/>
      <c r="AB123" s="186"/>
      <c r="AC123" s="277"/>
      <c r="AD123" s="185"/>
      <c r="AE123" s="185"/>
      <c r="AF123" s="277"/>
      <c r="AG123" s="185"/>
      <c r="AH123" s="278"/>
      <c r="AI123" s="185"/>
      <c r="AJ123" s="277"/>
      <c r="AK123" s="186"/>
      <c r="AL123" s="222"/>
      <c r="AM123" s="222"/>
      <c r="AN123" s="270">
        <f>W123+Y123+AA123+AD123+AI123+AL123</f>
        <v>0</v>
      </c>
      <c r="AO123" s="271">
        <f t="shared" si="19"/>
        <v>0</v>
      </c>
      <c r="AP123" s="192"/>
      <c r="AQ123" s="271"/>
      <c r="AR123" s="1008">
        <f>AQ428</f>
        <v>0</v>
      </c>
      <c r="AS123" s="271">
        <f>AP428</f>
        <v>0</v>
      </c>
      <c r="AT123" s="1025"/>
      <c r="AU123" s="1026"/>
      <c r="AV123" s="36"/>
      <c r="AW123" s="36"/>
      <c r="AX123" s="36"/>
    </row>
    <row r="124" spans="1:50" x14ac:dyDescent="0.2">
      <c r="A124" s="11"/>
      <c r="B124" s="11"/>
      <c r="C124" s="339" t="s">
        <v>743</v>
      </c>
      <c r="D124" s="339"/>
      <c r="E124" s="213"/>
      <c r="F124" s="214"/>
      <c r="G124" s="222"/>
      <c r="H124" s="222"/>
      <c r="I124" s="222"/>
      <c r="J124" s="222"/>
      <c r="K124" s="222"/>
      <c r="L124" s="222"/>
      <c r="M124" s="222"/>
      <c r="N124" s="223"/>
      <c r="O124" s="222"/>
      <c r="P124" s="222"/>
      <c r="Q124" s="222"/>
      <c r="R124" s="222"/>
      <c r="S124" s="222"/>
      <c r="T124" s="223"/>
      <c r="U124" s="192">
        <f t="shared" si="22"/>
        <v>0</v>
      </c>
      <c r="V124" s="192">
        <f t="shared" si="23"/>
        <v>0</v>
      </c>
      <c r="W124" s="270">
        <f t="shared" si="24"/>
        <v>0</v>
      </c>
      <c r="X124" s="271">
        <f t="shared" si="25"/>
        <v>0</v>
      </c>
      <c r="Y124" s="309"/>
      <c r="Z124" s="309"/>
      <c r="AA124" s="276"/>
      <c r="AB124" s="186"/>
      <c r="AC124" s="277"/>
      <c r="AD124" s="185"/>
      <c r="AE124" s="185"/>
      <c r="AF124" s="281"/>
      <c r="AG124" s="187"/>
      <c r="AH124" s="278" t="str">
        <f>'I. Eliminations-Consolidations'!A308</f>
        <v>I.9</v>
      </c>
      <c r="AI124" s="185">
        <f>'I. Eliminations-Consolidations'!J308</f>
        <v>0</v>
      </c>
      <c r="AJ124" s="277"/>
      <c r="AK124" s="186"/>
      <c r="AL124" s="222"/>
      <c r="AM124" s="222"/>
      <c r="AN124" s="270">
        <f>W124+Y124+AA124+AD124+AI124+AL124</f>
        <v>0</v>
      </c>
      <c r="AO124" s="271">
        <f t="shared" si="19"/>
        <v>0</v>
      </c>
      <c r="AP124" s="192"/>
      <c r="AQ124" s="271"/>
      <c r="AR124" s="192">
        <f t="shared" si="28"/>
        <v>0</v>
      </c>
      <c r="AS124" s="271">
        <f t="shared" si="31"/>
        <v>0</v>
      </c>
      <c r="AT124" s="1025"/>
      <c r="AU124" s="1026"/>
      <c r="AV124" s="36"/>
      <c r="AW124" s="36"/>
      <c r="AX124" s="36"/>
    </row>
    <row r="125" spans="1:50" x14ac:dyDescent="0.2">
      <c r="C125" s="314"/>
      <c r="D125" s="314"/>
      <c r="E125" s="209"/>
      <c r="F125" s="210"/>
      <c r="G125" s="210"/>
      <c r="H125" s="210"/>
      <c r="I125" s="210"/>
      <c r="J125" s="210"/>
      <c r="K125" s="210"/>
      <c r="L125" s="210"/>
      <c r="M125" s="218"/>
      <c r="N125" s="219"/>
      <c r="O125" s="218"/>
      <c r="P125" s="218"/>
      <c r="Q125" s="218"/>
      <c r="R125" s="218"/>
      <c r="S125" s="218"/>
      <c r="T125" s="219"/>
      <c r="U125" s="192"/>
      <c r="V125" s="192"/>
      <c r="W125" s="270"/>
      <c r="X125" s="271"/>
      <c r="Y125" s="303"/>
      <c r="Z125" s="304"/>
      <c r="AA125" s="269"/>
      <c r="AB125" s="137"/>
      <c r="AC125" s="265"/>
      <c r="AD125" s="45"/>
      <c r="AE125" s="45"/>
      <c r="AF125" s="284"/>
      <c r="AH125" s="264"/>
      <c r="AI125" s="45"/>
      <c r="AJ125" s="265"/>
      <c r="AK125" s="137"/>
      <c r="AL125" s="218"/>
      <c r="AM125" s="218"/>
      <c r="AN125" s="270"/>
      <c r="AO125" s="271"/>
      <c r="AP125" s="192"/>
      <c r="AQ125" s="271"/>
      <c r="AR125" s="192"/>
      <c r="AS125" s="271"/>
      <c r="AT125" s="45"/>
      <c r="AU125" s="36"/>
      <c r="AV125" s="36"/>
      <c r="AW125" s="36"/>
      <c r="AX125" s="36"/>
    </row>
    <row r="126" spans="1:50" x14ac:dyDescent="0.2">
      <c r="B126" s="4" t="s">
        <v>741</v>
      </c>
      <c r="C126" s="314"/>
      <c r="D126" s="314"/>
      <c r="E126" s="209"/>
      <c r="F126" s="210"/>
      <c r="G126" s="210"/>
      <c r="H126" s="210"/>
      <c r="I126" s="210"/>
      <c r="J126" s="210"/>
      <c r="K126" s="210"/>
      <c r="L126" s="210"/>
      <c r="M126" s="218"/>
      <c r="N126" s="219"/>
      <c r="O126" s="218"/>
      <c r="P126" s="218"/>
      <c r="Q126" s="218"/>
      <c r="R126" s="218"/>
      <c r="S126" s="218"/>
      <c r="T126" s="219"/>
      <c r="U126" s="192"/>
      <c r="V126" s="192"/>
      <c r="W126" s="270"/>
      <c r="X126" s="271"/>
      <c r="Y126" s="303"/>
      <c r="Z126" s="304"/>
      <c r="AA126" s="269"/>
      <c r="AB126" s="137"/>
      <c r="AC126" s="265"/>
      <c r="AD126" s="45"/>
      <c r="AE126" s="45"/>
      <c r="AF126" s="284"/>
      <c r="AH126" s="264"/>
      <c r="AI126" s="45"/>
      <c r="AJ126" s="265"/>
      <c r="AK126" s="137"/>
      <c r="AL126" s="218"/>
      <c r="AM126" s="218"/>
      <c r="AN126" s="270"/>
      <c r="AO126" s="271"/>
      <c r="AP126" s="192"/>
      <c r="AQ126" s="271"/>
      <c r="AR126" s="192"/>
      <c r="AS126" s="271"/>
      <c r="AT126" s="45"/>
      <c r="AU126" s="36"/>
      <c r="AV126" s="36"/>
      <c r="AW126" s="36"/>
      <c r="AX126" s="36"/>
    </row>
    <row r="127" spans="1:50" ht="14.25" customHeight="1" x14ac:dyDescent="0.2">
      <c r="B127" s="1086" t="s">
        <v>114</v>
      </c>
      <c r="C127" s="314" t="s">
        <v>744</v>
      </c>
      <c r="D127" s="314"/>
      <c r="E127" s="209"/>
      <c r="F127" s="210"/>
      <c r="G127" s="210"/>
      <c r="H127" s="210"/>
      <c r="I127" s="210"/>
      <c r="J127" s="210"/>
      <c r="K127" s="210"/>
      <c r="L127" s="210"/>
      <c r="M127" s="218"/>
      <c r="N127" s="219"/>
      <c r="O127" s="218"/>
      <c r="P127" s="218"/>
      <c r="Q127" s="218"/>
      <c r="R127" s="218"/>
      <c r="S127" s="218"/>
      <c r="T127" s="219"/>
      <c r="U127" s="192">
        <f t="shared" si="22"/>
        <v>0</v>
      </c>
      <c r="V127" s="192">
        <f t="shared" si="23"/>
        <v>0</v>
      </c>
      <c r="W127" s="270">
        <f t="shared" si="24"/>
        <v>0</v>
      </c>
      <c r="X127" s="271">
        <f t="shared" si="25"/>
        <v>0</v>
      </c>
      <c r="Y127" s="303"/>
      <c r="Z127" s="304"/>
      <c r="AA127" s="269"/>
      <c r="AB127" s="137"/>
      <c r="AC127" s="265"/>
      <c r="AD127" s="45"/>
      <c r="AE127" s="45"/>
      <c r="AF127" s="284"/>
      <c r="AH127" s="264"/>
      <c r="AI127" s="45"/>
      <c r="AJ127" s="265" t="str">
        <f>'I. Eliminations-Consolidations'!$A$308</f>
        <v>I.9</v>
      </c>
      <c r="AK127" s="137">
        <f>'I. Eliminations-Consolidations'!L309</f>
        <v>0</v>
      </c>
      <c r="AL127" s="218"/>
      <c r="AM127" s="218"/>
      <c r="AN127" s="270">
        <f t="shared" ref="AN127:AN149" si="38">W127+Y127+AA127+AD127+AI127+AL127</f>
        <v>0</v>
      </c>
      <c r="AO127" s="271">
        <f t="shared" ref="AO127:AO147" si="39">X127+Z127+AB127+AG127+AK127+AM127</f>
        <v>0</v>
      </c>
      <c r="AP127" s="192"/>
      <c r="AQ127" s="271"/>
      <c r="AR127" s="192">
        <f t="shared" si="28"/>
        <v>0</v>
      </c>
      <c r="AS127" s="271">
        <f t="shared" si="31"/>
        <v>0</v>
      </c>
      <c r="AT127" s="45"/>
      <c r="AU127" s="36"/>
      <c r="AV127" s="36"/>
      <c r="AW127" s="36"/>
      <c r="AX127" s="36"/>
    </row>
    <row r="128" spans="1:50" ht="14.25" customHeight="1" x14ac:dyDescent="0.2">
      <c r="B128" s="1086"/>
      <c r="C128" s="314" t="s">
        <v>733</v>
      </c>
      <c r="D128" s="314"/>
      <c r="E128" s="209"/>
      <c r="F128" s="210"/>
      <c r="G128" s="210"/>
      <c r="H128" s="210"/>
      <c r="I128" s="210"/>
      <c r="J128" s="210"/>
      <c r="K128" s="210"/>
      <c r="L128" s="210"/>
      <c r="M128" s="218"/>
      <c r="N128" s="219"/>
      <c r="O128" s="218"/>
      <c r="P128" s="218"/>
      <c r="Q128" s="218"/>
      <c r="R128" s="218"/>
      <c r="S128" s="218"/>
      <c r="T128" s="219"/>
      <c r="U128" s="192">
        <f>O128+Q128+S128</f>
        <v>0</v>
      </c>
      <c r="V128" s="192">
        <f>P128+R128+T128</f>
        <v>0</v>
      </c>
      <c r="W128" s="270">
        <f>E128+G128+I128+K128+M128+U128</f>
        <v>0</v>
      </c>
      <c r="X128" s="271">
        <f>F128+H128+J128+L128+N128+V128</f>
        <v>0</v>
      </c>
      <c r="Y128" s="303"/>
      <c r="Z128" s="304"/>
      <c r="AA128" s="269"/>
      <c r="AB128" s="137"/>
      <c r="AC128" s="265"/>
      <c r="AD128" s="45"/>
      <c r="AE128" s="45"/>
      <c r="AF128" s="284"/>
      <c r="AH128" s="264"/>
      <c r="AI128" s="45"/>
      <c r="AJ128" s="265" t="str">
        <f>'I. Eliminations-Consolidations'!$A$308</f>
        <v>I.9</v>
      </c>
      <c r="AK128" s="137">
        <f>'I. Eliminations-Consolidations'!L312</f>
        <v>0</v>
      </c>
      <c r="AL128" s="218"/>
      <c r="AM128" s="218"/>
      <c r="AN128" s="270">
        <f>W128+Y128+AA128+AD128+AI128+AL128</f>
        <v>0</v>
      </c>
      <c r="AO128" s="271">
        <f>X128+Z128+AB128+AG128+AK128+AM128</f>
        <v>0</v>
      </c>
      <c r="AP128" s="192"/>
      <c r="AQ128" s="271"/>
      <c r="AR128" s="192">
        <f>IF(AN128-AO128&lt;0, " ",AN128-AO128)</f>
        <v>0</v>
      </c>
      <c r="AS128" s="271">
        <f>IF(AN128-AO128&gt;0, " ",AO128-AN128)</f>
        <v>0</v>
      </c>
      <c r="AT128" s="45"/>
      <c r="AU128" s="36"/>
      <c r="AV128" s="36"/>
      <c r="AW128" s="36"/>
      <c r="AX128" s="36"/>
    </row>
    <row r="129" spans="2:50" ht="14.25" customHeight="1" x14ac:dyDescent="0.2">
      <c r="B129" s="1086"/>
      <c r="C129" s="314" t="s">
        <v>113</v>
      </c>
      <c r="D129" s="314"/>
      <c r="E129" s="209"/>
      <c r="F129" s="210"/>
      <c r="G129" s="210"/>
      <c r="H129" s="210"/>
      <c r="I129" s="210"/>
      <c r="J129" s="210"/>
      <c r="K129" s="210"/>
      <c r="L129" s="210"/>
      <c r="M129" s="218"/>
      <c r="N129" s="219"/>
      <c r="O129" s="218"/>
      <c r="P129" s="218"/>
      <c r="Q129" s="218"/>
      <c r="R129" s="218"/>
      <c r="S129" s="218"/>
      <c r="T129" s="219"/>
      <c r="U129" s="192">
        <f t="shared" si="22"/>
        <v>0</v>
      </c>
      <c r="V129" s="192">
        <f t="shared" si="23"/>
        <v>0</v>
      </c>
      <c r="W129" s="270">
        <f t="shared" si="24"/>
        <v>0</v>
      </c>
      <c r="X129" s="271">
        <f t="shared" si="25"/>
        <v>0</v>
      </c>
      <c r="Y129" s="303"/>
      <c r="Z129" s="304"/>
      <c r="AA129" s="269"/>
      <c r="AB129" s="137"/>
      <c r="AC129" s="265"/>
      <c r="AD129" s="45"/>
      <c r="AE129" s="45"/>
      <c r="AF129" s="284"/>
      <c r="AH129" s="264"/>
      <c r="AI129" s="45"/>
      <c r="AJ129" s="265" t="str">
        <f>'I. Eliminations-Consolidations'!$A$308</f>
        <v>I.9</v>
      </c>
      <c r="AK129" s="137">
        <f>'I. Eliminations-Consolidations'!L310</f>
        <v>0</v>
      </c>
      <c r="AL129" s="218"/>
      <c r="AM129" s="218"/>
      <c r="AN129" s="270">
        <f t="shared" si="38"/>
        <v>0</v>
      </c>
      <c r="AO129" s="271">
        <f t="shared" si="39"/>
        <v>0</v>
      </c>
      <c r="AP129" s="192"/>
      <c r="AQ129" s="271"/>
      <c r="AR129" s="192">
        <f t="shared" si="28"/>
        <v>0</v>
      </c>
      <c r="AS129" s="271">
        <f t="shared" si="31"/>
        <v>0</v>
      </c>
      <c r="AT129" s="45"/>
      <c r="AU129" s="36"/>
      <c r="AV129" s="36"/>
      <c r="AW129" s="36"/>
      <c r="AX129" s="36"/>
    </row>
    <row r="130" spans="2:50" ht="14.25" customHeight="1" x14ac:dyDescent="0.2">
      <c r="B130" s="1086"/>
      <c r="C130" s="314" t="s">
        <v>576</v>
      </c>
      <c r="D130" s="314"/>
      <c r="E130" s="209"/>
      <c r="F130" s="210"/>
      <c r="G130" s="210"/>
      <c r="H130" s="210"/>
      <c r="I130" s="210"/>
      <c r="J130" s="210"/>
      <c r="K130" s="210"/>
      <c r="L130" s="210"/>
      <c r="M130" s="218"/>
      <c r="N130" s="219"/>
      <c r="O130" s="218"/>
      <c r="P130" s="218"/>
      <c r="Q130" s="218"/>
      <c r="R130" s="218"/>
      <c r="S130" s="218"/>
      <c r="T130" s="219"/>
      <c r="U130" s="192">
        <f t="shared" si="22"/>
        <v>0</v>
      </c>
      <c r="V130" s="192">
        <f t="shared" si="23"/>
        <v>0</v>
      </c>
      <c r="W130" s="270">
        <f t="shared" si="24"/>
        <v>0</v>
      </c>
      <c r="X130" s="271">
        <f t="shared" si="25"/>
        <v>0</v>
      </c>
      <c r="Y130" s="303"/>
      <c r="Z130" s="304"/>
      <c r="AA130" s="269"/>
      <c r="AB130" s="137"/>
      <c r="AC130" s="265"/>
      <c r="AD130" s="45"/>
      <c r="AE130" s="45"/>
      <c r="AF130" s="284"/>
      <c r="AH130" s="264"/>
      <c r="AI130" s="45"/>
      <c r="AJ130" s="265" t="str">
        <f>'I. Eliminations-Consolidations'!$A$308</f>
        <v>I.9</v>
      </c>
      <c r="AK130" s="137">
        <f>'I. Eliminations-Consolidations'!L311</f>
        <v>0</v>
      </c>
      <c r="AL130" s="218"/>
      <c r="AM130" s="218"/>
      <c r="AN130" s="270">
        <f t="shared" si="38"/>
        <v>0</v>
      </c>
      <c r="AO130" s="271">
        <f t="shared" si="39"/>
        <v>0</v>
      </c>
      <c r="AP130" s="192"/>
      <c r="AQ130" s="271"/>
      <c r="AR130" s="192">
        <f t="shared" si="28"/>
        <v>0</v>
      </c>
      <c r="AS130" s="271">
        <f t="shared" si="31"/>
        <v>0</v>
      </c>
      <c r="AT130" s="45"/>
      <c r="AU130" s="36"/>
      <c r="AV130" s="36"/>
      <c r="AW130" s="36"/>
      <c r="AX130" s="36"/>
    </row>
    <row r="131" spans="2:50" ht="14.25" customHeight="1" x14ac:dyDescent="0.2">
      <c r="B131" s="1086"/>
      <c r="C131" t="s">
        <v>491</v>
      </c>
      <c r="D131" s="335"/>
      <c r="E131" s="209"/>
      <c r="F131" s="210"/>
      <c r="G131" s="210"/>
      <c r="H131" s="210"/>
      <c r="I131" s="210"/>
      <c r="J131" s="210"/>
      <c r="K131" s="210"/>
      <c r="L131" s="210"/>
      <c r="M131" s="218"/>
      <c r="N131" s="219"/>
      <c r="O131" s="218"/>
      <c r="P131" s="218"/>
      <c r="Q131" s="218"/>
      <c r="R131" s="218"/>
      <c r="S131" s="218"/>
      <c r="T131" s="219"/>
      <c r="U131" s="192">
        <f t="shared" si="22"/>
        <v>0</v>
      </c>
      <c r="V131" s="192">
        <f t="shared" si="23"/>
        <v>0</v>
      </c>
      <c r="W131" s="270">
        <f t="shared" si="24"/>
        <v>0</v>
      </c>
      <c r="X131" s="271">
        <f t="shared" si="25"/>
        <v>0</v>
      </c>
      <c r="Y131" s="303"/>
      <c r="Z131" s="304"/>
      <c r="AA131" s="269"/>
      <c r="AB131" s="137"/>
      <c r="AC131" s="265"/>
      <c r="AD131" s="45"/>
      <c r="AE131" s="45"/>
      <c r="AF131" s="284"/>
      <c r="AH131" s="264"/>
      <c r="AI131" s="45"/>
      <c r="AJ131" s="265" t="str">
        <f>'I. Eliminations-Consolidations'!$A$308</f>
        <v>I.9</v>
      </c>
      <c r="AK131" s="137">
        <f>'I. Eliminations-Consolidations'!L313</f>
        <v>0</v>
      </c>
      <c r="AL131" s="218"/>
      <c r="AM131" s="218"/>
      <c r="AN131" s="270">
        <f t="shared" si="38"/>
        <v>0</v>
      </c>
      <c r="AO131" s="271">
        <f t="shared" si="39"/>
        <v>0</v>
      </c>
      <c r="AP131" s="192"/>
      <c r="AQ131" s="271"/>
      <c r="AR131" s="192">
        <f t="shared" si="28"/>
        <v>0</v>
      </c>
      <c r="AS131" s="271">
        <f t="shared" si="31"/>
        <v>0</v>
      </c>
      <c r="AT131" s="45"/>
      <c r="AU131" s="36"/>
      <c r="AV131" s="36"/>
      <c r="AW131" s="36"/>
      <c r="AX131" s="36"/>
    </row>
    <row r="132" spans="2:50" ht="14.25" customHeight="1" x14ac:dyDescent="0.2">
      <c r="B132" s="1086"/>
      <c r="C132" t="s">
        <v>492</v>
      </c>
      <c r="D132" s="314"/>
      <c r="E132" s="209"/>
      <c r="F132" s="210"/>
      <c r="G132" s="210"/>
      <c r="H132" s="210"/>
      <c r="I132" s="210"/>
      <c r="J132" s="210"/>
      <c r="K132" s="210"/>
      <c r="L132" s="210"/>
      <c r="M132" s="218"/>
      <c r="N132" s="219"/>
      <c r="O132" s="218"/>
      <c r="P132" s="218"/>
      <c r="Q132" s="218"/>
      <c r="R132" s="218"/>
      <c r="S132" s="218"/>
      <c r="T132" s="219"/>
      <c r="U132" s="192">
        <f t="shared" si="22"/>
        <v>0</v>
      </c>
      <c r="V132" s="192">
        <f t="shared" si="23"/>
        <v>0</v>
      </c>
      <c r="W132" s="270">
        <f t="shared" si="24"/>
        <v>0</v>
      </c>
      <c r="X132" s="271">
        <f t="shared" si="25"/>
        <v>0</v>
      </c>
      <c r="Y132" s="303"/>
      <c r="Z132" s="304"/>
      <c r="AA132" s="269"/>
      <c r="AB132" s="137"/>
      <c r="AC132" s="265"/>
      <c r="AD132" s="45"/>
      <c r="AE132" s="45"/>
      <c r="AF132" s="284"/>
      <c r="AH132" s="264"/>
      <c r="AI132" s="45"/>
      <c r="AJ132" s="265" t="str">
        <f>'I. Eliminations-Consolidations'!$A$308</f>
        <v>I.9</v>
      </c>
      <c r="AK132" s="137">
        <f>'I. Eliminations-Consolidations'!L314</f>
        <v>0</v>
      </c>
      <c r="AL132" s="218"/>
      <c r="AM132" s="218"/>
      <c r="AN132" s="270">
        <f t="shared" si="38"/>
        <v>0</v>
      </c>
      <c r="AO132" s="271">
        <f t="shared" si="39"/>
        <v>0</v>
      </c>
      <c r="AP132" s="192"/>
      <c r="AQ132" s="271"/>
      <c r="AR132" s="192">
        <f t="shared" si="28"/>
        <v>0</v>
      </c>
      <c r="AS132" s="271">
        <f t="shared" si="31"/>
        <v>0</v>
      </c>
      <c r="AT132" s="45"/>
      <c r="AU132" s="36"/>
      <c r="AV132" s="36"/>
      <c r="AW132" s="36"/>
      <c r="AX132" s="36"/>
    </row>
    <row r="133" spans="2:50" ht="14.25" customHeight="1" x14ac:dyDescent="0.2">
      <c r="B133" s="1086"/>
      <c r="C133" t="s">
        <v>493</v>
      </c>
      <c r="D133" s="314"/>
      <c r="E133" s="209"/>
      <c r="F133" s="210"/>
      <c r="G133" s="210"/>
      <c r="H133" s="210"/>
      <c r="I133" s="210"/>
      <c r="J133" s="210"/>
      <c r="K133" s="210"/>
      <c r="L133" s="210"/>
      <c r="M133" s="218"/>
      <c r="N133" s="219"/>
      <c r="O133" s="218"/>
      <c r="P133" s="218"/>
      <c r="Q133" s="218"/>
      <c r="R133" s="218"/>
      <c r="S133" s="218"/>
      <c r="T133" s="219"/>
      <c r="U133" s="192">
        <f t="shared" si="22"/>
        <v>0</v>
      </c>
      <c r="V133" s="192">
        <f t="shared" si="23"/>
        <v>0</v>
      </c>
      <c r="W133" s="270">
        <f t="shared" si="24"/>
        <v>0</v>
      </c>
      <c r="X133" s="271">
        <f t="shared" si="25"/>
        <v>0</v>
      </c>
      <c r="Y133" s="303"/>
      <c r="Z133" s="304"/>
      <c r="AA133" s="269"/>
      <c r="AB133" s="137"/>
      <c r="AC133" s="265"/>
      <c r="AD133" s="45"/>
      <c r="AE133" s="45"/>
      <c r="AF133" s="284"/>
      <c r="AH133" s="264"/>
      <c r="AI133" s="45"/>
      <c r="AJ133" s="265" t="str">
        <f>'I. Eliminations-Consolidations'!$A$308</f>
        <v>I.9</v>
      </c>
      <c r="AK133" s="137">
        <f>'I. Eliminations-Consolidations'!L315</f>
        <v>0</v>
      </c>
      <c r="AL133" s="218"/>
      <c r="AM133" s="218"/>
      <c r="AN133" s="270">
        <f t="shared" si="38"/>
        <v>0</v>
      </c>
      <c r="AO133" s="271">
        <f t="shared" si="39"/>
        <v>0</v>
      </c>
      <c r="AP133" s="192"/>
      <c r="AQ133" s="271"/>
      <c r="AR133" s="192">
        <f t="shared" si="28"/>
        <v>0</v>
      </c>
      <c r="AS133" s="271">
        <f t="shared" si="31"/>
        <v>0</v>
      </c>
      <c r="AT133" s="45"/>
      <c r="AU133" s="36"/>
      <c r="AV133" s="36"/>
      <c r="AW133" s="36"/>
      <c r="AX133" s="36"/>
    </row>
    <row r="134" spans="2:50" ht="14.25" customHeight="1" x14ac:dyDescent="0.2">
      <c r="B134" s="1086"/>
      <c r="C134" t="s">
        <v>494</v>
      </c>
      <c r="D134" s="314"/>
      <c r="E134" s="209"/>
      <c r="F134" s="210"/>
      <c r="G134" s="210"/>
      <c r="H134" s="210"/>
      <c r="I134" s="210"/>
      <c r="J134" s="210"/>
      <c r="K134" s="210"/>
      <c r="L134" s="210"/>
      <c r="M134" s="218"/>
      <c r="N134" s="219"/>
      <c r="O134" s="218"/>
      <c r="P134" s="218"/>
      <c r="Q134" s="218"/>
      <c r="R134" s="218"/>
      <c r="S134" s="218"/>
      <c r="T134" s="219"/>
      <c r="U134" s="192">
        <f t="shared" si="22"/>
        <v>0</v>
      </c>
      <c r="V134" s="192">
        <f t="shared" si="23"/>
        <v>0</v>
      </c>
      <c r="W134" s="270">
        <f t="shared" si="24"/>
        <v>0</v>
      </c>
      <c r="X134" s="271">
        <f t="shared" si="25"/>
        <v>0</v>
      </c>
      <c r="Y134" s="303"/>
      <c r="Z134" s="304"/>
      <c r="AA134" s="269"/>
      <c r="AB134" s="137"/>
      <c r="AC134" s="265"/>
      <c r="AD134" s="45"/>
      <c r="AE134" s="45"/>
      <c r="AF134" s="284"/>
      <c r="AH134" s="264"/>
      <c r="AI134" s="45"/>
      <c r="AJ134" s="265" t="str">
        <f>'I. Eliminations-Consolidations'!$A$308</f>
        <v>I.9</v>
      </c>
      <c r="AK134" s="137">
        <f>'I. Eliminations-Consolidations'!L316</f>
        <v>0</v>
      </c>
      <c r="AL134" s="218"/>
      <c r="AM134" s="218"/>
      <c r="AN134" s="270">
        <f t="shared" si="38"/>
        <v>0</v>
      </c>
      <c r="AO134" s="271">
        <f t="shared" si="39"/>
        <v>0</v>
      </c>
      <c r="AP134" s="192"/>
      <c r="AQ134" s="271"/>
      <c r="AR134" s="192">
        <f t="shared" si="28"/>
        <v>0</v>
      </c>
      <c r="AS134" s="271">
        <f t="shared" si="31"/>
        <v>0</v>
      </c>
      <c r="AT134" s="45"/>
      <c r="AU134" s="36"/>
      <c r="AV134" s="36"/>
      <c r="AW134" s="36"/>
      <c r="AX134" s="36"/>
    </row>
    <row r="135" spans="2:50" ht="14.25" customHeight="1" x14ac:dyDescent="0.2">
      <c r="B135" s="1086"/>
      <c r="C135" t="s">
        <v>495</v>
      </c>
      <c r="D135" s="314"/>
      <c r="E135" s="209"/>
      <c r="F135" s="210"/>
      <c r="G135" s="210"/>
      <c r="H135" s="210"/>
      <c r="I135" s="210"/>
      <c r="J135" s="210"/>
      <c r="K135" s="210"/>
      <c r="L135" s="210"/>
      <c r="M135" s="218"/>
      <c r="N135" s="219"/>
      <c r="O135" s="218"/>
      <c r="P135" s="218"/>
      <c r="Q135" s="218"/>
      <c r="R135" s="218"/>
      <c r="S135" s="218"/>
      <c r="T135" s="219"/>
      <c r="U135" s="192">
        <f t="shared" si="22"/>
        <v>0</v>
      </c>
      <c r="V135" s="192">
        <f t="shared" si="23"/>
        <v>0</v>
      </c>
      <c r="W135" s="270">
        <f t="shared" si="24"/>
        <v>0</v>
      </c>
      <c r="X135" s="271">
        <f t="shared" si="25"/>
        <v>0</v>
      </c>
      <c r="Y135" s="303"/>
      <c r="Z135" s="304"/>
      <c r="AA135" s="269"/>
      <c r="AB135" s="137"/>
      <c r="AC135" s="265"/>
      <c r="AD135" s="45"/>
      <c r="AE135" s="45"/>
      <c r="AF135" s="284"/>
      <c r="AH135" s="264"/>
      <c r="AI135" s="45"/>
      <c r="AJ135" s="265" t="str">
        <f>'I. Eliminations-Consolidations'!$A$308</f>
        <v>I.9</v>
      </c>
      <c r="AK135" s="137">
        <f>'I. Eliminations-Consolidations'!L317</f>
        <v>0</v>
      </c>
      <c r="AL135" s="218"/>
      <c r="AM135" s="218"/>
      <c r="AN135" s="270">
        <f t="shared" si="38"/>
        <v>0</v>
      </c>
      <c r="AO135" s="271">
        <f t="shared" si="39"/>
        <v>0</v>
      </c>
      <c r="AP135" s="192"/>
      <c r="AQ135" s="271"/>
      <c r="AR135" s="192">
        <f t="shared" si="28"/>
        <v>0</v>
      </c>
      <c r="AS135" s="271">
        <f t="shared" si="31"/>
        <v>0</v>
      </c>
      <c r="AT135" s="45"/>
      <c r="AU135" s="36"/>
      <c r="AV135" s="36"/>
      <c r="AW135" s="36"/>
      <c r="AX135" s="36"/>
    </row>
    <row r="136" spans="2:50" ht="13.5" customHeight="1" x14ac:dyDescent="0.2">
      <c r="B136" s="1086"/>
      <c r="C136" t="s">
        <v>496</v>
      </c>
      <c r="D136" s="314"/>
      <c r="E136" s="209"/>
      <c r="F136" s="210"/>
      <c r="G136" s="210"/>
      <c r="H136" s="210"/>
      <c r="I136" s="210"/>
      <c r="J136" s="210"/>
      <c r="K136" s="210"/>
      <c r="L136" s="210"/>
      <c r="M136" s="218"/>
      <c r="N136" s="219"/>
      <c r="O136" s="218"/>
      <c r="P136" s="218"/>
      <c r="Q136" s="218"/>
      <c r="R136" s="218"/>
      <c r="S136" s="218"/>
      <c r="T136" s="219"/>
      <c r="U136" s="192">
        <f t="shared" si="22"/>
        <v>0</v>
      </c>
      <c r="V136" s="192">
        <f t="shared" si="23"/>
        <v>0</v>
      </c>
      <c r="W136" s="270">
        <f t="shared" si="24"/>
        <v>0</v>
      </c>
      <c r="X136" s="271">
        <f t="shared" si="25"/>
        <v>0</v>
      </c>
      <c r="Y136" s="303"/>
      <c r="Z136" s="304"/>
      <c r="AA136" s="269"/>
      <c r="AB136" s="137"/>
      <c r="AC136" s="265"/>
      <c r="AD136" s="45"/>
      <c r="AE136" s="45"/>
      <c r="AF136" s="284"/>
      <c r="AH136" s="264"/>
      <c r="AI136" s="45"/>
      <c r="AJ136" s="265" t="str">
        <f>'I. Eliminations-Consolidations'!$A$308</f>
        <v>I.9</v>
      </c>
      <c r="AK136" s="137">
        <f>'I. Eliminations-Consolidations'!L318</f>
        <v>0</v>
      </c>
      <c r="AL136" s="218"/>
      <c r="AM136" s="218"/>
      <c r="AN136" s="270">
        <f t="shared" si="38"/>
        <v>0</v>
      </c>
      <c r="AO136" s="271">
        <f t="shared" si="39"/>
        <v>0</v>
      </c>
      <c r="AP136" s="192"/>
      <c r="AQ136" s="271"/>
      <c r="AR136" s="192">
        <f t="shared" si="28"/>
        <v>0</v>
      </c>
      <c r="AS136" s="271">
        <f t="shared" si="31"/>
        <v>0</v>
      </c>
      <c r="AT136" s="45"/>
      <c r="AU136" s="36"/>
      <c r="AV136" s="36"/>
      <c r="AW136" s="36"/>
      <c r="AX136" s="36"/>
    </row>
    <row r="137" spans="2:50" ht="13.5" customHeight="1" x14ac:dyDescent="0.2">
      <c r="B137" s="1086"/>
      <c r="C137" t="s">
        <v>497</v>
      </c>
      <c r="D137" s="314"/>
      <c r="E137" s="209"/>
      <c r="F137" s="210"/>
      <c r="G137" s="210"/>
      <c r="H137" s="210"/>
      <c r="I137" s="210"/>
      <c r="J137" s="210"/>
      <c r="K137" s="210"/>
      <c r="L137" s="210"/>
      <c r="M137" s="218"/>
      <c r="N137" s="219"/>
      <c r="O137" s="218"/>
      <c r="P137" s="218"/>
      <c r="Q137" s="218"/>
      <c r="R137" s="218"/>
      <c r="S137" s="218"/>
      <c r="T137" s="219"/>
      <c r="U137" s="192">
        <f t="shared" si="22"/>
        <v>0</v>
      </c>
      <c r="V137" s="192">
        <f t="shared" si="23"/>
        <v>0</v>
      </c>
      <c r="W137" s="270">
        <f t="shared" si="24"/>
        <v>0</v>
      </c>
      <c r="X137" s="271">
        <f t="shared" si="25"/>
        <v>0</v>
      </c>
      <c r="Y137" s="303"/>
      <c r="Z137" s="304"/>
      <c r="AA137" s="269"/>
      <c r="AB137" s="137"/>
      <c r="AC137" s="265"/>
      <c r="AD137" s="45"/>
      <c r="AE137" s="45"/>
      <c r="AF137" s="284"/>
      <c r="AH137" s="264"/>
      <c r="AI137" s="45"/>
      <c r="AJ137" s="265" t="str">
        <f>'I. Eliminations-Consolidations'!$A$308</f>
        <v>I.9</v>
      </c>
      <c r="AK137" s="137">
        <f>'I. Eliminations-Consolidations'!L319</f>
        <v>0</v>
      </c>
      <c r="AL137" s="218"/>
      <c r="AM137" s="218"/>
      <c r="AN137" s="270">
        <f t="shared" si="38"/>
        <v>0</v>
      </c>
      <c r="AO137" s="271">
        <f t="shared" si="39"/>
        <v>0</v>
      </c>
      <c r="AP137" s="192"/>
      <c r="AQ137" s="271"/>
      <c r="AR137" s="192">
        <f t="shared" si="28"/>
        <v>0</v>
      </c>
      <c r="AS137" s="271">
        <f t="shared" si="31"/>
        <v>0</v>
      </c>
      <c r="AT137" s="45"/>
      <c r="AU137" s="36"/>
      <c r="AV137" s="36"/>
      <c r="AW137" s="36"/>
      <c r="AX137" s="36"/>
    </row>
    <row r="138" spans="2:50" ht="13.5" customHeight="1" x14ac:dyDescent="0.2">
      <c r="B138" s="1086"/>
      <c r="C138" t="s">
        <v>498</v>
      </c>
      <c r="D138" s="314"/>
      <c r="E138" s="209"/>
      <c r="F138" s="210"/>
      <c r="G138" s="210"/>
      <c r="H138" s="210"/>
      <c r="I138" s="210"/>
      <c r="J138" s="210"/>
      <c r="K138" s="210"/>
      <c r="L138" s="210"/>
      <c r="M138" s="218"/>
      <c r="N138" s="219"/>
      <c r="O138" s="218"/>
      <c r="P138" s="218"/>
      <c r="Q138" s="218"/>
      <c r="R138" s="218"/>
      <c r="S138" s="218"/>
      <c r="T138" s="219"/>
      <c r="U138" s="192">
        <f t="shared" si="22"/>
        <v>0</v>
      </c>
      <c r="V138" s="192">
        <f t="shared" si="23"/>
        <v>0</v>
      </c>
      <c r="W138" s="270">
        <f t="shared" si="24"/>
        <v>0</v>
      </c>
      <c r="X138" s="271">
        <f t="shared" si="25"/>
        <v>0</v>
      </c>
      <c r="Y138" s="303"/>
      <c r="Z138" s="304"/>
      <c r="AA138" s="269"/>
      <c r="AB138" s="137"/>
      <c r="AC138" s="265"/>
      <c r="AD138" s="45"/>
      <c r="AE138" s="45"/>
      <c r="AF138" s="284"/>
      <c r="AH138" s="264"/>
      <c r="AI138" s="45"/>
      <c r="AJ138" s="265" t="str">
        <f>'I. Eliminations-Consolidations'!$A$308</f>
        <v>I.9</v>
      </c>
      <c r="AK138" s="137">
        <f>'I. Eliminations-Consolidations'!L320</f>
        <v>0</v>
      </c>
      <c r="AL138" s="218"/>
      <c r="AM138" s="218"/>
      <c r="AN138" s="270">
        <f t="shared" si="38"/>
        <v>0</v>
      </c>
      <c r="AO138" s="271">
        <f t="shared" si="39"/>
        <v>0</v>
      </c>
      <c r="AP138" s="192"/>
      <c r="AQ138" s="271"/>
      <c r="AR138" s="192">
        <f t="shared" si="28"/>
        <v>0</v>
      </c>
      <c r="AS138" s="271">
        <f t="shared" si="31"/>
        <v>0</v>
      </c>
      <c r="AT138" s="45"/>
      <c r="AU138" s="36"/>
      <c r="AV138" s="36"/>
      <c r="AW138" s="36"/>
      <c r="AX138" s="36"/>
    </row>
    <row r="139" spans="2:50" ht="13.5" customHeight="1" x14ac:dyDescent="0.2">
      <c r="B139" s="1086"/>
      <c r="C139" t="s">
        <v>499</v>
      </c>
      <c r="D139" s="314"/>
      <c r="E139" s="209"/>
      <c r="F139" s="210"/>
      <c r="G139" s="210"/>
      <c r="H139" s="210"/>
      <c r="I139" s="210"/>
      <c r="J139" s="210"/>
      <c r="K139" s="210"/>
      <c r="L139" s="210"/>
      <c r="M139" s="218"/>
      <c r="N139" s="219"/>
      <c r="O139" s="218"/>
      <c r="P139" s="218"/>
      <c r="Q139" s="218"/>
      <c r="R139" s="218"/>
      <c r="S139" s="218"/>
      <c r="T139" s="219"/>
      <c r="U139" s="192">
        <f t="shared" si="22"/>
        <v>0</v>
      </c>
      <c r="V139" s="192">
        <f t="shared" si="23"/>
        <v>0</v>
      </c>
      <c r="W139" s="270">
        <f t="shared" si="24"/>
        <v>0</v>
      </c>
      <c r="X139" s="271">
        <f t="shared" si="25"/>
        <v>0</v>
      </c>
      <c r="Y139" s="303"/>
      <c r="Z139" s="304"/>
      <c r="AA139" s="269"/>
      <c r="AB139" s="137"/>
      <c r="AC139" s="265"/>
      <c r="AD139" s="45"/>
      <c r="AE139" s="45"/>
      <c r="AF139" s="284"/>
      <c r="AH139" s="264"/>
      <c r="AI139" s="45"/>
      <c r="AJ139" s="265" t="str">
        <f>'I. Eliminations-Consolidations'!$A$308</f>
        <v>I.9</v>
      </c>
      <c r="AK139" s="137">
        <f>'I. Eliminations-Consolidations'!L321</f>
        <v>0</v>
      </c>
      <c r="AL139" s="218"/>
      <c r="AM139" s="218"/>
      <c r="AN139" s="270">
        <f t="shared" si="38"/>
        <v>0</v>
      </c>
      <c r="AO139" s="271">
        <f t="shared" si="39"/>
        <v>0</v>
      </c>
      <c r="AP139" s="192"/>
      <c r="AQ139" s="271"/>
      <c r="AR139" s="192">
        <f t="shared" si="28"/>
        <v>0</v>
      </c>
      <c r="AS139" s="271">
        <f t="shared" si="31"/>
        <v>0</v>
      </c>
      <c r="AT139" s="45"/>
      <c r="AU139" s="36"/>
      <c r="AV139" s="36"/>
      <c r="AW139" s="36"/>
      <c r="AX139" s="36"/>
    </row>
    <row r="140" spans="2:50" ht="13.5" customHeight="1" x14ac:dyDescent="0.2">
      <c r="B140" s="1086"/>
      <c r="C140" t="s">
        <v>128</v>
      </c>
      <c r="D140" s="314"/>
      <c r="E140" s="209"/>
      <c r="F140" s="210"/>
      <c r="G140" s="210"/>
      <c r="H140" s="210"/>
      <c r="I140" s="210"/>
      <c r="J140" s="210"/>
      <c r="K140" s="210"/>
      <c r="L140" s="210"/>
      <c r="M140" s="218"/>
      <c r="N140" s="219"/>
      <c r="O140" s="218"/>
      <c r="P140" s="218"/>
      <c r="Q140" s="218"/>
      <c r="R140" s="218"/>
      <c r="S140" s="218"/>
      <c r="T140" s="219"/>
      <c r="U140" s="192">
        <f t="shared" si="22"/>
        <v>0</v>
      </c>
      <c r="V140" s="192">
        <f t="shared" si="23"/>
        <v>0</v>
      </c>
      <c r="W140" s="270">
        <f t="shared" si="24"/>
        <v>0</v>
      </c>
      <c r="X140" s="271">
        <f t="shared" si="25"/>
        <v>0</v>
      </c>
      <c r="Y140" s="303"/>
      <c r="Z140" s="304"/>
      <c r="AA140" s="269"/>
      <c r="AB140" s="137"/>
      <c r="AC140" s="265"/>
      <c r="AD140" s="45"/>
      <c r="AE140" s="45"/>
      <c r="AF140" s="284"/>
      <c r="AH140" s="264"/>
      <c r="AI140" s="45"/>
      <c r="AJ140" s="265" t="str">
        <f>'I. Eliminations-Consolidations'!$A$308</f>
        <v>I.9</v>
      </c>
      <c r="AK140" s="137">
        <f>'I. Eliminations-Consolidations'!L322</f>
        <v>0</v>
      </c>
      <c r="AL140" s="218"/>
      <c r="AM140" s="218"/>
      <c r="AN140" s="270">
        <f t="shared" si="38"/>
        <v>0</v>
      </c>
      <c r="AO140" s="271">
        <f t="shared" si="39"/>
        <v>0</v>
      </c>
      <c r="AP140" s="192"/>
      <c r="AQ140" s="271"/>
      <c r="AR140" s="192">
        <f t="shared" si="28"/>
        <v>0</v>
      </c>
      <c r="AS140" s="271">
        <f t="shared" si="31"/>
        <v>0</v>
      </c>
      <c r="AT140" s="45"/>
      <c r="AU140" s="36"/>
      <c r="AV140" s="36"/>
      <c r="AW140" s="36"/>
      <c r="AX140" s="36"/>
    </row>
    <row r="141" spans="2:50" ht="13.5" customHeight="1" x14ac:dyDescent="0.2">
      <c r="B141" s="1086"/>
      <c r="C141" t="s">
        <v>500</v>
      </c>
      <c r="D141" s="314"/>
      <c r="E141" s="209"/>
      <c r="F141" s="210"/>
      <c r="G141" s="210"/>
      <c r="H141" s="210"/>
      <c r="I141" s="210"/>
      <c r="J141" s="210"/>
      <c r="K141" s="210"/>
      <c r="L141" s="210"/>
      <c r="M141" s="218"/>
      <c r="N141" s="219"/>
      <c r="O141" s="218"/>
      <c r="P141" s="218"/>
      <c r="Q141" s="218"/>
      <c r="R141" s="218"/>
      <c r="S141" s="218"/>
      <c r="T141" s="219"/>
      <c r="U141" s="192">
        <f t="shared" si="22"/>
        <v>0</v>
      </c>
      <c r="V141" s="192">
        <f t="shared" si="23"/>
        <v>0</v>
      </c>
      <c r="W141" s="270">
        <f t="shared" si="24"/>
        <v>0</v>
      </c>
      <c r="X141" s="271">
        <f t="shared" si="25"/>
        <v>0</v>
      </c>
      <c r="Y141" s="303"/>
      <c r="Z141" s="304"/>
      <c r="AA141" s="269"/>
      <c r="AB141" s="137"/>
      <c r="AC141" s="265"/>
      <c r="AD141" s="45"/>
      <c r="AE141" s="45"/>
      <c r="AF141" s="284"/>
      <c r="AH141" s="264"/>
      <c r="AI141" s="45"/>
      <c r="AJ141" s="265" t="str">
        <f>'I. Eliminations-Consolidations'!$A$308</f>
        <v>I.9</v>
      </c>
      <c r="AK141" s="137">
        <f>'I. Eliminations-Consolidations'!L323</f>
        <v>0</v>
      </c>
      <c r="AL141" s="218"/>
      <c r="AM141" s="218"/>
      <c r="AN141" s="270">
        <f t="shared" si="38"/>
        <v>0</v>
      </c>
      <c r="AO141" s="271">
        <f t="shared" si="39"/>
        <v>0</v>
      </c>
      <c r="AP141" s="192"/>
      <c r="AQ141" s="271"/>
      <c r="AR141" s="192">
        <f t="shared" si="28"/>
        <v>0</v>
      </c>
      <c r="AS141" s="271">
        <f t="shared" si="31"/>
        <v>0</v>
      </c>
      <c r="AT141" s="45"/>
      <c r="AU141" s="36"/>
      <c r="AV141" s="36"/>
      <c r="AW141" s="36"/>
      <c r="AX141" s="36"/>
    </row>
    <row r="142" spans="2:50" ht="13.5" customHeight="1" x14ac:dyDescent="0.2">
      <c r="B142" s="1086"/>
      <c r="C142" t="s">
        <v>501</v>
      </c>
      <c r="D142" s="314"/>
      <c r="E142" s="209"/>
      <c r="F142" s="210"/>
      <c r="G142" s="210"/>
      <c r="H142" s="210"/>
      <c r="I142" s="210"/>
      <c r="J142" s="210"/>
      <c r="K142" s="210"/>
      <c r="L142" s="210"/>
      <c r="M142" s="218"/>
      <c r="N142" s="219"/>
      <c r="O142" s="218"/>
      <c r="P142" s="218"/>
      <c r="Q142" s="218"/>
      <c r="R142" s="218"/>
      <c r="S142" s="218"/>
      <c r="T142" s="219"/>
      <c r="U142" s="192">
        <f t="shared" si="22"/>
        <v>0</v>
      </c>
      <c r="V142" s="192">
        <f t="shared" si="23"/>
        <v>0</v>
      </c>
      <c r="W142" s="270">
        <f t="shared" si="24"/>
        <v>0</v>
      </c>
      <c r="X142" s="271">
        <f t="shared" si="25"/>
        <v>0</v>
      </c>
      <c r="Y142" s="303"/>
      <c r="Z142" s="304"/>
      <c r="AA142" s="269"/>
      <c r="AB142" s="137"/>
      <c r="AC142" s="265"/>
      <c r="AD142" s="45"/>
      <c r="AE142" s="45"/>
      <c r="AF142" s="284"/>
      <c r="AH142" s="264"/>
      <c r="AI142" s="45"/>
      <c r="AJ142" s="265" t="str">
        <f>'I. Eliminations-Consolidations'!$A$308</f>
        <v>I.9</v>
      </c>
      <c r="AK142" s="137">
        <f>'I. Eliminations-Consolidations'!L324</f>
        <v>0</v>
      </c>
      <c r="AL142" s="218"/>
      <c r="AM142" s="218"/>
      <c r="AN142" s="270">
        <f t="shared" si="38"/>
        <v>0</v>
      </c>
      <c r="AO142" s="271">
        <f t="shared" si="39"/>
        <v>0</v>
      </c>
      <c r="AP142" s="192"/>
      <c r="AQ142" s="271"/>
      <c r="AR142" s="192">
        <f t="shared" si="28"/>
        <v>0</v>
      </c>
      <c r="AS142" s="271">
        <f t="shared" si="31"/>
        <v>0</v>
      </c>
      <c r="AT142" s="45"/>
      <c r="AU142" s="36"/>
      <c r="AV142" s="36"/>
      <c r="AW142" s="36"/>
      <c r="AX142" s="36"/>
    </row>
    <row r="143" spans="2:50" ht="13.5" customHeight="1" x14ac:dyDescent="0.2">
      <c r="B143" s="1086"/>
      <c r="C143" t="s">
        <v>502</v>
      </c>
      <c r="D143" s="314"/>
      <c r="E143" s="209"/>
      <c r="F143" s="210"/>
      <c r="G143" s="210"/>
      <c r="H143" s="210"/>
      <c r="I143" s="210"/>
      <c r="J143" s="210"/>
      <c r="K143" s="210"/>
      <c r="L143" s="210"/>
      <c r="M143" s="218"/>
      <c r="N143" s="219"/>
      <c r="O143" s="218"/>
      <c r="P143" s="218"/>
      <c r="Q143" s="218"/>
      <c r="R143" s="218"/>
      <c r="S143" s="218"/>
      <c r="T143" s="219"/>
      <c r="U143" s="192">
        <f t="shared" si="22"/>
        <v>0</v>
      </c>
      <c r="V143" s="192">
        <f t="shared" si="23"/>
        <v>0</v>
      </c>
      <c r="W143" s="270">
        <f t="shared" si="24"/>
        <v>0</v>
      </c>
      <c r="X143" s="271">
        <f t="shared" si="25"/>
        <v>0</v>
      </c>
      <c r="Y143" s="303"/>
      <c r="Z143" s="304"/>
      <c r="AA143" s="269"/>
      <c r="AB143" s="137"/>
      <c r="AC143" s="265"/>
      <c r="AD143" s="45"/>
      <c r="AE143" s="45"/>
      <c r="AF143" s="284"/>
      <c r="AH143" s="264"/>
      <c r="AI143" s="45"/>
      <c r="AJ143" s="265" t="str">
        <f>'I. Eliminations-Consolidations'!$A$308</f>
        <v>I.9</v>
      </c>
      <c r="AK143" s="137">
        <f>'I. Eliminations-Consolidations'!L325</f>
        <v>0</v>
      </c>
      <c r="AL143" s="218"/>
      <c r="AM143" s="218"/>
      <c r="AN143" s="270">
        <f t="shared" si="38"/>
        <v>0</v>
      </c>
      <c r="AO143" s="271">
        <f t="shared" si="39"/>
        <v>0</v>
      </c>
      <c r="AP143" s="192"/>
      <c r="AQ143" s="271"/>
      <c r="AR143" s="192">
        <f t="shared" si="28"/>
        <v>0</v>
      </c>
      <c r="AS143" s="271">
        <f t="shared" si="31"/>
        <v>0</v>
      </c>
      <c r="AT143" s="45"/>
      <c r="AU143" s="36"/>
      <c r="AV143" s="36"/>
      <c r="AW143" s="36"/>
      <c r="AX143" s="36"/>
    </row>
    <row r="144" spans="2:50" ht="13.5" customHeight="1" x14ac:dyDescent="0.2">
      <c r="B144" s="1086"/>
      <c r="C144" t="s">
        <v>503</v>
      </c>
      <c r="D144" s="314"/>
      <c r="E144" s="209"/>
      <c r="F144" s="210"/>
      <c r="G144" s="210"/>
      <c r="H144" s="210"/>
      <c r="I144" s="210"/>
      <c r="J144" s="210"/>
      <c r="K144" s="210"/>
      <c r="L144" s="210"/>
      <c r="M144" s="218"/>
      <c r="N144" s="219"/>
      <c r="O144" s="218"/>
      <c r="P144" s="218"/>
      <c r="Q144" s="218"/>
      <c r="R144" s="218"/>
      <c r="S144" s="218"/>
      <c r="T144" s="219"/>
      <c r="U144" s="192">
        <f t="shared" si="22"/>
        <v>0</v>
      </c>
      <c r="V144" s="192">
        <f t="shared" si="23"/>
        <v>0</v>
      </c>
      <c r="W144" s="270">
        <f t="shared" si="24"/>
        <v>0</v>
      </c>
      <c r="X144" s="271">
        <f t="shared" si="25"/>
        <v>0</v>
      </c>
      <c r="Y144" s="303"/>
      <c r="Z144" s="304"/>
      <c r="AA144" s="269"/>
      <c r="AB144" s="137"/>
      <c r="AC144" s="265"/>
      <c r="AD144" s="45"/>
      <c r="AE144" s="45"/>
      <c r="AF144" s="284"/>
      <c r="AH144" s="264"/>
      <c r="AI144" s="45"/>
      <c r="AJ144" s="265" t="str">
        <f>'I. Eliminations-Consolidations'!$A$308</f>
        <v>I.9</v>
      </c>
      <c r="AK144" s="137">
        <f>'I. Eliminations-Consolidations'!L326</f>
        <v>0</v>
      </c>
      <c r="AL144" s="218"/>
      <c r="AM144" s="218"/>
      <c r="AN144" s="270">
        <f t="shared" si="38"/>
        <v>0</v>
      </c>
      <c r="AO144" s="271">
        <f t="shared" si="39"/>
        <v>0</v>
      </c>
      <c r="AP144" s="192"/>
      <c r="AQ144" s="271"/>
      <c r="AR144" s="192">
        <f t="shared" si="28"/>
        <v>0</v>
      </c>
      <c r="AS144" s="271">
        <f t="shared" si="31"/>
        <v>0</v>
      </c>
      <c r="AT144" s="45"/>
      <c r="AU144" s="36"/>
      <c r="AV144" s="36"/>
      <c r="AW144" s="36"/>
      <c r="AX144" s="36"/>
    </row>
    <row r="145" spans="1:50" ht="13.5" customHeight="1" x14ac:dyDescent="0.2">
      <c r="B145" s="1086"/>
      <c r="C145" t="s">
        <v>504</v>
      </c>
      <c r="D145" s="314"/>
      <c r="E145" s="209"/>
      <c r="F145" s="210"/>
      <c r="G145" s="210"/>
      <c r="H145" s="210"/>
      <c r="I145" s="210"/>
      <c r="J145" s="210"/>
      <c r="K145" s="210"/>
      <c r="L145" s="210"/>
      <c r="M145" s="218"/>
      <c r="N145" s="219"/>
      <c r="O145" s="218"/>
      <c r="P145" s="218"/>
      <c r="Q145" s="218"/>
      <c r="R145" s="218"/>
      <c r="S145" s="218"/>
      <c r="T145" s="219"/>
      <c r="U145" s="192">
        <f t="shared" si="22"/>
        <v>0</v>
      </c>
      <c r="V145" s="192">
        <f t="shared" si="23"/>
        <v>0</v>
      </c>
      <c r="W145" s="270">
        <f t="shared" si="24"/>
        <v>0</v>
      </c>
      <c r="X145" s="271">
        <f t="shared" si="25"/>
        <v>0</v>
      </c>
      <c r="Y145" s="303"/>
      <c r="Z145" s="304"/>
      <c r="AA145" s="269"/>
      <c r="AB145" s="137"/>
      <c r="AC145" s="265"/>
      <c r="AD145" s="45"/>
      <c r="AE145" s="45"/>
      <c r="AF145" s="284"/>
      <c r="AH145" s="264"/>
      <c r="AI145" s="45"/>
      <c r="AJ145" s="265" t="str">
        <f>'I. Eliminations-Consolidations'!$A$308</f>
        <v>I.9</v>
      </c>
      <c r="AK145" s="137">
        <f>'I. Eliminations-Consolidations'!L327</f>
        <v>0</v>
      </c>
      <c r="AL145" s="218"/>
      <c r="AM145" s="218"/>
      <c r="AN145" s="270">
        <f t="shared" si="38"/>
        <v>0</v>
      </c>
      <c r="AO145" s="271">
        <f t="shared" si="39"/>
        <v>0</v>
      </c>
      <c r="AP145" s="192"/>
      <c r="AQ145" s="271"/>
      <c r="AR145" s="192">
        <f t="shared" si="28"/>
        <v>0</v>
      </c>
      <c r="AS145" s="271">
        <f t="shared" si="31"/>
        <v>0</v>
      </c>
      <c r="AT145" s="45"/>
      <c r="AU145" s="36"/>
      <c r="AV145" s="36"/>
      <c r="AW145" s="36"/>
      <c r="AX145" s="36"/>
    </row>
    <row r="146" spans="1:50" ht="13.5" customHeight="1" x14ac:dyDescent="0.2">
      <c r="B146" s="1086"/>
      <c r="C146" t="s">
        <v>505</v>
      </c>
      <c r="D146" s="314"/>
      <c r="E146" s="209"/>
      <c r="F146" s="210"/>
      <c r="G146" s="210"/>
      <c r="H146" s="210"/>
      <c r="I146" s="210"/>
      <c r="J146" s="210"/>
      <c r="K146" s="210"/>
      <c r="L146" s="210"/>
      <c r="M146" s="218"/>
      <c r="N146" s="219"/>
      <c r="O146" s="218"/>
      <c r="P146" s="218"/>
      <c r="Q146" s="218"/>
      <c r="R146" s="218"/>
      <c r="S146" s="218"/>
      <c r="T146" s="219"/>
      <c r="U146" s="192">
        <f t="shared" si="22"/>
        <v>0</v>
      </c>
      <c r="V146" s="192">
        <f t="shared" si="23"/>
        <v>0</v>
      </c>
      <c r="W146" s="270">
        <f t="shared" si="24"/>
        <v>0</v>
      </c>
      <c r="X146" s="271">
        <f t="shared" si="25"/>
        <v>0</v>
      </c>
      <c r="Y146" s="303"/>
      <c r="Z146" s="304"/>
      <c r="AA146" s="269"/>
      <c r="AB146" s="137"/>
      <c r="AC146" s="265"/>
      <c r="AD146" s="45"/>
      <c r="AE146" s="45"/>
      <c r="AF146" s="284"/>
      <c r="AH146" s="264"/>
      <c r="AI146" s="45"/>
      <c r="AJ146" s="265" t="str">
        <f>'I. Eliminations-Consolidations'!$A$308</f>
        <v>I.9</v>
      </c>
      <c r="AK146" s="137">
        <f>'I. Eliminations-Consolidations'!L328</f>
        <v>0</v>
      </c>
      <c r="AL146" s="218"/>
      <c r="AM146" s="218"/>
      <c r="AN146" s="270">
        <f t="shared" si="38"/>
        <v>0</v>
      </c>
      <c r="AO146" s="271">
        <f t="shared" si="39"/>
        <v>0</v>
      </c>
      <c r="AP146" s="192"/>
      <c r="AQ146" s="271"/>
      <c r="AR146" s="192">
        <f t="shared" si="28"/>
        <v>0</v>
      </c>
      <c r="AS146" s="271">
        <f t="shared" si="31"/>
        <v>0</v>
      </c>
      <c r="AT146" s="45"/>
      <c r="AU146" s="36"/>
      <c r="AV146" s="36"/>
      <c r="AW146" s="36"/>
      <c r="AX146" s="36"/>
    </row>
    <row r="147" spans="1:50" ht="13.5" customHeight="1" x14ac:dyDescent="0.2">
      <c r="B147" s="1086"/>
      <c r="C147" t="s">
        <v>577</v>
      </c>
      <c r="D147" s="314"/>
      <c r="E147" s="209"/>
      <c r="F147" s="210"/>
      <c r="G147" s="210"/>
      <c r="H147" s="210"/>
      <c r="I147" s="210"/>
      <c r="J147" s="210"/>
      <c r="K147" s="210"/>
      <c r="L147" s="210"/>
      <c r="M147" s="218"/>
      <c r="N147" s="219"/>
      <c r="O147" s="218"/>
      <c r="P147" s="218"/>
      <c r="Q147" s="218"/>
      <c r="R147" s="218"/>
      <c r="S147" s="218"/>
      <c r="T147" s="219"/>
      <c r="U147" s="192">
        <f t="shared" si="22"/>
        <v>0</v>
      </c>
      <c r="V147" s="192">
        <f t="shared" si="23"/>
        <v>0</v>
      </c>
      <c r="W147" s="270">
        <f t="shared" si="24"/>
        <v>0</v>
      </c>
      <c r="X147" s="271">
        <f t="shared" si="25"/>
        <v>0</v>
      </c>
      <c r="Y147" s="303"/>
      <c r="Z147" s="304"/>
      <c r="AA147" s="269"/>
      <c r="AB147" s="137"/>
      <c r="AC147" s="265"/>
      <c r="AD147" s="45"/>
      <c r="AE147" s="45"/>
      <c r="AF147" s="284"/>
      <c r="AH147" s="264"/>
      <c r="AI147" s="45"/>
      <c r="AJ147" s="265" t="str">
        <f>'I. Eliminations-Consolidations'!$A$308</f>
        <v>I.9</v>
      </c>
      <c r="AK147" s="137">
        <f>'I. Eliminations-Consolidations'!L329</f>
        <v>0</v>
      </c>
      <c r="AL147" s="218"/>
      <c r="AM147" s="218"/>
      <c r="AN147" s="270">
        <f t="shared" si="38"/>
        <v>0</v>
      </c>
      <c r="AO147" s="271">
        <f t="shared" si="39"/>
        <v>0</v>
      </c>
      <c r="AP147" s="192"/>
      <c r="AQ147" s="271"/>
      <c r="AR147" s="192">
        <f t="shared" si="28"/>
        <v>0</v>
      </c>
      <c r="AS147" s="271">
        <f t="shared" si="31"/>
        <v>0</v>
      </c>
      <c r="AT147" s="45"/>
      <c r="AU147" s="36"/>
      <c r="AV147" s="36"/>
      <c r="AW147" s="36"/>
      <c r="AX147" s="36"/>
    </row>
    <row r="148" spans="1:50" s="766" customFormat="1" ht="13.5" customHeight="1" x14ac:dyDescent="0.2">
      <c r="B148" s="1086"/>
      <c r="C148" s="766" t="s">
        <v>1660</v>
      </c>
      <c r="D148" s="767"/>
      <c r="E148" s="209"/>
      <c r="F148" s="210"/>
      <c r="G148" s="210"/>
      <c r="H148" s="210"/>
      <c r="I148" s="210"/>
      <c r="J148" s="210"/>
      <c r="K148" s="210"/>
      <c r="L148" s="210"/>
      <c r="M148" s="218"/>
      <c r="N148" s="219"/>
      <c r="O148" s="218"/>
      <c r="P148" s="218"/>
      <c r="Q148" s="218"/>
      <c r="R148" s="218"/>
      <c r="S148" s="218"/>
      <c r="T148" s="219"/>
      <c r="U148" s="192">
        <f t="shared" ref="U148" si="40">O148+Q148+S148</f>
        <v>0</v>
      </c>
      <c r="V148" s="192">
        <f t="shared" ref="V148" si="41">P148+R148+T148</f>
        <v>0</v>
      </c>
      <c r="W148" s="270">
        <f t="shared" ref="W148" si="42">E148+G148+I148+K148+M148+U148</f>
        <v>0</v>
      </c>
      <c r="X148" s="271">
        <f t="shared" ref="X148" si="43">F148+H148+J148+L148+N148+V148</f>
        <v>0</v>
      </c>
      <c r="Y148" s="303"/>
      <c r="Z148" s="304"/>
      <c r="AA148" s="269"/>
      <c r="AB148" s="137"/>
      <c r="AC148" s="265"/>
      <c r="AD148" s="45"/>
      <c r="AE148" s="45"/>
      <c r="AF148" s="284"/>
      <c r="AG148" s="36"/>
      <c r="AH148" s="264"/>
      <c r="AI148" s="45"/>
      <c r="AJ148" s="265" t="str">
        <f>'I. Eliminations-Consolidations'!$A$308</f>
        <v>I.9</v>
      </c>
      <c r="AK148" s="137">
        <f>'I. Eliminations-Consolidations'!L330</f>
        <v>0</v>
      </c>
      <c r="AL148" s="218"/>
      <c r="AM148" s="218"/>
      <c r="AN148" s="270">
        <f t="shared" ref="AN148" si="44">W148+Y148+AA148+AD148+AI148+AL148</f>
        <v>0</v>
      </c>
      <c r="AO148" s="271">
        <f t="shared" ref="AO148" si="45">X148+Z148+AB148+AG148+AK148+AM148</f>
        <v>0</v>
      </c>
      <c r="AP148" s="192"/>
      <c r="AQ148" s="271"/>
      <c r="AR148" s="192">
        <f t="shared" ref="AR148" si="46">IF(AN148-AO148&lt;0, " ",AN148-AO148)</f>
        <v>0</v>
      </c>
      <c r="AS148" s="271">
        <f t="shared" ref="AS148" si="47">IF(AN148-AO148&gt;0, " ",AO148-AN148)</f>
        <v>0</v>
      </c>
      <c r="AT148" s="45"/>
      <c r="AU148" s="36"/>
      <c r="AV148" s="36"/>
      <c r="AW148" s="36"/>
      <c r="AX148" s="36"/>
    </row>
    <row r="149" spans="1:50" x14ac:dyDescent="0.2">
      <c r="B149" s="1086"/>
      <c r="C149" s="314" t="s">
        <v>19</v>
      </c>
      <c r="D149" s="314"/>
      <c r="E149" s="209"/>
      <c r="F149" s="242"/>
      <c r="G149" s="210"/>
      <c r="H149" s="210"/>
      <c r="I149" s="210"/>
      <c r="J149" s="210"/>
      <c r="K149" s="210"/>
      <c r="L149" s="210"/>
      <c r="M149" s="218"/>
      <c r="N149" s="219"/>
      <c r="O149" s="218"/>
      <c r="P149" s="218"/>
      <c r="Q149" s="218"/>
      <c r="R149" s="218"/>
      <c r="S149" s="218"/>
      <c r="T149" s="219"/>
      <c r="U149" s="192">
        <f t="shared" si="22"/>
        <v>0</v>
      </c>
      <c r="V149" s="192">
        <f t="shared" si="23"/>
        <v>0</v>
      </c>
      <c r="W149" s="270">
        <f t="shared" si="24"/>
        <v>0</v>
      </c>
      <c r="X149" s="271">
        <f t="shared" si="25"/>
        <v>0</v>
      </c>
      <c r="Y149" s="303"/>
      <c r="Z149" s="304"/>
      <c r="AA149" s="269"/>
      <c r="AB149" s="137"/>
      <c r="AC149" s="265"/>
      <c r="AD149" s="45"/>
      <c r="AE149" s="45"/>
      <c r="AF149" s="284"/>
      <c r="AH149" s="264"/>
      <c r="AI149" s="45"/>
      <c r="AJ149" s="265" t="str">
        <f>'I. Eliminations-Consolidations'!$A$308</f>
        <v>I.9</v>
      </c>
      <c r="AK149" s="137">
        <f>'I. Eliminations-Consolidations'!L331</f>
        <v>0</v>
      </c>
      <c r="AL149" s="218"/>
      <c r="AM149" s="218"/>
      <c r="AN149" s="270">
        <f t="shared" si="38"/>
        <v>0</v>
      </c>
      <c r="AO149" s="271">
        <f>X149+Z149+AB149+AG149+AK149+AM149</f>
        <v>0</v>
      </c>
      <c r="AP149" s="192"/>
      <c r="AQ149" s="271"/>
      <c r="AR149" s="192">
        <f t="shared" si="28"/>
        <v>0</v>
      </c>
      <c r="AS149" s="271">
        <f t="shared" si="31"/>
        <v>0</v>
      </c>
      <c r="AT149" s="45"/>
      <c r="AU149" s="36"/>
      <c r="AV149" s="36"/>
      <c r="AW149" s="36"/>
      <c r="AX149" s="36"/>
    </row>
    <row r="150" spans="1:50" x14ac:dyDescent="0.2">
      <c r="E150" s="209"/>
      <c r="F150" s="210"/>
      <c r="G150" s="210"/>
      <c r="H150" s="210"/>
      <c r="I150" s="210"/>
      <c r="J150" s="210"/>
      <c r="K150" s="210"/>
      <c r="L150" s="210"/>
      <c r="M150" s="218"/>
      <c r="N150" s="219"/>
      <c r="O150" s="218"/>
      <c r="P150" s="218"/>
      <c r="Q150" s="218"/>
      <c r="R150" s="218"/>
      <c r="S150" s="218"/>
      <c r="T150" s="219"/>
      <c r="U150" s="192"/>
      <c r="V150" s="192"/>
      <c r="W150" s="270"/>
      <c r="X150" s="271"/>
      <c r="Y150" s="303"/>
      <c r="Z150" s="304"/>
      <c r="AA150" s="269"/>
      <c r="AB150" s="137"/>
      <c r="AC150" s="265"/>
      <c r="AD150" s="45"/>
      <c r="AE150" s="45"/>
      <c r="AF150" s="284"/>
      <c r="AH150" s="264"/>
      <c r="AI150" s="45"/>
      <c r="AJ150" s="265"/>
      <c r="AK150" s="137"/>
      <c r="AL150" s="218"/>
      <c r="AM150" s="218"/>
      <c r="AN150" s="270"/>
      <c r="AO150" s="271"/>
      <c r="AP150" s="192"/>
      <c r="AQ150" s="271"/>
      <c r="AR150" s="192"/>
      <c r="AS150" s="271"/>
      <c r="AT150" s="45"/>
      <c r="AU150" s="36"/>
      <c r="AV150" s="36"/>
      <c r="AW150" s="36"/>
      <c r="AX150" s="36"/>
    </row>
    <row r="151" spans="1:50" ht="18" customHeight="1" x14ac:dyDescent="0.2">
      <c r="A151" s="29" t="s">
        <v>370</v>
      </c>
      <c r="B151" s="27"/>
      <c r="C151" s="27"/>
      <c r="D151" s="368"/>
      <c r="E151" s="209"/>
      <c r="F151" s="212"/>
      <c r="G151" s="220"/>
      <c r="H151" s="220"/>
      <c r="I151" s="220"/>
      <c r="J151" s="220"/>
      <c r="K151" s="220"/>
      <c r="L151" s="220"/>
      <c r="M151" s="218"/>
      <c r="N151" s="219"/>
      <c r="O151" s="218"/>
      <c r="P151" s="218"/>
      <c r="Q151" s="218"/>
      <c r="R151" s="218"/>
      <c r="S151" s="218"/>
      <c r="T151" s="219"/>
      <c r="U151" s="192"/>
      <c r="V151" s="192"/>
      <c r="W151" s="270"/>
      <c r="X151" s="271"/>
      <c r="Y151" s="303"/>
      <c r="Z151" s="304"/>
      <c r="AA151" s="269"/>
      <c r="AB151" s="137"/>
      <c r="AC151" s="265"/>
      <c r="AD151" s="45"/>
      <c r="AE151" s="45"/>
      <c r="AF151" s="265"/>
      <c r="AG151" s="45"/>
      <c r="AH151" s="264"/>
      <c r="AI151" s="45"/>
      <c r="AJ151" s="265"/>
      <c r="AK151" s="137"/>
      <c r="AL151" s="218"/>
      <c r="AM151" s="218"/>
      <c r="AN151" s="270"/>
      <c r="AO151" s="271"/>
      <c r="AP151" s="192"/>
      <c r="AQ151" s="271"/>
      <c r="AR151" s="192"/>
      <c r="AS151" s="271"/>
      <c r="AT151" s="45"/>
      <c r="AU151" s="36"/>
      <c r="AV151" s="36"/>
      <c r="AW151" s="36"/>
      <c r="AX151" s="36"/>
    </row>
    <row r="152" spans="1:50" x14ac:dyDescent="0.2">
      <c r="B152" s="6"/>
      <c r="C152" t="s">
        <v>154</v>
      </c>
      <c r="E152" s="209"/>
      <c r="F152" s="212"/>
      <c r="G152" s="220"/>
      <c r="H152" s="535"/>
      <c r="I152" s="220"/>
      <c r="J152" s="220"/>
      <c r="K152" s="220"/>
      <c r="L152" s="220"/>
      <c r="M152" s="218"/>
      <c r="N152" s="219"/>
      <c r="O152" s="218"/>
      <c r="P152" s="218"/>
      <c r="Q152" s="218"/>
      <c r="R152" s="218"/>
      <c r="S152" s="218"/>
      <c r="T152" s="219"/>
      <c r="U152" s="192">
        <f t="shared" si="22"/>
        <v>0</v>
      </c>
      <c r="V152" s="192">
        <f t="shared" si="23"/>
        <v>0</v>
      </c>
      <c r="W152" s="270">
        <f t="shared" si="24"/>
        <v>0</v>
      </c>
      <c r="X152" s="271">
        <f t="shared" si="25"/>
        <v>0</v>
      </c>
      <c r="Y152" s="303"/>
      <c r="Z152" s="304"/>
      <c r="AA152" s="269">
        <f>'A. Revenue by Function'!L147</f>
        <v>0</v>
      </c>
      <c r="AB152" s="137"/>
      <c r="AC152" s="265"/>
      <c r="AD152" s="45"/>
      <c r="AE152" s="45"/>
      <c r="AF152" s="265"/>
      <c r="AG152" s="45"/>
      <c r="AH152" s="264"/>
      <c r="AI152" s="45"/>
      <c r="AJ152" s="265"/>
      <c r="AK152" s="137"/>
      <c r="AL152" s="218"/>
      <c r="AM152" s="218"/>
      <c r="AN152" s="270">
        <f t="shared" ref="AN152:AN161" si="48">W152+Y152+AA152+AD152+AI152+AL152</f>
        <v>0</v>
      </c>
      <c r="AO152" s="271">
        <f t="shared" ref="AO152:AO161" si="49">X152+Z152+AB152+AG152+AK152+AM152</f>
        <v>0</v>
      </c>
      <c r="AP152" s="192">
        <f t="shared" ref="AP152:AP165" si="50">IF(AN152-AO152&lt;0, " ",AN152-AO152)</f>
        <v>0</v>
      </c>
      <c r="AQ152" s="271">
        <f t="shared" ref="AQ152:AQ161" si="51">IF(AN152-AO152&gt;0, " ", AO152-AN152)</f>
        <v>0</v>
      </c>
      <c r="AR152" s="192"/>
      <c r="AS152" s="271"/>
      <c r="AT152" s="45"/>
      <c r="AU152" s="36"/>
      <c r="AV152" s="36"/>
      <c r="AW152" s="36"/>
      <c r="AX152" s="36"/>
    </row>
    <row r="153" spans="1:50" x14ac:dyDescent="0.2">
      <c r="B153" s="6"/>
      <c r="C153" t="s">
        <v>419</v>
      </c>
      <c r="E153" s="209"/>
      <c r="F153" s="212"/>
      <c r="G153" s="220"/>
      <c r="H153" s="220"/>
      <c r="I153" s="220"/>
      <c r="J153" s="220"/>
      <c r="K153" s="220"/>
      <c r="L153" s="535"/>
      <c r="M153" s="218"/>
      <c r="N153" s="219"/>
      <c r="O153" s="218"/>
      <c r="P153" s="218"/>
      <c r="Q153" s="218"/>
      <c r="R153" s="218"/>
      <c r="S153" s="218"/>
      <c r="T153" s="219"/>
      <c r="U153" s="192">
        <f t="shared" si="22"/>
        <v>0</v>
      </c>
      <c r="V153" s="192">
        <f t="shared" si="23"/>
        <v>0</v>
      </c>
      <c r="W153" s="270">
        <f t="shared" si="24"/>
        <v>0</v>
      </c>
      <c r="X153" s="271">
        <f t="shared" si="25"/>
        <v>0</v>
      </c>
      <c r="Y153" s="303"/>
      <c r="Z153" s="304"/>
      <c r="AA153" s="269">
        <f>'A. Revenue by Function'!L148</f>
        <v>0</v>
      </c>
      <c r="AB153" s="137"/>
      <c r="AC153" s="265"/>
      <c r="AD153" s="45"/>
      <c r="AE153" s="45"/>
      <c r="AF153" s="265"/>
      <c r="AG153" s="45"/>
      <c r="AH153" s="264"/>
      <c r="AI153" s="45"/>
      <c r="AJ153" s="265"/>
      <c r="AK153" s="137"/>
      <c r="AL153" s="218"/>
      <c r="AM153" s="218"/>
      <c r="AN153" s="270">
        <f t="shared" si="48"/>
        <v>0</v>
      </c>
      <c r="AO153" s="271">
        <f t="shared" si="49"/>
        <v>0</v>
      </c>
      <c r="AP153" s="192">
        <f t="shared" si="50"/>
        <v>0</v>
      </c>
      <c r="AQ153" s="271"/>
      <c r="AR153" s="192"/>
      <c r="AS153" s="271"/>
      <c r="AT153" s="45"/>
      <c r="AU153" s="36"/>
      <c r="AV153" s="36"/>
      <c r="AW153" s="36"/>
      <c r="AX153" s="36"/>
    </row>
    <row r="154" spans="1:50" x14ac:dyDescent="0.2">
      <c r="B154" s="6"/>
      <c r="C154" t="s">
        <v>418</v>
      </c>
      <c r="E154" s="209"/>
      <c r="F154" s="212"/>
      <c r="G154" s="220"/>
      <c r="H154" s="220"/>
      <c r="I154" s="220"/>
      <c r="J154" s="220"/>
      <c r="K154" s="220"/>
      <c r="L154" s="220"/>
      <c r="M154" s="218"/>
      <c r="N154" s="219"/>
      <c r="O154" s="218"/>
      <c r="P154" s="218"/>
      <c r="Q154" s="218"/>
      <c r="R154" s="218"/>
      <c r="S154" s="218"/>
      <c r="T154" s="219"/>
      <c r="U154" s="192">
        <f t="shared" si="22"/>
        <v>0</v>
      </c>
      <c r="V154" s="192">
        <f t="shared" si="23"/>
        <v>0</v>
      </c>
      <c r="W154" s="270">
        <f t="shared" si="24"/>
        <v>0</v>
      </c>
      <c r="X154" s="271">
        <f t="shared" si="25"/>
        <v>0</v>
      </c>
      <c r="Y154" s="303"/>
      <c r="Z154" s="304"/>
      <c r="AA154" s="269">
        <f>'A. Revenue by Function'!L149</f>
        <v>0</v>
      </c>
      <c r="AB154" s="137"/>
      <c r="AC154" s="265"/>
      <c r="AD154" s="45"/>
      <c r="AE154" s="45"/>
      <c r="AF154" s="265"/>
      <c r="AG154" s="45"/>
      <c r="AH154" s="264"/>
      <c r="AI154" s="45"/>
      <c r="AJ154" s="265"/>
      <c r="AK154" s="137"/>
      <c r="AL154" s="218"/>
      <c r="AM154" s="218"/>
      <c r="AN154" s="270">
        <f t="shared" si="48"/>
        <v>0</v>
      </c>
      <c r="AO154" s="271">
        <f t="shared" si="49"/>
        <v>0</v>
      </c>
      <c r="AP154" s="192">
        <f t="shared" si="50"/>
        <v>0</v>
      </c>
      <c r="AQ154" s="271">
        <f t="shared" si="51"/>
        <v>0</v>
      </c>
      <c r="AR154" s="192"/>
      <c r="AS154" s="271"/>
      <c r="AT154" s="45"/>
      <c r="AU154" s="36"/>
      <c r="AV154" s="36"/>
      <c r="AW154" s="36"/>
      <c r="AX154" s="36"/>
    </row>
    <row r="155" spans="1:50" x14ac:dyDescent="0.2">
      <c r="B155" s="6"/>
      <c r="C155" s="12" t="s">
        <v>143</v>
      </c>
      <c r="D155" s="12"/>
      <c r="E155" s="209"/>
      <c r="F155" s="212"/>
      <c r="G155" s="220"/>
      <c r="H155" s="220"/>
      <c r="I155" s="220"/>
      <c r="J155" s="220"/>
      <c r="K155" s="220"/>
      <c r="L155" s="220"/>
      <c r="M155" s="218"/>
      <c r="N155" s="219"/>
      <c r="O155" s="218"/>
      <c r="P155" s="218"/>
      <c r="Q155" s="218"/>
      <c r="R155" s="218"/>
      <c r="S155" s="218"/>
      <c r="T155" s="219"/>
      <c r="U155" s="192">
        <f t="shared" si="22"/>
        <v>0</v>
      </c>
      <c r="V155" s="192">
        <f t="shared" si="23"/>
        <v>0</v>
      </c>
      <c r="W155" s="270">
        <f t="shared" si="24"/>
        <v>0</v>
      </c>
      <c r="X155" s="271">
        <f t="shared" si="25"/>
        <v>0</v>
      </c>
      <c r="Y155" s="304"/>
      <c r="Z155" s="304"/>
      <c r="AA155" s="269"/>
      <c r="AB155" s="137"/>
      <c r="AC155" s="265"/>
      <c r="AD155" s="45"/>
      <c r="AE155" s="45"/>
      <c r="AF155" s="265"/>
      <c r="AG155" s="45"/>
      <c r="AH155" s="264" t="str">
        <f>'I. Eliminations-Consolidations'!A250</f>
        <v>I.7</v>
      </c>
      <c r="AI155" s="45">
        <f>'I. Eliminations-Consolidations'!J268</f>
        <v>0</v>
      </c>
      <c r="AJ155" s="265"/>
      <c r="AK155" s="137"/>
      <c r="AL155" s="218"/>
      <c r="AM155" s="218"/>
      <c r="AN155" s="270">
        <f t="shared" si="48"/>
        <v>0</v>
      </c>
      <c r="AO155" s="271">
        <f t="shared" si="49"/>
        <v>0</v>
      </c>
      <c r="AP155" s="192">
        <f t="shared" si="50"/>
        <v>0</v>
      </c>
      <c r="AQ155" s="271">
        <f t="shared" si="51"/>
        <v>0</v>
      </c>
      <c r="AR155" s="192"/>
      <c r="AS155" s="271"/>
      <c r="AT155" s="45"/>
      <c r="AU155" s="36"/>
      <c r="AV155" s="36"/>
      <c r="AW155" s="36"/>
      <c r="AX155" s="36"/>
    </row>
    <row r="156" spans="1:50" x14ac:dyDescent="0.2">
      <c r="B156" s="6"/>
      <c r="C156" s="12" t="s">
        <v>579</v>
      </c>
      <c r="D156" s="12"/>
      <c r="E156" s="272"/>
      <c r="F156" s="220"/>
      <c r="G156" s="220"/>
      <c r="H156" s="220"/>
      <c r="I156" s="220"/>
      <c r="J156" s="220"/>
      <c r="K156" s="220"/>
      <c r="L156" s="220"/>
      <c r="M156" s="218"/>
      <c r="N156" s="219"/>
      <c r="O156" s="218"/>
      <c r="P156" s="218"/>
      <c r="Q156" s="218"/>
      <c r="R156" s="218"/>
      <c r="S156" s="218"/>
      <c r="T156" s="219"/>
      <c r="U156" s="192">
        <f t="shared" si="22"/>
        <v>0</v>
      </c>
      <c r="V156" s="192">
        <f t="shared" si="23"/>
        <v>0</v>
      </c>
      <c r="W156" s="270">
        <f t="shared" si="24"/>
        <v>0</v>
      </c>
      <c r="X156" s="271">
        <f t="shared" si="25"/>
        <v>0</v>
      </c>
      <c r="Y156" s="304"/>
      <c r="Z156" s="304"/>
      <c r="AA156" s="269">
        <f>'A. Revenue by Function'!L150</f>
        <v>0</v>
      </c>
      <c r="AB156" s="137"/>
      <c r="AC156" s="265"/>
      <c r="AD156" s="45"/>
      <c r="AE156" s="45"/>
      <c r="AF156" s="265"/>
      <c r="AG156" s="45"/>
      <c r="AH156" s="264"/>
      <c r="AI156" s="45"/>
      <c r="AJ156" s="265"/>
      <c r="AK156" s="137"/>
      <c r="AL156" s="218"/>
      <c r="AM156" s="218"/>
      <c r="AN156" s="270">
        <f t="shared" si="48"/>
        <v>0</v>
      </c>
      <c r="AO156" s="271">
        <f t="shared" si="49"/>
        <v>0</v>
      </c>
      <c r="AP156" s="192">
        <f t="shared" si="50"/>
        <v>0</v>
      </c>
      <c r="AQ156" s="271">
        <f t="shared" si="51"/>
        <v>0</v>
      </c>
      <c r="AR156" s="192"/>
      <c r="AS156" s="271"/>
      <c r="AT156" s="45"/>
      <c r="AU156" s="36"/>
      <c r="AV156" s="36"/>
      <c r="AW156" s="36"/>
      <c r="AX156" s="36"/>
    </row>
    <row r="157" spans="1:50" x14ac:dyDescent="0.2">
      <c r="B157" s="6"/>
      <c r="C157" s="12" t="s">
        <v>555</v>
      </c>
      <c r="D157" s="12"/>
      <c r="E157" s="272"/>
      <c r="F157" s="535"/>
      <c r="G157" s="220"/>
      <c r="H157" s="220"/>
      <c r="I157" s="220"/>
      <c r="J157" s="220"/>
      <c r="K157" s="220"/>
      <c r="L157" s="220"/>
      <c r="M157" s="218"/>
      <c r="N157" s="219"/>
      <c r="O157" s="218"/>
      <c r="P157" s="218"/>
      <c r="Q157" s="218"/>
      <c r="R157" s="218"/>
      <c r="S157" s="218"/>
      <c r="T157" s="219"/>
      <c r="U157" s="192">
        <f t="shared" si="22"/>
        <v>0</v>
      </c>
      <c r="V157" s="192">
        <f t="shared" si="23"/>
        <v>0</v>
      </c>
      <c r="W157" s="270">
        <f t="shared" si="24"/>
        <v>0</v>
      </c>
      <c r="X157" s="271">
        <f t="shared" si="25"/>
        <v>0</v>
      </c>
      <c r="Y157" s="304"/>
      <c r="Z157" s="304"/>
      <c r="AA157" s="269">
        <f>'A. Revenue by Function'!L151</f>
        <v>0</v>
      </c>
      <c r="AB157" s="137"/>
      <c r="AC157" s="265"/>
      <c r="AD157" s="45"/>
      <c r="AE157" s="45"/>
      <c r="AF157" s="265"/>
      <c r="AG157" s="45"/>
      <c r="AH157" s="264"/>
      <c r="AI157" s="45"/>
      <c r="AJ157" s="265"/>
      <c r="AK157" s="137"/>
      <c r="AL157" s="218"/>
      <c r="AM157" s="218"/>
      <c r="AN157" s="270">
        <f t="shared" si="48"/>
        <v>0</v>
      </c>
      <c r="AO157" s="271">
        <f t="shared" si="49"/>
        <v>0</v>
      </c>
      <c r="AP157" s="192">
        <f t="shared" si="50"/>
        <v>0</v>
      </c>
      <c r="AQ157" s="271">
        <f t="shared" si="51"/>
        <v>0</v>
      </c>
      <c r="AR157" s="192"/>
      <c r="AS157" s="271"/>
      <c r="AT157" s="45"/>
      <c r="AU157" s="36"/>
      <c r="AV157" s="36"/>
      <c r="AW157" s="36"/>
      <c r="AX157" s="36"/>
    </row>
    <row r="158" spans="1:50" x14ac:dyDescent="0.2">
      <c r="B158" s="6"/>
      <c r="C158" s="291" t="s">
        <v>506</v>
      </c>
      <c r="D158" s="291"/>
      <c r="E158" s="272"/>
      <c r="F158" s="220"/>
      <c r="G158" s="220"/>
      <c r="H158" s="220"/>
      <c r="I158" s="220"/>
      <c r="J158" s="220"/>
      <c r="K158" s="220"/>
      <c r="L158" s="220"/>
      <c r="M158" s="218"/>
      <c r="N158" s="219"/>
      <c r="O158" s="218"/>
      <c r="P158" s="218"/>
      <c r="Q158" s="218"/>
      <c r="R158" s="218"/>
      <c r="S158" s="218"/>
      <c r="T158" s="219"/>
      <c r="U158" s="192">
        <f t="shared" si="22"/>
        <v>0</v>
      </c>
      <c r="V158" s="192">
        <f t="shared" si="23"/>
        <v>0</v>
      </c>
      <c r="W158" s="270">
        <f t="shared" si="24"/>
        <v>0</v>
      </c>
      <c r="X158" s="271">
        <f t="shared" si="25"/>
        <v>0</v>
      </c>
      <c r="Y158" s="304"/>
      <c r="Z158" s="304"/>
      <c r="AA158" s="269">
        <f>'A. Revenue by Function'!L152</f>
        <v>0</v>
      </c>
      <c r="AB158" s="137"/>
      <c r="AC158" s="265"/>
      <c r="AD158" s="45"/>
      <c r="AE158" s="45"/>
      <c r="AF158" s="265"/>
      <c r="AG158" s="45"/>
      <c r="AH158" s="264"/>
      <c r="AI158" s="45"/>
      <c r="AJ158" s="265"/>
      <c r="AK158" s="137"/>
      <c r="AL158" s="218"/>
      <c r="AM158" s="218"/>
      <c r="AN158" s="270">
        <f t="shared" si="48"/>
        <v>0</v>
      </c>
      <c r="AO158" s="271">
        <f t="shared" si="49"/>
        <v>0</v>
      </c>
      <c r="AP158" s="192">
        <f t="shared" si="50"/>
        <v>0</v>
      </c>
      <c r="AQ158" s="271">
        <f t="shared" si="51"/>
        <v>0</v>
      </c>
      <c r="AR158" s="192"/>
      <c r="AS158" s="271"/>
      <c r="AT158" s="45"/>
      <c r="AU158" s="36"/>
      <c r="AV158" s="36"/>
      <c r="AW158" s="36"/>
      <c r="AX158" s="36"/>
    </row>
    <row r="159" spans="1:50" x14ac:dyDescent="0.2">
      <c r="B159" s="6"/>
      <c r="C159" s="291" t="s">
        <v>507</v>
      </c>
      <c r="D159" s="291"/>
      <c r="E159" s="272"/>
      <c r="F159" s="218"/>
      <c r="G159" s="218"/>
      <c r="H159" s="218"/>
      <c r="I159" s="218"/>
      <c r="J159" s="218"/>
      <c r="K159" s="218"/>
      <c r="L159" s="218"/>
      <c r="M159" s="218"/>
      <c r="N159" s="219"/>
      <c r="O159" s="218"/>
      <c r="P159" s="218"/>
      <c r="Q159" s="218"/>
      <c r="R159" s="218"/>
      <c r="S159" s="218"/>
      <c r="T159" s="219"/>
      <c r="U159" s="192">
        <f t="shared" si="22"/>
        <v>0</v>
      </c>
      <c r="V159" s="192">
        <f t="shared" si="23"/>
        <v>0</v>
      </c>
      <c r="W159" s="270">
        <f t="shared" si="24"/>
        <v>0</v>
      </c>
      <c r="X159" s="271">
        <f t="shared" si="25"/>
        <v>0</v>
      </c>
      <c r="Y159" s="304"/>
      <c r="Z159" s="304"/>
      <c r="AA159" s="269">
        <f>'A. Revenue by Function'!L153</f>
        <v>0</v>
      </c>
      <c r="AB159" s="137"/>
      <c r="AC159" s="265"/>
      <c r="AD159" s="45"/>
      <c r="AE159" s="45"/>
      <c r="AF159" s="265"/>
      <c r="AG159" s="45"/>
      <c r="AH159" s="264"/>
      <c r="AI159" s="45"/>
      <c r="AJ159" s="265"/>
      <c r="AK159" s="137"/>
      <c r="AL159" s="218"/>
      <c r="AM159" s="218"/>
      <c r="AN159" s="270">
        <f t="shared" si="48"/>
        <v>0</v>
      </c>
      <c r="AO159" s="271">
        <f t="shared" si="49"/>
        <v>0</v>
      </c>
      <c r="AP159" s="192">
        <f t="shared" si="50"/>
        <v>0</v>
      </c>
      <c r="AQ159" s="271">
        <f t="shared" si="51"/>
        <v>0</v>
      </c>
      <c r="AR159" s="192"/>
      <c r="AS159" s="271"/>
      <c r="AT159" s="45"/>
      <c r="AU159" s="36"/>
      <c r="AV159" s="36"/>
      <c r="AW159" s="36"/>
      <c r="AX159" s="36"/>
    </row>
    <row r="160" spans="1:50" x14ac:dyDescent="0.2">
      <c r="B160" s="6"/>
      <c r="C160" s="342" t="s">
        <v>472</v>
      </c>
      <c r="D160" s="342"/>
      <c r="E160" s="345"/>
      <c r="F160" s="293"/>
      <c r="G160" s="293"/>
      <c r="H160" s="218"/>
      <c r="I160" s="218"/>
      <c r="J160" s="218"/>
      <c r="K160" s="218"/>
      <c r="L160" s="218"/>
      <c r="M160" s="218"/>
      <c r="N160" s="219"/>
      <c r="O160" s="218"/>
      <c r="P160" s="218"/>
      <c r="Q160" s="218"/>
      <c r="R160" s="218"/>
      <c r="S160" s="218"/>
      <c r="T160" s="219"/>
      <c r="U160" s="192">
        <f t="shared" si="22"/>
        <v>0</v>
      </c>
      <c r="V160" s="192">
        <f t="shared" si="23"/>
        <v>0</v>
      </c>
      <c r="W160" s="270">
        <f t="shared" si="24"/>
        <v>0</v>
      </c>
      <c r="X160" s="271">
        <f t="shared" si="25"/>
        <v>0</v>
      </c>
      <c r="Y160" s="304"/>
      <c r="Z160" s="304"/>
      <c r="AA160" s="269">
        <f>'A. Revenue by Function'!L154</f>
        <v>0</v>
      </c>
      <c r="AB160" s="137"/>
      <c r="AC160" s="265"/>
      <c r="AD160" s="45"/>
      <c r="AE160" s="45"/>
      <c r="AF160" s="265"/>
      <c r="AG160" s="45"/>
      <c r="AH160" s="264"/>
      <c r="AI160" s="45"/>
      <c r="AJ160" s="265"/>
      <c r="AK160" s="137"/>
      <c r="AL160" s="218"/>
      <c r="AM160" s="218"/>
      <c r="AN160" s="270">
        <f t="shared" si="48"/>
        <v>0</v>
      </c>
      <c r="AO160" s="271">
        <f t="shared" si="49"/>
        <v>0</v>
      </c>
      <c r="AP160" s="192">
        <f t="shared" si="50"/>
        <v>0</v>
      </c>
      <c r="AQ160" s="271">
        <f t="shared" si="51"/>
        <v>0</v>
      </c>
      <c r="AR160" s="192"/>
      <c r="AS160" s="271"/>
      <c r="AT160" s="45"/>
      <c r="AU160" s="36"/>
      <c r="AV160" s="36"/>
      <c r="AW160" s="36"/>
      <c r="AX160" s="36"/>
    </row>
    <row r="161" spans="1:50" x14ac:dyDescent="0.2">
      <c r="B161" s="6"/>
      <c r="C161" s="342" t="s">
        <v>473</v>
      </c>
      <c r="D161" s="342"/>
      <c r="E161" s="345"/>
      <c r="F161" s="293"/>
      <c r="G161" s="293"/>
      <c r="H161" s="218"/>
      <c r="I161" s="218"/>
      <c r="J161" s="218"/>
      <c r="K161" s="218"/>
      <c r="L161" s="218"/>
      <c r="M161" s="218"/>
      <c r="N161" s="219"/>
      <c r="O161" s="218"/>
      <c r="P161" s="218"/>
      <c r="Q161" s="218"/>
      <c r="R161" s="218"/>
      <c r="S161" s="218"/>
      <c r="T161" s="219"/>
      <c r="U161" s="192">
        <f t="shared" si="22"/>
        <v>0</v>
      </c>
      <c r="V161" s="192">
        <f t="shared" si="23"/>
        <v>0</v>
      </c>
      <c r="W161" s="270">
        <f t="shared" si="24"/>
        <v>0</v>
      </c>
      <c r="X161" s="271">
        <f t="shared" si="25"/>
        <v>0</v>
      </c>
      <c r="Y161" s="304"/>
      <c r="Z161" s="304"/>
      <c r="AA161" s="269">
        <f>'A. Revenue by Function'!L155</f>
        <v>0</v>
      </c>
      <c r="AB161" s="137"/>
      <c r="AC161" s="265"/>
      <c r="AD161" s="45"/>
      <c r="AE161" s="45"/>
      <c r="AF161" s="265"/>
      <c r="AG161" s="45"/>
      <c r="AH161" s="264"/>
      <c r="AI161" s="45"/>
      <c r="AJ161" s="265"/>
      <c r="AK161" s="137"/>
      <c r="AL161" s="218"/>
      <c r="AM161" s="218"/>
      <c r="AN161" s="270">
        <f t="shared" si="48"/>
        <v>0</v>
      </c>
      <c r="AO161" s="271">
        <f t="shared" si="49"/>
        <v>0</v>
      </c>
      <c r="AP161" s="192">
        <f t="shared" si="50"/>
        <v>0</v>
      </c>
      <c r="AQ161" s="271">
        <f t="shared" si="51"/>
        <v>0</v>
      </c>
      <c r="AR161" s="192"/>
      <c r="AS161" s="271"/>
      <c r="AT161" s="45"/>
      <c r="AU161" s="36"/>
      <c r="AV161" s="36"/>
      <c r="AW161" s="36"/>
      <c r="AX161" s="36"/>
    </row>
    <row r="162" spans="1:50" ht="4.5" customHeight="1" x14ac:dyDescent="0.2">
      <c r="A162" s="12"/>
      <c r="B162" s="117"/>
      <c r="C162" s="12"/>
      <c r="D162" s="12"/>
      <c r="E162" s="310"/>
      <c r="F162" s="416"/>
      <c r="G162" s="304"/>
      <c r="H162" s="304"/>
      <c r="I162" s="304"/>
      <c r="J162" s="304"/>
      <c r="K162" s="304"/>
      <c r="L162" s="304"/>
      <c r="M162" s="304"/>
      <c r="N162" s="417"/>
      <c r="O162" s="304"/>
      <c r="P162" s="304"/>
      <c r="Q162" s="304"/>
      <c r="R162" s="304"/>
      <c r="S162" s="304"/>
      <c r="T162" s="417"/>
      <c r="U162" s="192"/>
      <c r="V162" s="192"/>
      <c r="W162" s="270"/>
      <c r="X162" s="271"/>
      <c r="Y162" s="304"/>
      <c r="Z162" s="304"/>
      <c r="AA162" s="269"/>
      <c r="AB162" s="137"/>
      <c r="AC162" s="265"/>
      <c r="AD162" s="45"/>
      <c r="AE162" s="45"/>
      <c r="AF162" s="265"/>
      <c r="AG162" s="45"/>
      <c r="AH162" s="264"/>
      <c r="AI162" s="45"/>
      <c r="AJ162" s="265"/>
      <c r="AK162" s="137"/>
      <c r="AL162" s="218"/>
      <c r="AM162" s="218"/>
      <c r="AN162" s="270"/>
      <c r="AO162" s="271"/>
      <c r="AP162" s="192"/>
      <c r="AQ162" s="271"/>
      <c r="AR162" s="192"/>
      <c r="AS162" s="271"/>
      <c r="AT162" s="45"/>
      <c r="AU162" s="36"/>
      <c r="AV162" s="36"/>
      <c r="AW162" s="36"/>
      <c r="AX162" s="36"/>
    </row>
    <row r="163" spans="1:50" ht="4.5" customHeight="1" x14ac:dyDescent="0.2">
      <c r="E163" s="310"/>
      <c r="F163" s="416"/>
      <c r="G163" s="304"/>
      <c r="H163" s="304"/>
      <c r="I163" s="304"/>
      <c r="J163" s="304"/>
      <c r="K163" s="304"/>
      <c r="L163" s="304"/>
      <c r="M163" s="304"/>
      <c r="N163" s="417"/>
      <c r="O163" s="304"/>
      <c r="P163" s="304"/>
      <c r="Q163" s="304"/>
      <c r="R163" s="304"/>
      <c r="S163" s="304"/>
      <c r="T163" s="417"/>
      <c r="U163" s="192"/>
      <c r="V163" s="192"/>
      <c r="W163" s="270"/>
      <c r="X163" s="271"/>
      <c r="Y163" s="303"/>
      <c r="Z163" s="304"/>
      <c r="AA163" s="269"/>
      <c r="AB163" s="137"/>
      <c r="AC163" s="265"/>
      <c r="AD163" s="45"/>
      <c r="AE163" s="45"/>
      <c r="AF163" s="265"/>
      <c r="AG163" s="45"/>
      <c r="AH163" s="264"/>
      <c r="AI163" s="45"/>
      <c r="AJ163" s="265"/>
      <c r="AK163" s="137"/>
      <c r="AL163" s="218"/>
      <c r="AM163" s="218"/>
      <c r="AN163" s="270"/>
      <c r="AO163" s="271"/>
      <c r="AP163" s="192"/>
      <c r="AQ163" s="271"/>
      <c r="AR163" s="192"/>
      <c r="AS163" s="271"/>
      <c r="AT163" s="45"/>
      <c r="AU163" s="36"/>
      <c r="AV163" s="36"/>
      <c r="AW163" s="36"/>
      <c r="AX163" s="36"/>
    </row>
    <row r="164" spans="1:50" ht="12.75" customHeight="1" x14ac:dyDescent="0.2">
      <c r="B164" s="4" t="s">
        <v>508</v>
      </c>
      <c r="E164" s="310"/>
      <c r="F164" s="416"/>
      <c r="G164" s="304"/>
      <c r="H164" s="304"/>
      <c r="I164" s="304"/>
      <c r="J164" s="304"/>
      <c r="K164" s="304"/>
      <c r="L164" s="304"/>
      <c r="M164" s="304"/>
      <c r="N164" s="417"/>
      <c r="O164" s="304"/>
      <c r="P164" s="304"/>
      <c r="Q164" s="304"/>
      <c r="R164" s="304"/>
      <c r="S164" s="304"/>
      <c r="T164" s="417"/>
      <c r="U164" s="192"/>
      <c r="V164" s="192"/>
      <c r="W164" s="270"/>
      <c r="X164" s="271"/>
      <c r="Y164" s="303"/>
      <c r="Z164" s="304"/>
      <c r="AA164" s="269"/>
      <c r="AB164" s="137"/>
      <c r="AC164" s="265"/>
      <c r="AD164" s="45"/>
      <c r="AE164" s="45"/>
      <c r="AF164" s="265"/>
      <c r="AG164" s="45"/>
      <c r="AH164" s="264"/>
      <c r="AI164" s="45"/>
      <c r="AJ164" s="265"/>
      <c r="AK164" s="137"/>
      <c r="AL164" s="218"/>
      <c r="AM164" s="218"/>
      <c r="AN164" s="270"/>
      <c r="AO164" s="271"/>
      <c r="AP164" s="192"/>
      <c r="AQ164" s="271"/>
      <c r="AR164" s="192"/>
      <c r="AS164" s="271"/>
      <c r="AT164" s="45"/>
      <c r="AU164" s="36"/>
      <c r="AV164" s="36"/>
      <c r="AW164" s="36"/>
      <c r="AX164" s="36"/>
    </row>
    <row r="165" spans="1:50" ht="15" customHeight="1" x14ac:dyDescent="0.2">
      <c r="B165" s="1085" t="s">
        <v>18</v>
      </c>
      <c r="C165" t="s">
        <v>371</v>
      </c>
      <c r="E165" s="310"/>
      <c r="F165" s="416"/>
      <c r="G165" s="304"/>
      <c r="H165" s="304"/>
      <c r="I165" s="304"/>
      <c r="J165" s="304"/>
      <c r="K165" s="304"/>
      <c r="L165" s="304"/>
      <c r="M165" s="304"/>
      <c r="N165" s="417"/>
      <c r="O165" s="304"/>
      <c r="P165" s="304"/>
      <c r="Q165" s="304"/>
      <c r="R165" s="304"/>
      <c r="S165" s="304"/>
      <c r="T165" s="417"/>
      <c r="U165" s="192">
        <f t="shared" si="22"/>
        <v>0</v>
      </c>
      <c r="V165" s="192">
        <f t="shared" si="23"/>
        <v>0</v>
      </c>
      <c r="W165" s="270">
        <f t="shared" si="24"/>
        <v>0</v>
      </c>
      <c r="X165" s="271">
        <f t="shared" si="25"/>
        <v>0</v>
      </c>
      <c r="Y165" s="303"/>
      <c r="Z165" s="304"/>
      <c r="AA165" s="269"/>
      <c r="AB165" s="137">
        <f>'A. Revenue by Function'!N157</f>
        <v>0</v>
      </c>
      <c r="AC165" s="265"/>
      <c r="AD165" s="45"/>
      <c r="AE165" s="45"/>
      <c r="AF165" s="265"/>
      <c r="AG165" s="45"/>
      <c r="AH165" s="264"/>
      <c r="AI165" s="45"/>
      <c r="AJ165" s="265"/>
      <c r="AK165" s="137"/>
      <c r="AL165" s="218"/>
      <c r="AM165" s="218"/>
      <c r="AN165" s="270">
        <f>W165+Y165+AA165+AD165+AI165+AL165</f>
        <v>0</v>
      </c>
      <c r="AO165" s="271">
        <f>X165+Z165+AB165+AG165+AK165+AM165</f>
        <v>0</v>
      </c>
      <c r="AP165" s="192">
        <f t="shared" si="50"/>
        <v>0</v>
      </c>
      <c r="AQ165" s="271">
        <f>IF(AN165-AO165&gt;0, " ", AO165-AN165)</f>
        <v>0</v>
      </c>
      <c r="AR165" s="192"/>
      <c r="AS165" s="271"/>
      <c r="AT165" s="45"/>
      <c r="AU165" s="36"/>
      <c r="AV165" s="36"/>
      <c r="AW165" s="36"/>
      <c r="AX165" s="36"/>
    </row>
    <row r="166" spans="1:50" ht="15" customHeight="1" x14ac:dyDescent="0.2">
      <c r="B166" s="1085"/>
      <c r="C166" s="11" t="s">
        <v>372</v>
      </c>
      <c r="D166" s="11"/>
      <c r="E166" s="420"/>
      <c r="F166" s="318"/>
      <c r="G166" s="306"/>
      <c r="H166" s="306"/>
      <c r="I166" s="306"/>
      <c r="J166" s="306"/>
      <c r="K166" s="306"/>
      <c r="L166" s="306"/>
      <c r="M166" s="306"/>
      <c r="N166" s="421"/>
      <c r="O166" s="306"/>
      <c r="P166" s="306"/>
      <c r="Q166" s="306"/>
      <c r="R166" s="306"/>
      <c r="S166" s="306"/>
      <c r="T166" s="421"/>
      <c r="U166" s="192">
        <f t="shared" si="22"/>
        <v>0</v>
      </c>
      <c r="V166" s="192">
        <f t="shared" si="23"/>
        <v>0</v>
      </c>
      <c r="W166" s="270">
        <f t="shared" si="24"/>
        <v>0</v>
      </c>
      <c r="X166" s="271">
        <f t="shared" si="25"/>
        <v>0</v>
      </c>
      <c r="Y166" s="305"/>
      <c r="Z166" s="306"/>
      <c r="AA166" s="273"/>
      <c r="AB166" s="138">
        <f>'A. Revenue by Function'!N158</f>
        <v>0</v>
      </c>
      <c r="AC166" s="274"/>
      <c r="AD166" s="44"/>
      <c r="AE166" s="44"/>
      <c r="AF166" s="274"/>
      <c r="AG166" s="44"/>
      <c r="AH166" s="275"/>
      <c r="AI166" s="44"/>
      <c r="AJ166" s="274" t="str">
        <f>'I. Eliminations-Consolidations'!A250</f>
        <v>I.7</v>
      </c>
      <c r="AK166" s="138">
        <f>'I. Eliminations-Consolidations'!L269</f>
        <v>0</v>
      </c>
      <c r="AL166" s="220"/>
      <c r="AM166" s="220"/>
      <c r="AN166" s="270">
        <f>W166+Y166+AA166+AD166+AI166+AL166</f>
        <v>0</v>
      </c>
      <c r="AO166" s="271">
        <f>X166+Z166+AB166+AG166+AK166+AM166</f>
        <v>0</v>
      </c>
      <c r="AP166" s="192">
        <f>IF(AN166-AO166&lt;0, " ",AN166-AO166)</f>
        <v>0</v>
      </c>
      <c r="AQ166" s="271">
        <f>IF(AN166-AO166&gt;0, " ", AO166-AN166)</f>
        <v>0</v>
      </c>
      <c r="AR166" s="192"/>
      <c r="AS166" s="271"/>
      <c r="AT166" s="45"/>
      <c r="AU166" s="36"/>
      <c r="AV166" s="36"/>
      <c r="AW166" s="36"/>
      <c r="AX166" s="36"/>
    </row>
    <row r="167" spans="1:50" ht="15" customHeight="1" x14ac:dyDescent="0.2">
      <c r="B167" s="1085"/>
      <c r="C167" t="s">
        <v>373</v>
      </c>
      <c r="E167" s="310"/>
      <c r="F167" s="416"/>
      <c r="G167" s="304"/>
      <c r="H167" s="304"/>
      <c r="I167" s="304"/>
      <c r="J167" s="304"/>
      <c r="K167" s="304"/>
      <c r="L167" s="304"/>
      <c r="M167" s="304"/>
      <c r="N167" s="417"/>
      <c r="O167" s="304"/>
      <c r="P167" s="304"/>
      <c r="Q167" s="304"/>
      <c r="R167" s="304"/>
      <c r="S167" s="304"/>
      <c r="T167" s="417"/>
      <c r="U167" s="192">
        <f t="shared" si="22"/>
        <v>0</v>
      </c>
      <c r="V167" s="192">
        <f t="shared" si="23"/>
        <v>0</v>
      </c>
      <c r="W167" s="270">
        <f t="shared" si="24"/>
        <v>0</v>
      </c>
      <c r="X167" s="271">
        <f t="shared" si="25"/>
        <v>0</v>
      </c>
      <c r="Y167" s="303"/>
      <c r="Z167" s="304"/>
      <c r="AA167" s="269"/>
      <c r="AB167" s="137">
        <f>'A. Revenue by Function'!N159</f>
        <v>0</v>
      </c>
      <c r="AC167" s="265"/>
      <c r="AD167" s="45"/>
      <c r="AE167" s="45"/>
      <c r="AF167" s="265"/>
      <c r="AG167" s="45"/>
      <c r="AH167" s="264"/>
      <c r="AI167" s="45"/>
      <c r="AJ167" s="274" t="str">
        <f>'I. Eliminations-Consolidations'!A250</f>
        <v>I.7</v>
      </c>
      <c r="AK167" s="137">
        <f>'I. Eliminations-Consolidations'!L286</f>
        <v>0</v>
      </c>
      <c r="AL167" s="218"/>
      <c r="AM167" s="218"/>
      <c r="AN167" s="270">
        <f>W167+Y167+AA167+AD167+AI167+AL167</f>
        <v>0</v>
      </c>
      <c r="AO167" s="271">
        <f>X167+Z167+AB167+AG167+AK167+AM167</f>
        <v>0</v>
      </c>
      <c r="AP167" s="192">
        <f>IF(AN167-AO167&lt;0, " ",AN167-AO167)</f>
        <v>0</v>
      </c>
      <c r="AQ167" s="271">
        <f>IF(AN167-AO167&gt;0, " ", AO167-AN167)</f>
        <v>0</v>
      </c>
      <c r="AR167" s="192"/>
      <c r="AS167" s="271"/>
      <c r="AT167" s="45"/>
      <c r="AU167" s="36"/>
      <c r="AV167" s="36"/>
      <c r="AW167" s="36"/>
      <c r="AX167" s="36"/>
    </row>
    <row r="168" spans="1:50" ht="4.5" customHeight="1" x14ac:dyDescent="0.2">
      <c r="E168" s="310"/>
      <c r="F168" s="416"/>
      <c r="G168" s="304"/>
      <c r="H168" s="304"/>
      <c r="I168" s="304"/>
      <c r="J168" s="304"/>
      <c r="K168" s="304"/>
      <c r="L168" s="304"/>
      <c r="M168" s="304"/>
      <c r="N168" s="417"/>
      <c r="O168" s="304"/>
      <c r="P168" s="304"/>
      <c r="Q168" s="304"/>
      <c r="R168" s="304"/>
      <c r="S168" s="304"/>
      <c r="T168" s="417"/>
      <c r="U168" s="192"/>
      <c r="V168" s="192"/>
      <c r="W168" s="270"/>
      <c r="X168" s="271"/>
      <c r="Y168" s="303"/>
      <c r="Z168" s="304"/>
      <c r="AA168" s="269"/>
      <c r="AB168" s="137"/>
      <c r="AC168" s="265"/>
      <c r="AD168" s="45"/>
      <c r="AE168" s="45"/>
      <c r="AF168" s="265"/>
      <c r="AG168" s="45"/>
      <c r="AH168" s="264"/>
      <c r="AI168" s="45"/>
      <c r="AJ168" s="265"/>
      <c r="AK168" s="137"/>
      <c r="AL168" s="218"/>
      <c r="AM168" s="218"/>
      <c r="AN168" s="270"/>
      <c r="AO168" s="271"/>
      <c r="AP168" s="192"/>
      <c r="AQ168" s="271"/>
      <c r="AR168" s="192"/>
      <c r="AS168" s="271"/>
      <c r="AT168" s="45"/>
      <c r="AU168" s="36"/>
      <c r="AV168" s="36"/>
      <c r="AW168" s="36"/>
      <c r="AX168" s="36"/>
    </row>
    <row r="169" spans="1:50" ht="12.75" customHeight="1" x14ac:dyDescent="0.2">
      <c r="B169" s="4" t="s">
        <v>509</v>
      </c>
      <c r="E169" s="310"/>
      <c r="F169" s="416"/>
      <c r="G169" s="304"/>
      <c r="H169" s="304"/>
      <c r="I169" s="304"/>
      <c r="J169" s="304"/>
      <c r="K169" s="304"/>
      <c r="L169" s="304"/>
      <c r="M169" s="304"/>
      <c r="N169" s="417"/>
      <c r="O169" s="304"/>
      <c r="P169" s="304"/>
      <c r="Q169" s="304"/>
      <c r="R169" s="304"/>
      <c r="S169" s="304"/>
      <c r="T169" s="417"/>
      <c r="U169" s="192"/>
      <c r="V169" s="192"/>
      <c r="W169" s="270"/>
      <c r="X169" s="271"/>
      <c r="Y169" s="303"/>
      <c r="Z169" s="304"/>
      <c r="AA169" s="269"/>
      <c r="AB169" s="137"/>
      <c r="AC169" s="265"/>
      <c r="AD169" s="45"/>
      <c r="AE169" s="45"/>
      <c r="AF169" s="265"/>
      <c r="AG169" s="45"/>
      <c r="AH169" s="264"/>
      <c r="AI169" s="45"/>
      <c r="AJ169" s="265"/>
      <c r="AK169" s="137"/>
      <c r="AL169" s="218"/>
      <c r="AM169" s="218"/>
      <c r="AN169" s="270"/>
      <c r="AO169" s="271"/>
      <c r="AP169" s="192"/>
      <c r="AQ169" s="271"/>
      <c r="AR169" s="192"/>
      <c r="AS169" s="271"/>
      <c r="AT169" s="45"/>
      <c r="AU169" s="36"/>
      <c r="AV169" s="36"/>
      <c r="AW169" s="36"/>
      <c r="AX169" s="36"/>
    </row>
    <row r="170" spans="1:50" ht="15" customHeight="1" x14ac:dyDescent="0.2">
      <c r="B170" s="1085" t="s">
        <v>18</v>
      </c>
      <c r="C170" t="s">
        <v>371</v>
      </c>
      <c r="E170" s="310"/>
      <c r="F170" s="416"/>
      <c r="G170" s="304"/>
      <c r="H170" s="304"/>
      <c r="I170" s="304"/>
      <c r="J170" s="304"/>
      <c r="K170" s="304"/>
      <c r="L170" s="304"/>
      <c r="M170" s="304"/>
      <c r="N170" s="417"/>
      <c r="O170" s="304"/>
      <c r="P170" s="304"/>
      <c r="Q170" s="304"/>
      <c r="R170" s="304"/>
      <c r="S170" s="304"/>
      <c r="T170" s="417"/>
      <c r="U170" s="192">
        <f t="shared" si="22"/>
        <v>0</v>
      </c>
      <c r="V170" s="192">
        <f t="shared" si="23"/>
        <v>0</v>
      </c>
      <c r="W170" s="270">
        <f t="shared" si="24"/>
        <v>0</v>
      </c>
      <c r="X170" s="271">
        <f t="shared" si="25"/>
        <v>0</v>
      </c>
      <c r="Y170" s="303"/>
      <c r="Z170" s="304"/>
      <c r="AA170" s="269"/>
      <c r="AB170" s="137">
        <f>'A. Revenue by Function'!N161</f>
        <v>0</v>
      </c>
      <c r="AC170" s="265"/>
      <c r="AD170" s="45"/>
      <c r="AE170" s="45"/>
      <c r="AF170" s="265"/>
      <c r="AG170" s="45"/>
      <c r="AH170" s="264"/>
      <c r="AI170" s="45"/>
      <c r="AJ170" s="265"/>
      <c r="AK170" s="137"/>
      <c r="AL170" s="218"/>
      <c r="AM170" s="218"/>
      <c r="AN170" s="270">
        <f>W170+Y170+AA170+AD170+AI170+AL170</f>
        <v>0</v>
      </c>
      <c r="AO170" s="271">
        <f>X170+Z170+AB170+AG170+AK170+AM170</f>
        <v>0</v>
      </c>
      <c r="AP170" s="192">
        <f>IF(AN170-AO170&lt;0, " ",AN170-AO170)</f>
        <v>0</v>
      </c>
      <c r="AQ170" s="271">
        <f>IF(AN170-AO170&gt;0, " ", AO170-AN170)</f>
        <v>0</v>
      </c>
      <c r="AR170" s="192"/>
      <c r="AS170" s="271"/>
      <c r="AT170" s="45"/>
      <c r="AU170" s="36"/>
      <c r="AV170" s="36"/>
      <c r="AW170" s="36"/>
      <c r="AX170" s="36"/>
    </row>
    <row r="171" spans="1:50" ht="15" customHeight="1" x14ac:dyDescent="0.2">
      <c r="B171" s="1085"/>
      <c r="C171" s="11" t="s">
        <v>372</v>
      </c>
      <c r="D171" s="11"/>
      <c r="E171" s="420"/>
      <c r="F171" s="318"/>
      <c r="G171" s="306"/>
      <c r="H171" s="306"/>
      <c r="I171" s="306"/>
      <c r="J171" s="306"/>
      <c r="K171" s="306"/>
      <c r="L171" s="306"/>
      <c r="M171" s="306"/>
      <c r="N171" s="421"/>
      <c r="O171" s="306"/>
      <c r="P171" s="306"/>
      <c r="Q171" s="306"/>
      <c r="R171" s="306"/>
      <c r="S171" s="306"/>
      <c r="T171" s="421"/>
      <c r="U171" s="192">
        <f t="shared" si="22"/>
        <v>0</v>
      </c>
      <c r="V171" s="192">
        <f t="shared" si="23"/>
        <v>0</v>
      </c>
      <c r="W171" s="270">
        <f t="shared" si="24"/>
        <v>0</v>
      </c>
      <c r="X171" s="271">
        <f t="shared" si="25"/>
        <v>0</v>
      </c>
      <c r="Y171" s="305"/>
      <c r="Z171" s="306"/>
      <c r="AA171" s="273"/>
      <c r="AB171" s="138">
        <f>'A. Revenue by Function'!N162</f>
        <v>0</v>
      </c>
      <c r="AC171" s="274"/>
      <c r="AD171" s="44"/>
      <c r="AE171" s="44"/>
      <c r="AF171" s="274"/>
      <c r="AG171" s="44"/>
      <c r="AH171" s="275"/>
      <c r="AI171" s="44"/>
      <c r="AJ171" s="274" t="str">
        <f>'I. Eliminations-Consolidations'!A250</f>
        <v>I.7</v>
      </c>
      <c r="AK171" s="138">
        <f>'I. Eliminations-Consolidations'!L270</f>
        <v>0</v>
      </c>
      <c r="AL171" s="220"/>
      <c r="AM171" s="220"/>
      <c r="AN171" s="270">
        <f>W171+Y171+AA171+AD171+AI171+AL171</f>
        <v>0</v>
      </c>
      <c r="AO171" s="271">
        <f>X171+Z171+AB171+AG171+AK171+AM171</f>
        <v>0</v>
      </c>
      <c r="AP171" s="192" t="str">
        <f>IF(AN171-AO171&lt;=0, " ",AN171-AO171)</f>
        <v xml:space="preserve"> </v>
      </c>
      <c r="AQ171" s="271" t="str">
        <f>IF(AN171-AO171&gt;=0, " ", AO171-AN171)</f>
        <v xml:space="preserve"> </v>
      </c>
      <c r="AR171" s="192"/>
      <c r="AS171" s="271"/>
      <c r="AT171" s="45"/>
      <c r="AU171" s="36"/>
      <c r="AV171" s="36"/>
      <c r="AW171" s="36"/>
      <c r="AX171" s="36"/>
    </row>
    <row r="172" spans="1:50" ht="15" customHeight="1" x14ac:dyDescent="0.2">
      <c r="B172" s="1085"/>
      <c r="C172" s="11" t="s">
        <v>373</v>
      </c>
      <c r="D172" s="11"/>
      <c r="E172" s="420"/>
      <c r="F172" s="318"/>
      <c r="G172" s="306"/>
      <c r="H172" s="306"/>
      <c r="I172" s="306"/>
      <c r="J172" s="306"/>
      <c r="K172" s="306"/>
      <c r="L172" s="306"/>
      <c r="M172" s="306"/>
      <c r="N172" s="421"/>
      <c r="O172" s="306"/>
      <c r="P172" s="306"/>
      <c r="Q172" s="306"/>
      <c r="R172" s="306"/>
      <c r="S172" s="306"/>
      <c r="T172" s="421"/>
      <c r="U172" s="192">
        <f t="shared" si="22"/>
        <v>0</v>
      </c>
      <c r="V172" s="192">
        <f t="shared" si="23"/>
        <v>0</v>
      </c>
      <c r="W172" s="270">
        <f t="shared" si="24"/>
        <v>0</v>
      </c>
      <c r="X172" s="271">
        <f t="shared" si="25"/>
        <v>0</v>
      </c>
      <c r="Y172" s="305"/>
      <c r="Z172" s="306"/>
      <c r="AA172" s="273"/>
      <c r="AB172" s="138">
        <f>'A. Revenue by Function'!N163</f>
        <v>0</v>
      </c>
      <c r="AC172" s="274"/>
      <c r="AD172" s="44"/>
      <c r="AE172" s="44"/>
      <c r="AF172" s="274"/>
      <c r="AG172" s="44"/>
      <c r="AH172" s="275"/>
      <c r="AI172" s="44"/>
      <c r="AJ172" s="274" t="str">
        <f>'I. Eliminations-Consolidations'!A250</f>
        <v>I.7</v>
      </c>
      <c r="AK172" s="138">
        <f>'I. Eliminations-Consolidations'!L287</f>
        <v>0</v>
      </c>
      <c r="AL172" s="220"/>
      <c r="AM172" s="220"/>
      <c r="AN172" s="270">
        <f>W172+Y172+AA172+AD172+AI172+AL172</f>
        <v>0</v>
      </c>
      <c r="AO172" s="271">
        <f>X172+Z172+AB172+AG172+AK172+AM172</f>
        <v>0</v>
      </c>
      <c r="AP172" s="192">
        <f>IF(AN172-AO172&lt;0, " ",AN172-AO172)</f>
        <v>0</v>
      </c>
      <c r="AQ172" s="271">
        <f>IF(AN172-AO172&gt;0, " ", AO172-AN172)</f>
        <v>0</v>
      </c>
      <c r="AR172" s="192"/>
      <c r="AS172" s="271"/>
      <c r="AT172" s="45"/>
      <c r="AU172" s="36"/>
      <c r="AV172" s="36"/>
      <c r="AW172" s="36"/>
      <c r="AX172" s="36"/>
    </row>
    <row r="173" spans="1:50" ht="4.5" customHeight="1" x14ac:dyDescent="0.2">
      <c r="C173" s="11"/>
      <c r="D173" s="11"/>
      <c r="E173" s="420"/>
      <c r="F173" s="318"/>
      <c r="G173" s="306"/>
      <c r="H173" s="306"/>
      <c r="I173" s="306"/>
      <c r="J173" s="306"/>
      <c r="K173" s="306"/>
      <c r="L173" s="306"/>
      <c r="M173" s="306"/>
      <c r="N173" s="421"/>
      <c r="O173" s="306"/>
      <c r="P173" s="306"/>
      <c r="Q173" s="306"/>
      <c r="R173" s="306"/>
      <c r="S173" s="306"/>
      <c r="T173" s="421"/>
      <c r="U173" s="192"/>
      <c r="V173" s="192"/>
      <c r="W173" s="270"/>
      <c r="X173" s="271"/>
      <c r="Y173" s="305"/>
      <c r="Z173" s="306"/>
      <c r="AA173" s="273"/>
      <c r="AB173" s="138"/>
      <c r="AC173" s="274"/>
      <c r="AD173" s="44"/>
      <c r="AE173" s="44"/>
      <c r="AF173" s="274"/>
      <c r="AG173" s="44"/>
      <c r="AH173" s="275"/>
      <c r="AI173" s="44"/>
      <c r="AJ173" s="274"/>
      <c r="AK173" s="138"/>
      <c r="AL173" s="220"/>
      <c r="AM173" s="220"/>
      <c r="AN173" s="270"/>
      <c r="AO173" s="271"/>
      <c r="AP173" s="192"/>
      <c r="AQ173" s="271"/>
      <c r="AR173" s="192"/>
      <c r="AS173" s="271"/>
      <c r="AT173" s="45"/>
      <c r="AU173" s="36"/>
      <c r="AV173" s="36"/>
      <c r="AW173" s="36"/>
      <c r="AX173" s="36"/>
    </row>
    <row r="174" spans="1:50" ht="12.75" customHeight="1" x14ac:dyDescent="0.2">
      <c r="B174" s="4" t="s">
        <v>236</v>
      </c>
      <c r="C174" s="11"/>
      <c r="D174" s="11"/>
      <c r="E174" s="420"/>
      <c r="F174" s="318"/>
      <c r="G174" s="306"/>
      <c r="H174" s="306"/>
      <c r="I174" s="306"/>
      <c r="J174" s="306"/>
      <c r="K174" s="306"/>
      <c r="L174" s="306"/>
      <c r="M174" s="306"/>
      <c r="N174" s="421"/>
      <c r="O174" s="306"/>
      <c r="P174" s="306"/>
      <c r="Q174" s="306"/>
      <c r="R174" s="306"/>
      <c r="S174" s="306"/>
      <c r="T174" s="421"/>
      <c r="U174" s="192"/>
      <c r="V174" s="192"/>
      <c r="W174" s="270"/>
      <c r="X174" s="271"/>
      <c r="Y174" s="305"/>
      <c r="Z174" s="306"/>
      <c r="AA174" s="273"/>
      <c r="AB174" s="138"/>
      <c r="AC174" s="274"/>
      <c r="AD174" s="44"/>
      <c r="AE174" s="44"/>
      <c r="AF174" s="274"/>
      <c r="AG174" s="44"/>
      <c r="AH174" s="275"/>
      <c r="AI174" s="44"/>
      <c r="AJ174" s="274"/>
      <c r="AK174" s="138"/>
      <c r="AL174" s="220"/>
      <c r="AM174" s="220"/>
      <c r="AN174" s="270"/>
      <c r="AO174" s="271"/>
      <c r="AP174" s="192"/>
      <c r="AQ174" s="271"/>
      <c r="AR174" s="192"/>
      <c r="AS174" s="271"/>
      <c r="AT174" s="45"/>
      <c r="AU174" s="36"/>
      <c r="AV174" s="36"/>
      <c r="AW174" s="36"/>
      <c r="AX174" s="36"/>
    </row>
    <row r="175" spans="1:50" ht="15" customHeight="1" x14ac:dyDescent="0.2">
      <c r="B175" s="1085" t="s">
        <v>18</v>
      </c>
      <c r="C175" s="11" t="s">
        <v>371</v>
      </c>
      <c r="D175" s="11"/>
      <c r="E175" s="420"/>
      <c r="F175" s="318"/>
      <c r="G175" s="306"/>
      <c r="H175" s="306"/>
      <c r="I175" s="306"/>
      <c r="J175" s="306"/>
      <c r="K175" s="306"/>
      <c r="L175" s="306"/>
      <c r="M175" s="306"/>
      <c r="N175" s="421"/>
      <c r="O175" s="306"/>
      <c r="P175" s="306"/>
      <c r="Q175" s="306"/>
      <c r="R175" s="306"/>
      <c r="S175" s="306"/>
      <c r="T175" s="421"/>
      <c r="U175" s="192">
        <f t="shared" ref="U175:U216" si="52">O175+Q175+S175</f>
        <v>0</v>
      </c>
      <c r="V175" s="192">
        <f t="shared" ref="V175:V216" si="53">P175+R175+T175</f>
        <v>0</v>
      </c>
      <c r="W175" s="270">
        <f t="shared" ref="W175:X217" si="54">E175+G175+I175+K175+M175+U175</f>
        <v>0</v>
      </c>
      <c r="X175" s="271">
        <f t="shared" si="54"/>
        <v>0</v>
      </c>
      <c r="Y175" s="305"/>
      <c r="Z175" s="306"/>
      <c r="AA175" s="273"/>
      <c r="AB175" s="138">
        <f>'A. Revenue by Function'!N165</f>
        <v>0</v>
      </c>
      <c r="AC175" s="274"/>
      <c r="AD175" s="44"/>
      <c r="AE175" s="44"/>
      <c r="AF175" s="274"/>
      <c r="AG175" s="44"/>
      <c r="AH175" s="275"/>
      <c r="AI175" s="44"/>
      <c r="AJ175" s="274"/>
      <c r="AK175" s="138"/>
      <c r="AL175" s="220"/>
      <c r="AM175" s="220"/>
      <c r="AN175" s="270">
        <f>W175+Y175+AA175+AD175+AI175+AL175</f>
        <v>0</v>
      </c>
      <c r="AO175" s="271">
        <f>X175+Z175+AB175+AG175+AK175+AM175</f>
        <v>0</v>
      </c>
      <c r="AP175" s="192">
        <f>IF(AN175-AO175&lt;0, " ",AN175-AO175)</f>
        <v>0</v>
      </c>
      <c r="AQ175" s="271">
        <f>IF(AN175-AO175&gt;0, " ", AO175-AN175)</f>
        <v>0</v>
      </c>
      <c r="AR175" s="192"/>
      <c r="AS175" s="271"/>
      <c r="AT175" s="45"/>
      <c r="AU175" s="36"/>
      <c r="AV175" s="36"/>
      <c r="AW175" s="36"/>
      <c r="AX175" s="36"/>
    </row>
    <row r="176" spans="1:50" ht="15" customHeight="1" x14ac:dyDescent="0.2">
      <c r="B176" s="1085"/>
      <c r="C176" s="11" t="s">
        <v>372</v>
      </c>
      <c r="D176" s="11"/>
      <c r="E176" s="420"/>
      <c r="F176" s="318"/>
      <c r="G176" s="306"/>
      <c r="H176" s="306"/>
      <c r="I176" s="306"/>
      <c r="J176" s="306"/>
      <c r="K176" s="306"/>
      <c r="L176" s="306"/>
      <c r="M176" s="306"/>
      <c r="N176" s="421"/>
      <c r="O176" s="306"/>
      <c r="P176" s="306"/>
      <c r="Q176" s="306"/>
      <c r="R176" s="306"/>
      <c r="S176" s="306"/>
      <c r="T176" s="421"/>
      <c r="U176" s="192">
        <f t="shared" si="52"/>
        <v>0</v>
      </c>
      <c r="V176" s="192">
        <f t="shared" si="53"/>
        <v>0</v>
      </c>
      <c r="W176" s="270">
        <f t="shared" si="54"/>
        <v>0</v>
      </c>
      <c r="X176" s="271">
        <f t="shared" si="54"/>
        <v>0</v>
      </c>
      <c r="Y176" s="305"/>
      <c r="Z176" s="306"/>
      <c r="AA176" s="273"/>
      <c r="AB176" s="138">
        <f>'A. Revenue by Function'!N166</f>
        <v>0</v>
      </c>
      <c r="AC176" s="274"/>
      <c r="AD176" s="44"/>
      <c r="AE176" s="44"/>
      <c r="AF176" s="274"/>
      <c r="AG176" s="44"/>
      <c r="AH176" s="275"/>
      <c r="AI176" s="44"/>
      <c r="AJ176" s="274" t="str">
        <f>'I. Eliminations-Consolidations'!A250</f>
        <v>I.7</v>
      </c>
      <c r="AK176" s="138">
        <f>'I. Eliminations-Consolidations'!L271</f>
        <v>0</v>
      </c>
      <c r="AL176" s="220"/>
      <c r="AM176" s="220"/>
      <c r="AN176" s="270">
        <f>W176+Y176+AA176+AD176+AI176+AL176</f>
        <v>0</v>
      </c>
      <c r="AO176" s="271">
        <f>X176+Z176+AB176+AG176+AK176+AM176</f>
        <v>0</v>
      </c>
      <c r="AP176" s="192" t="str">
        <f>IF(AN176-AO176&lt;=0, " ",AN176-AO176)</f>
        <v xml:space="preserve"> </v>
      </c>
      <c r="AQ176" s="271" t="str">
        <f>IF(AN176-AO176&gt;=0, " ", AO176-AN176)</f>
        <v xml:space="preserve"> </v>
      </c>
      <c r="AR176" s="192"/>
      <c r="AS176" s="271"/>
      <c r="AT176" s="45"/>
      <c r="AU176" s="36"/>
      <c r="AV176" s="36"/>
      <c r="AW176" s="36"/>
      <c r="AX176" s="36"/>
    </row>
    <row r="177" spans="2:50" ht="15" customHeight="1" x14ac:dyDescent="0.2">
      <c r="B177" s="1085"/>
      <c r="C177" t="s">
        <v>373</v>
      </c>
      <c r="E177" s="310"/>
      <c r="F177" s="416"/>
      <c r="G177" s="304"/>
      <c r="H177" s="304"/>
      <c r="I177" s="304"/>
      <c r="J177" s="304"/>
      <c r="K177" s="304"/>
      <c r="L177" s="304"/>
      <c r="M177" s="304"/>
      <c r="N177" s="417"/>
      <c r="O177" s="304"/>
      <c r="P177" s="304"/>
      <c r="Q177" s="304"/>
      <c r="R177" s="304"/>
      <c r="S177" s="304"/>
      <c r="T177" s="417"/>
      <c r="U177" s="192">
        <f t="shared" si="52"/>
        <v>0</v>
      </c>
      <c r="V177" s="192">
        <f t="shared" si="53"/>
        <v>0</v>
      </c>
      <c r="W177" s="270">
        <f t="shared" si="54"/>
        <v>0</v>
      </c>
      <c r="X177" s="271">
        <f t="shared" si="54"/>
        <v>0</v>
      </c>
      <c r="Y177" s="303"/>
      <c r="Z177" s="304"/>
      <c r="AA177" s="269"/>
      <c r="AB177" s="137">
        <f>'A. Revenue by Function'!N167</f>
        <v>0</v>
      </c>
      <c r="AC177" s="265"/>
      <c r="AD177" s="45"/>
      <c r="AE177" s="45"/>
      <c r="AF177" s="265"/>
      <c r="AG177" s="45"/>
      <c r="AH177" s="264"/>
      <c r="AI177" s="45"/>
      <c r="AJ177" s="274" t="str">
        <f>'I. Eliminations-Consolidations'!A250</f>
        <v>I.7</v>
      </c>
      <c r="AK177" s="137">
        <f>'I. Eliminations-Consolidations'!L288</f>
        <v>0</v>
      </c>
      <c r="AL177" s="218"/>
      <c r="AM177" s="218"/>
      <c r="AN177" s="270">
        <f>W177+Y177+AA177+AD177+AI177+AL177</f>
        <v>0</v>
      </c>
      <c r="AO177" s="271">
        <f>X177+Z177+AB177+AG177+AK177+AM177</f>
        <v>0</v>
      </c>
      <c r="AP177" s="192">
        <f>IF(AN177-AO177&lt;0, " ",AN177-AO177)</f>
        <v>0</v>
      </c>
      <c r="AQ177" s="271">
        <f>IF(AN177-AO177&gt;0, " ", AO177-AN177)</f>
        <v>0</v>
      </c>
      <c r="AR177" s="192"/>
      <c r="AS177" s="271"/>
      <c r="AT177" s="45"/>
      <c r="AU177" s="36"/>
      <c r="AV177" s="36"/>
      <c r="AW177" s="36"/>
      <c r="AX177" s="36"/>
    </row>
    <row r="178" spans="2:50" ht="4.5" customHeight="1" x14ac:dyDescent="0.2">
      <c r="E178" s="310"/>
      <c r="F178" s="416"/>
      <c r="G178" s="304"/>
      <c r="H178" s="304"/>
      <c r="I178" s="304"/>
      <c r="J178" s="304"/>
      <c r="K178" s="304"/>
      <c r="L178" s="304"/>
      <c r="M178" s="304"/>
      <c r="N178" s="417"/>
      <c r="O178" s="304"/>
      <c r="P178" s="304"/>
      <c r="Q178" s="304"/>
      <c r="R178" s="304"/>
      <c r="S178" s="304"/>
      <c r="T178" s="417"/>
      <c r="U178" s="192"/>
      <c r="V178" s="192"/>
      <c r="W178" s="270"/>
      <c r="X178" s="271"/>
      <c r="Y178" s="303"/>
      <c r="Z178" s="304"/>
      <c r="AA178" s="269"/>
      <c r="AB178" s="137"/>
      <c r="AC178" s="265"/>
      <c r="AD178" s="45"/>
      <c r="AE178" s="45"/>
      <c r="AF178" s="265"/>
      <c r="AG178" s="45"/>
      <c r="AH178" s="264"/>
      <c r="AI178" s="45"/>
      <c r="AJ178" s="265"/>
      <c r="AK178" s="137"/>
      <c r="AL178" s="218"/>
      <c r="AM178" s="218"/>
      <c r="AN178" s="270"/>
      <c r="AO178" s="271"/>
      <c r="AP178" s="192"/>
      <c r="AQ178" s="271"/>
      <c r="AR178" s="192"/>
      <c r="AS178" s="271"/>
      <c r="AT178" s="45"/>
      <c r="AU178" s="36"/>
      <c r="AV178" s="36"/>
      <c r="AW178" s="36"/>
      <c r="AX178" s="36"/>
    </row>
    <row r="179" spans="2:50" ht="12.75" customHeight="1" x14ac:dyDescent="0.2">
      <c r="B179" s="4" t="s">
        <v>237</v>
      </c>
      <c r="E179" s="310"/>
      <c r="F179" s="416"/>
      <c r="G179" s="304"/>
      <c r="H179" s="304"/>
      <c r="I179" s="304"/>
      <c r="J179" s="304"/>
      <c r="K179" s="304"/>
      <c r="L179" s="304"/>
      <c r="M179" s="304"/>
      <c r="N179" s="417"/>
      <c r="O179" s="304"/>
      <c r="P179" s="304"/>
      <c r="Q179" s="304"/>
      <c r="R179" s="304"/>
      <c r="S179" s="304"/>
      <c r="T179" s="417"/>
      <c r="U179" s="192"/>
      <c r="V179" s="192"/>
      <c r="W179" s="270"/>
      <c r="X179" s="271"/>
      <c r="Y179" s="303"/>
      <c r="Z179" s="304"/>
      <c r="AA179" s="269"/>
      <c r="AB179" s="137"/>
      <c r="AC179" s="265"/>
      <c r="AD179" s="45"/>
      <c r="AE179" s="45"/>
      <c r="AF179" s="265"/>
      <c r="AG179" s="45"/>
      <c r="AH179" s="264"/>
      <c r="AI179" s="45"/>
      <c r="AJ179" s="265"/>
      <c r="AK179" s="137"/>
      <c r="AL179" s="218"/>
      <c r="AM179" s="218"/>
      <c r="AN179" s="270"/>
      <c r="AO179" s="271"/>
      <c r="AP179" s="192"/>
      <c r="AQ179" s="271"/>
      <c r="AR179" s="192"/>
      <c r="AS179" s="271"/>
      <c r="AT179" s="45"/>
      <c r="AU179" s="36"/>
      <c r="AV179" s="36"/>
      <c r="AW179" s="36"/>
      <c r="AX179" s="36"/>
    </row>
    <row r="180" spans="2:50" ht="15" customHeight="1" x14ac:dyDescent="0.2">
      <c r="B180" s="1085" t="s">
        <v>18</v>
      </c>
      <c r="C180" t="s">
        <v>371</v>
      </c>
      <c r="E180" s="310"/>
      <c r="F180" s="416"/>
      <c r="G180" s="304"/>
      <c r="H180" s="304"/>
      <c r="I180" s="304"/>
      <c r="J180" s="304"/>
      <c r="K180" s="304"/>
      <c r="L180" s="304"/>
      <c r="M180" s="304"/>
      <c r="N180" s="417"/>
      <c r="O180" s="304"/>
      <c r="P180" s="304"/>
      <c r="Q180" s="304"/>
      <c r="R180" s="304"/>
      <c r="S180" s="304"/>
      <c r="T180" s="417"/>
      <c r="U180" s="192">
        <f t="shared" si="52"/>
        <v>0</v>
      </c>
      <c r="V180" s="192">
        <f t="shared" si="53"/>
        <v>0</v>
      </c>
      <c r="W180" s="270">
        <f t="shared" si="54"/>
        <v>0</v>
      </c>
      <c r="X180" s="271">
        <f t="shared" si="54"/>
        <v>0</v>
      </c>
      <c r="Y180" s="303"/>
      <c r="Z180" s="304"/>
      <c r="AA180" s="269"/>
      <c r="AB180" s="137">
        <f>'A. Revenue by Function'!N169</f>
        <v>0</v>
      </c>
      <c r="AC180" s="265"/>
      <c r="AD180" s="45"/>
      <c r="AE180" s="45"/>
      <c r="AF180" s="265"/>
      <c r="AG180" s="45"/>
      <c r="AH180" s="264"/>
      <c r="AI180" s="45"/>
      <c r="AJ180" s="265"/>
      <c r="AK180" s="137"/>
      <c r="AL180" s="218"/>
      <c r="AM180" s="218"/>
      <c r="AN180" s="270">
        <f>W180+Y180+AA180+AD180+AI180+AL180</f>
        <v>0</v>
      </c>
      <c r="AO180" s="271">
        <f>X180+Z180+AB180+AG180+AK180+AM180</f>
        <v>0</v>
      </c>
      <c r="AP180" s="192">
        <f>IF(AN180-AO180&lt;0, " ",AN180-AO180)</f>
        <v>0</v>
      </c>
      <c r="AQ180" s="271">
        <f>IF(AN180-AO180&gt;0, " ", AO180-AN180)</f>
        <v>0</v>
      </c>
      <c r="AR180" s="192"/>
      <c r="AS180" s="271"/>
      <c r="AT180" s="45"/>
      <c r="AU180" s="36"/>
      <c r="AV180" s="36"/>
      <c r="AW180" s="36"/>
      <c r="AX180" s="36"/>
    </row>
    <row r="181" spans="2:50" ht="15" customHeight="1" x14ac:dyDescent="0.2">
      <c r="B181" s="1085"/>
      <c r="C181" s="11" t="s">
        <v>372</v>
      </c>
      <c r="D181" s="11"/>
      <c r="E181" s="420"/>
      <c r="F181" s="318"/>
      <c r="G181" s="306"/>
      <c r="H181" s="306"/>
      <c r="I181" s="306"/>
      <c r="J181" s="306"/>
      <c r="K181" s="306"/>
      <c r="L181" s="306"/>
      <c r="M181" s="306"/>
      <c r="N181" s="421"/>
      <c r="O181" s="306"/>
      <c r="P181" s="306"/>
      <c r="Q181" s="306"/>
      <c r="R181" s="306"/>
      <c r="S181" s="306"/>
      <c r="T181" s="421"/>
      <c r="U181" s="192">
        <f t="shared" si="52"/>
        <v>0</v>
      </c>
      <c r="V181" s="192">
        <f t="shared" si="53"/>
        <v>0</v>
      </c>
      <c r="W181" s="270">
        <f t="shared" si="54"/>
        <v>0</v>
      </c>
      <c r="X181" s="271">
        <f t="shared" si="54"/>
        <v>0</v>
      </c>
      <c r="Y181" s="305"/>
      <c r="Z181" s="306"/>
      <c r="AA181" s="273"/>
      <c r="AB181" s="138">
        <f>'A. Revenue by Function'!N170</f>
        <v>0</v>
      </c>
      <c r="AC181" s="274"/>
      <c r="AD181" s="44"/>
      <c r="AE181" s="44"/>
      <c r="AF181" s="274"/>
      <c r="AG181" s="44"/>
      <c r="AH181" s="275"/>
      <c r="AI181" s="44"/>
      <c r="AJ181" s="274" t="str">
        <f>'I. Eliminations-Consolidations'!A250</f>
        <v>I.7</v>
      </c>
      <c r="AK181" s="138">
        <f>'I. Eliminations-Consolidations'!L272</f>
        <v>0</v>
      </c>
      <c r="AL181" s="220"/>
      <c r="AM181" s="220"/>
      <c r="AN181" s="270">
        <f>W181+Y181+AA181+AD181+AI181+AL181</f>
        <v>0</v>
      </c>
      <c r="AO181" s="271">
        <f>X181+Z181+AB181+AG181+AK181+AM181</f>
        <v>0</v>
      </c>
      <c r="AP181" s="192" t="str">
        <f>IF(AN181-AO181&lt;=0, " ",AN181-AO181)</f>
        <v xml:space="preserve"> </v>
      </c>
      <c r="AQ181" s="271" t="str">
        <f>IF(AN181-AO181&gt;=0, " ", AO181-AN181)</f>
        <v xml:space="preserve"> </v>
      </c>
      <c r="AR181" s="192"/>
      <c r="AS181" s="271"/>
      <c r="AT181" s="45"/>
      <c r="AU181" s="36"/>
      <c r="AV181" s="36"/>
      <c r="AW181" s="36"/>
      <c r="AX181" s="36"/>
    </row>
    <row r="182" spans="2:50" ht="15" customHeight="1" x14ac:dyDescent="0.2">
      <c r="B182" s="1085"/>
      <c r="C182" s="11" t="s">
        <v>373</v>
      </c>
      <c r="D182" s="11"/>
      <c r="E182" s="420"/>
      <c r="F182" s="318"/>
      <c r="G182" s="306"/>
      <c r="H182" s="306"/>
      <c r="I182" s="306"/>
      <c r="J182" s="306"/>
      <c r="K182" s="306"/>
      <c r="L182" s="306"/>
      <c r="M182" s="306"/>
      <c r="N182" s="421"/>
      <c r="O182" s="306"/>
      <c r="P182" s="306"/>
      <c r="Q182" s="306"/>
      <c r="R182" s="306"/>
      <c r="S182" s="306"/>
      <c r="T182" s="421"/>
      <c r="U182" s="192">
        <f t="shared" si="52"/>
        <v>0</v>
      </c>
      <c r="V182" s="192">
        <f t="shared" si="53"/>
        <v>0</v>
      </c>
      <c r="W182" s="270">
        <f t="shared" si="54"/>
        <v>0</v>
      </c>
      <c r="X182" s="271">
        <f t="shared" si="54"/>
        <v>0</v>
      </c>
      <c r="Y182" s="305"/>
      <c r="Z182" s="306"/>
      <c r="AA182" s="273"/>
      <c r="AB182" s="138">
        <f>'A. Revenue by Function'!N171</f>
        <v>0</v>
      </c>
      <c r="AC182" s="274"/>
      <c r="AD182" s="44"/>
      <c r="AE182" s="44"/>
      <c r="AF182" s="274"/>
      <c r="AG182" s="44"/>
      <c r="AH182" s="275"/>
      <c r="AI182" s="44"/>
      <c r="AJ182" s="274" t="str">
        <f>'I. Eliminations-Consolidations'!A250</f>
        <v>I.7</v>
      </c>
      <c r="AK182" s="138">
        <f>'I. Eliminations-Consolidations'!L289</f>
        <v>0</v>
      </c>
      <c r="AL182" s="220"/>
      <c r="AM182" s="220"/>
      <c r="AN182" s="270">
        <f>W182+Y182+AA182+AD182+AI182+AL182</f>
        <v>0</v>
      </c>
      <c r="AO182" s="271">
        <f>X182+Z182+AB182+AG182+AK182+AM182</f>
        <v>0</v>
      </c>
      <c r="AP182" s="192">
        <f>IF(AN182-AO182&lt;0, " ",AN182-AO182)</f>
        <v>0</v>
      </c>
      <c r="AQ182" s="271">
        <f>IF(AN182-AO182&gt;0, " ", AO182-AN182)</f>
        <v>0</v>
      </c>
      <c r="AR182" s="192"/>
      <c r="AS182" s="271"/>
      <c r="AT182" s="45"/>
      <c r="AU182" s="36"/>
      <c r="AV182" s="36"/>
      <c r="AW182" s="36"/>
      <c r="AX182" s="36"/>
    </row>
    <row r="183" spans="2:50" ht="3.75" customHeight="1" x14ac:dyDescent="0.2">
      <c r="C183" s="11"/>
      <c r="D183" s="11"/>
      <c r="E183" s="420"/>
      <c r="F183" s="318"/>
      <c r="G183" s="306"/>
      <c r="H183" s="306"/>
      <c r="I183" s="306"/>
      <c r="J183" s="306"/>
      <c r="K183" s="306"/>
      <c r="L183" s="306"/>
      <c r="M183" s="306"/>
      <c r="N183" s="421"/>
      <c r="O183" s="306"/>
      <c r="P183" s="306"/>
      <c r="Q183" s="306"/>
      <c r="R183" s="306"/>
      <c r="S183" s="306"/>
      <c r="T183" s="421"/>
      <c r="U183" s="192"/>
      <c r="V183" s="192"/>
      <c r="W183" s="270"/>
      <c r="X183" s="271"/>
      <c r="Y183" s="305"/>
      <c r="Z183" s="306"/>
      <c r="AA183" s="273"/>
      <c r="AB183" s="138"/>
      <c r="AC183" s="274"/>
      <c r="AD183" s="44"/>
      <c r="AE183" s="44"/>
      <c r="AF183" s="274"/>
      <c r="AG183" s="44"/>
      <c r="AH183" s="275"/>
      <c r="AI183" s="44"/>
      <c r="AJ183" s="274"/>
      <c r="AK183" s="138"/>
      <c r="AL183" s="220"/>
      <c r="AM183" s="220"/>
      <c r="AN183" s="270"/>
      <c r="AO183" s="271"/>
      <c r="AP183" s="192"/>
      <c r="AQ183" s="271"/>
      <c r="AR183" s="192"/>
      <c r="AS183" s="271"/>
      <c r="AT183" s="45"/>
      <c r="AU183" s="36"/>
      <c r="AV183" s="36"/>
      <c r="AW183" s="36"/>
      <c r="AX183" s="36"/>
    </row>
    <row r="184" spans="2:50" ht="12.75" customHeight="1" x14ac:dyDescent="0.2">
      <c r="B184" s="4" t="s">
        <v>238</v>
      </c>
      <c r="C184" s="11"/>
      <c r="D184" s="11"/>
      <c r="E184" s="420"/>
      <c r="F184" s="318"/>
      <c r="G184" s="306"/>
      <c r="H184" s="306"/>
      <c r="I184" s="306"/>
      <c r="J184" s="306"/>
      <c r="K184" s="306"/>
      <c r="L184" s="306"/>
      <c r="M184" s="306"/>
      <c r="N184" s="421"/>
      <c r="O184" s="306"/>
      <c r="P184" s="306"/>
      <c r="Q184" s="306"/>
      <c r="R184" s="306"/>
      <c r="S184" s="306"/>
      <c r="T184" s="421"/>
      <c r="U184" s="192"/>
      <c r="V184" s="192"/>
      <c r="W184" s="270"/>
      <c r="X184" s="271"/>
      <c r="Y184" s="305"/>
      <c r="Z184" s="306"/>
      <c r="AA184" s="273"/>
      <c r="AB184" s="138"/>
      <c r="AC184" s="274"/>
      <c r="AD184" s="44"/>
      <c r="AE184" s="44"/>
      <c r="AF184" s="274"/>
      <c r="AG184" s="44"/>
      <c r="AH184" s="275"/>
      <c r="AI184" s="44"/>
      <c r="AJ184" s="274"/>
      <c r="AK184" s="138"/>
      <c r="AL184" s="220"/>
      <c r="AM184" s="220"/>
      <c r="AN184" s="270"/>
      <c r="AO184" s="271"/>
      <c r="AP184" s="192"/>
      <c r="AQ184" s="271"/>
      <c r="AR184" s="192"/>
      <c r="AS184" s="271"/>
      <c r="AT184" s="45"/>
      <c r="AU184" s="36"/>
      <c r="AV184" s="36"/>
      <c r="AW184" s="36"/>
      <c r="AX184" s="36"/>
    </row>
    <row r="185" spans="2:50" ht="15" customHeight="1" x14ac:dyDescent="0.2">
      <c r="B185" s="1085" t="s">
        <v>18</v>
      </c>
      <c r="C185" s="11" t="s">
        <v>371</v>
      </c>
      <c r="D185" s="11"/>
      <c r="E185" s="420"/>
      <c r="F185" s="318"/>
      <c r="G185" s="306"/>
      <c r="H185" s="306"/>
      <c r="I185" s="306"/>
      <c r="J185" s="306"/>
      <c r="K185" s="306"/>
      <c r="L185" s="306"/>
      <c r="M185" s="306"/>
      <c r="N185" s="421"/>
      <c r="O185" s="306"/>
      <c r="P185" s="306"/>
      <c r="Q185" s="306"/>
      <c r="R185" s="306"/>
      <c r="S185" s="306"/>
      <c r="T185" s="421"/>
      <c r="U185" s="192">
        <f t="shared" si="52"/>
        <v>0</v>
      </c>
      <c r="V185" s="192">
        <f t="shared" si="53"/>
        <v>0</v>
      </c>
      <c r="W185" s="270">
        <f t="shared" si="54"/>
        <v>0</v>
      </c>
      <c r="X185" s="271">
        <f t="shared" si="54"/>
        <v>0</v>
      </c>
      <c r="Y185" s="305"/>
      <c r="Z185" s="306"/>
      <c r="AA185" s="273"/>
      <c r="AB185" s="138">
        <f>'A. Revenue by Function'!N173</f>
        <v>0</v>
      </c>
      <c r="AC185" s="274"/>
      <c r="AD185" s="44"/>
      <c r="AE185" s="44"/>
      <c r="AF185" s="274"/>
      <c r="AG185" s="44"/>
      <c r="AH185" s="275"/>
      <c r="AI185" s="44"/>
      <c r="AJ185" s="274"/>
      <c r="AK185" s="138"/>
      <c r="AL185" s="220"/>
      <c r="AM185" s="220"/>
      <c r="AN185" s="270">
        <f>W185+Y185+AA185+AD185+AI185+AL185</f>
        <v>0</v>
      </c>
      <c r="AO185" s="271">
        <f>X185+Z185+AB185+AG185+AK185+AM185</f>
        <v>0</v>
      </c>
      <c r="AP185" s="192">
        <f>IF(AN185-AO185&lt;0, " ",AN185-AO185)</f>
        <v>0</v>
      </c>
      <c r="AQ185" s="271">
        <f>IF(AN185-AO185&gt;0, " ", AO185-AN185)</f>
        <v>0</v>
      </c>
      <c r="AR185" s="192"/>
      <c r="AS185" s="271"/>
      <c r="AT185" s="45"/>
      <c r="AU185" s="36"/>
      <c r="AV185" s="36"/>
      <c r="AW185" s="36"/>
      <c r="AX185" s="36"/>
    </row>
    <row r="186" spans="2:50" ht="15" customHeight="1" x14ac:dyDescent="0.2">
      <c r="B186" s="1085"/>
      <c r="C186" s="11" t="s">
        <v>372</v>
      </c>
      <c r="D186" s="11"/>
      <c r="E186" s="420"/>
      <c r="F186" s="318"/>
      <c r="G186" s="306"/>
      <c r="H186" s="306"/>
      <c r="I186" s="306"/>
      <c r="J186" s="306"/>
      <c r="K186" s="306"/>
      <c r="L186" s="306"/>
      <c r="M186" s="306"/>
      <c r="N186" s="421"/>
      <c r="O186" s="306"/>
      <c r="P186" s="306"/>
      <c r="Q186" s="306"/>
      <c r="R186" s="306"/>
      <c r="S186" s="306"/>
      <c r="T186" s="421"/>
      <c r="U186" s="192">
        <f t="shared" si="52"/>
        <v>0</v>
      </c>
      <c r="V186" s="192">
        <f t="shared" si="53"/>
        <v>0</v>
      </c>
      <c r="W186" s="270">
        <f t="shared" si="54"/>
        <v>0</v>
      </c>
      <c r="X186" s="271">
        <f t="shared" si="54"/>
        <v>0</v>
      </c>
      <c r="Y186" s="305"/>
      <c r="Z186" s="306"/>
      <c r="AA186" s="273"/>
      <c r="AB186" s="138">
        <f>'A. Revenue by Function'!N174</f>
        <v>0</v>
      </c>
      <c r="AC186" s="274"/>
      <c r="AD186" s="44"/>
      <c r="AE186" s="44"/>
      <c r="AF186" s="274"/>
      <c r="AG186" s="44"/>
      <c r="AH186" s="275"/>
      <c r="AI186" s="44"/>
      <c r="AJ186" s="274" t="str">
        <f>'I. Eliminations-Consolidations'!A250</f>
        <v>I.7</v>
      </c>
      <c r="AK186" s="138">
        <f>'I. Eliminations-Consolidations'!L273</f>
        <v>0</v>
      </c>
      <c r="AL186" s="220"/>
      <c r="AM186" s="220"/>
      <c r="AN186" s="270">
        <f>W186+Y186+AA186+AD186+AI186+AL186</f>
        <v>0</v>
      </c>
      <c r="AO186" s="271">
        <f>X186+Z186+AB186+AG186+AK186+AM186</f>
        <v>0</v>
      </c>
      <c r="AP186" s="192" t="str">
        <f>IF(AN186-AO186&lt;=0, " ",AN186-AO186)</f>
        <v xml:space="preserve"> </v>
      </c>
      <c r="AQ186" s="271" t="str">
        <f>IF(AN186-AO186&gt;=0, " ", AO186-AN186)</f>
        <v xml:space="preserve"> </v>
      </c>
      <c r="AR186" s="192"/>
      <c r="AS186" s="271"/>
      <c r="AT186" s="45"/>
      <c r="AU186" s="36"/>
      <c r="AV186" s="36"/>
      <c r="AW186" s="36"/>
      <c r="AX186" s="36"/>
    </row>
    <row r="187" spans="2:50" ht="15" customHeight="1" x14ac:dyDescent="0.2">
      <c r="B187" s="1085"/>
      <c r="C187" s="11" t="s">
        <v>373</v>
      </c>
      <c r="D187" s="11"/>
      <c r="E187" s="420"/>
      <c r="F187" s="318"/>
      <c r="G187" s="306"/>
      <c r="H187" s="306"/>
      <c r="I187" s="306"/>
      <c r="J187" s="306"/>
      <c r="K187" s="306"/>
      <c r="L187" s="306"/>
      <c r="M187" s="306"/>
      <c r="N187" s="421"/>
      <c r="O187" s="306"/>
      <c r="P187" s="306"/>
      <c r="Q187" s="306"/>
      <c r="R187" s="306"/>
      <c r="S187" s="306"/>
      <c r="T187" s="421"/>
      <c r="U187" s="192">
        <f t="shared" si="52"/>
        <v>0</v>
      </c>
      <c r="V187" s="192">
        <f t="shared" si="53"/>
        <v>0</v>
      </c>
      <c r="W187" s="270">
        <f t="shared" si="54"/>
        <v>0</v>
      </c>
      <c r="X187" s="271">
        <f t="shared" si="54"/>
        <v>0</v>
      </c>
      <c r="Y187" s="305"/>
      <c r="Z187" s="306"/>
      <c r="AA187" s="273"/>
      <c r="AB187" s="138">
        <f>'A. Revenue by Function'!N175</f>
        <v>0</v>
      </c>
      <c r="AC187" s="274"/>
      <c r="AD187" s="44"/>
      <c r="AE187" s="44"/>
      <c r="AF187" s="274"/>
      <c r="AG187" s="44"/>
      <c r="AH187" s="275"/>
      <c r="AI187" s="44"/>
      <c r="AJ187" s="274" t="str">
        <f>'I. Eliminations-Consolidations'!A250</f>
        <v>I.7</v>
      </c>
      <c r="AK187" s="138">
        <f>'I. Eliminations-Consolidations'!L290</f>
        <v>0</v>
      </c>
      <c r="AL187" s="220"/>
      <c r="AM187" s="220"/>
      <c r="AN187" s="270">
        <f>W187+Y187+AA187+AD187+AI187+AL187</f>
        <v>0</v>
      </c>
      <c r="AO187" s="271">
        <f>X187+Z187+AB187+AG187+AK187+AM187</f>
        <v>0</v>
      </c>
      <c r="AP187" s="192">
        <f>IF(AN187-AO187&lt;0, " ",AN187-AO187)</f>
        <v>0</v>
      </c>
      <c r="AQ187" s="271">
        <f>IF(AN187-AO187&gt;0, " ", AO187-AN187)</f>
        <v>0</v>
      </c>
      <c r="AR187" s="192"/>
      <c r="AS187" s="271"/>
      <c r="AT187" s="45"/>
      <c r="AU187" s="36"/>
      <c r="AV187" s="36"/>
      <c r="AW187" s="36"/>
      <c r="AX187" s="36"/>
    </row>
    <row r="188" spans="2:50" ht="4.5" customHeight="1" x14ac:dyDescent="0.2">
      <c r="C188" s="11"/>
      <c r="D188" s="11"/>
      <c r="E188" s="420"/>
      <c r="F188" s="318"/>
      <c r="G188" s="306"/>
      <c r="H188" s="306"/>
      <c r="I188" s="306"/>
      <c r="J188" s="306"/>
      <c r="K188" s="306"/>
      <c r="L188" s="306"/>
      <c r="M188" s="306"/>
      <c r="N188" s="421"/>
      <c r="O188" s="306"/>
      <c r="P188" s="306"/>
      <c r="Q188" s="306"/>
      <c r="R188" s="306"/>
      <c r="S188" s="306"/>
      <c r="T188" s="421"/>
      <c r="U188" s="192"/>
      <c r="V188" s="192"/>
      <c r="W188" s="270"/>
      <c r="X188" s="271"/>
      <c r="Y188" s="305"/>
      <c r="Z188" s="306"/>
      <c r="AA188" s="273"/>
      <c r="AB188" s="138"/>
      <c r="AC188" s="274"/>
      <c r="AD188" s="44"/>
      <c r="AE188" s="44"/>
      <c r="AF188" s="274"/>
      <c r="AG188" s="44"/>
      <c r="AH188" s="275"/>
      <c r="AI188" s="44"/>
      <c r="AJ188" s="274"/>
      <c r="AK188" s="138"/>
      <c r="AL188" s="220"/>
      <c r="AM188" s="220"/>
      <c r="AN188" s="270"/>
      <c r="AO188" s="271"/>
      <c r="AP188" s="192"/>
      <c r="AQ188" s="271"/>
      <c r="AR188" s="192"/>
      <c r="AS188" s="271"/>
      <c r="AT188" s="45"/>
      <c r="AU188" s="36"/>
      <c r="AV188" s="36"/>
      <c r="AW188" s="36"/>
      <c r="AX188" s="36"/>
    </row>
    <row r="189" spans="2:50" x14ac:dyDescent="0.2">
      <c r="B189" s="4" t="s">
        <v>510</v>
      </c>
      <c r="E189" s="310"/>
      <c r="F189" s="416"/>
      <c r="G189" s="304"/>
      <c r="H189" s="304"/>
      <c r="I189" s="304"/>
      <c r="J189" s="304"/>
      <c r="K189" s="304"/>
      <c r="L189" s="304"/>
      <c r="M189" s="304"/>
      <c r="N189" s="417"/>
      <c r="O189" s="304"/>
      <c r="P189" s="304"/>
      <c r="Q189" s="304"/>
      <c r="R189" s="304"/>
      <c r="S189" s="304"/>
      <c r="T189" s="417"/>
      <c r="U189" s="192"/>
      <c r="V189" s="192"/>
      <c r="W189" s="270"/>
      <c r="X189" s="271"/>
      <c r="Y189" s="303"/>
      <c r="Z189" s="304"/>
      <c r="AA189" s="269"/>
      <c r="AB189" s="137"/>
      <c r="AC189" s="265"/>
      <c r="AD189" s="45"/>
      <c r="AE189" s="45"/>
      <c r="AF189" s="265"/>
      <c r="AG189" s="45"/>
      <c r="AH189" s="264"/>
      <c r="AI189" s="45"/>
      <c r="AJ189" s="265"/>
      <c r="AK189" s="137"/>
      <c r="AL189" s="218"/>
      <c r="AM189" s="218"/>
      <c r="AN189" s="270"/>
      <c r="AO189" s="271"/>
      <c r="AP189" s="192"/>
      <c r="AQ189" s="271"/>
      <c r="AR189" s="192"/>
      <c r="AS189" s="271"/>
      <c r="AT189" s="45"/>
      <c r="AU189" s="36"/>
      <c r="AV189" s="36"/>
      <c r="AW189" s="36"/>
      <c r="AX189" s="36"/>
    </row>
    <row r="190" spans="2:50" ht="15" customHeight="1" x14ac:dyDescent="0.2">
      <c r="B190" s="1085" t="s">
        <v>18</v>
      </c>
      <c r="C190" t="s">
        <v>371</v>
      </c>
      <c r="E190" s="310"/>
      <c r="F190" s="416"/>
      <c r="G190" s="304"/>
      <c r="H190" s="304"/>
      <c r="I190" s="304"/>
      <c r="J190" s="304"/>
      <c r="K190" s="304"/>
      <c r="L190" s="304"/>
      <c r="M190" s="304"/>
      <c r="N190" s="417"/>
      <c r="O190" s="304"/>
      <c r="P190" s="304"/>
      <c r="Q190" s="304"/>
      <c r="R190" s="304"/>
      <c r="S190" s="304"/>
      <c r="T190" s="417"/>
      <c r="U190" s="192">
        <f t="shared" si="52"/>
        <v>0</v>
      </c>
      <c r="V190" s="192">
        <f t="shared" si="53"/>
        <v>0</v>
      </c>
      <c r="W190" s="270">
        <f t="shared" si="54"/>
        <v>0</v>
      </c>
      <c r="X190" s="271">
        <f t="shared" si="54"/>
        <v>0</v>
      </c>
      <c r="Y190" s="303"/>
      <c r="Z190" s="304"/>
      <c r="AA190" s="269"/>
      <c r="AB190" s="137">
        <f>'A. Revenue by Function'!N177</f>
        <v>0</v>
      </c>
      <c r="AC190" s="265"/>
      <c r="AD190" s="45"/>
      <c r="AE190" s="45"/>
      <c r="AF190" s="265"/>
      <c r="AG190" s="45"/>
      <c r="AH190" s="264"/>
      <c r="AI190" s="45"/>
      <c r="AJ190" s="265"/>
      <c r="AK190" s="137"/>
      <c r="AL190" s="218"/>
      <c r="AM190" s="218"/>
      <c r="AN190" s="270">
        <f>W190+Y190+AA190+AD190+AI190+AL190</f>
        <v>0</v>
      </c>
      <c r="AO190" s="271">
        <f>X190+Z190+AB190+AG190+AK190+AM190</f>
        <v>0</v>
      </c>
      <c r="AP190" s="192">
        <f>IF(AN190-AO190&lt;0, " ",AN190-AO190)</f>
        <v>0</v>
      </c>
      <c r="AQ190" s="271">
        <f>IF(AN190-AO190&gt;0, " ", AO190-AN190)</f>
        <v>0</v>
      </c>
      <c r="AR190" s="192"/>
      <c r="AS190" s="271"/>
      <c r="AT190" s="45"/>
      <c r="AU190" s="36"/>
      <c r="AV190" s="36"/>
      <c r="AW190" s="36"/>
      <c r="AX190" s="36"/>
    </row>
    <row r="191" spans="2:50" ht="15" customHeight="1" x14ac:dyDescent="0.2">
      <c r="B191" s="1085"/>
      <c r="C191" s="11" t="s">
        <v>372</v>
      </c>
      <c r="D191" s="11"/>
      <c r="E191" s="420"/>
      <c r="F191" s="318"/>
      <c r="G191" s="306"/>
      <c r="H191" s="306"/>
      <c r="I191" s="306"/>
      <c r="J191" s="306"/>
      <c r="K191" s="306"/>
      <c r="L191" s="306"/>
      <c r="M191" s="306"/>
      <c r="N191" s="421"/>
      <c r="O191" s="306"/>
      <c r="P191" s="306"/>
      <c r="Q191" s="306"/>
      <c r="R191" s="306"/>
      <c r="S191" s="306"/>
      <c r="T191" s="421"/>
      <c r="U191" s="192">
        <f t="shared" si="52"/>
        <v>0</v>
      </c>
      <c r="V191" s="192">
        <f t="shared" si="53"/>
        <v>0</v>
      </c>
      <c r="W191" s="270">
        <f t="shared" si="54"/>
        <v>0</v>
      </c>
      <c r="X191" s="271">
        <f t="shared" si="54"/>
        <v>0</v>
      </c>
      <c r="Y191" s="305"/>
      <c r="Z191" s="306"/>
      <c r="AA191" s="273"/>
      <c r="AB191" s="138">
        <f>'A. Revenue by Function'!N178</f>
        <v>0</v>
      </c>
      <c r="AC191" s="274"/>
      <c r="AD191" s="44"/>
      <c r="AE191" s="44"/>
      <c r="AF191" s="282"/>
      <c r="AG191" s="78"/>
      <c r="AH191" s="275"/>
      <c r="AI191" s="44"/>
      <c r="AJ191" s="274" t="str">
        <f>'I. Eliminations-Consolidations'!A250</f>
        <v>I.7</v>
      </c>
      <c r="AK191" s="138">
        <f>'I. Eliminations-Consolidations'!L274</f>
        <v>0</v>
      </c>
      <c r="AL191" s="220"/>
      <c r="AM191" s="220"/>
      <c r="AN191" s="270">
        <f>W191+Y191+AA191+AD191+AI191+AL191</f>
        <v>0</v>
      </c>
      <c r="AO191" s="271">
        <f>X191+Z191+AB191+AG191+AK191+AM191</f>
        <v>0</v>
      </c>
      <c r="AP191" s="192" t="str">
        <f>IF(AN191-AO191&lt;=0, " ",AN191-AO191)</f>
        <v xml:space="preserve"> </v>
      </c>
      <c r="AQ191" s="271" t="str">
        <f>IF(AN191-AO191&gt;=0, " ", AO191-AN191)</f>
        <v xml:space="preserve"> </v>
      </c>
      <c r="AR191" s="192"/>
      <c r="AS191" s="271"/>
      <c r="AT191" s="45"/>
      <c r="AU191" s="36"/>
      <c r="AV191" s="36"/>
      <c r="AW191" s="36"/>
      <c r="AX191" s="36"/>
    </row>
    <row r="192" spans="2:50" ht="15" customHeight="1" x14ac:dyDescent="0.2">
      <c r="B192" s="1085"/>
      <c r="C192" s="11" t="s">
        <v>373</v>
      </c>
      <c r="D192" s="11"/>
      <c r="E192" s="420"/>
      <c r="F192" s="318"/>
      <c r="G192" s="306"/>
      <c r="H192" s="306"/>
      <c r="I192" s="306"/>
      <c r="J192" s="306"/>
      <c r="K192" s="306"/>
      <c r="L192" s="306"/>
      <c r="M192" s="306"/>
      <c r="N192" s="421"/>
      <c r="O192" s="306"/>
      <c r="P192" s="306"/>
      <c r="Q192" s="306"/>
      <c r="R192" s="306"/>
      <c r="S192" s="306"/>
      <c r="T192" s="421"/>
      <c r="U192" s="192">
        <f t="shared" si="52"/>
        <v>0</v>
      </c>
      <c r="V192" s="192">
        <f t="shared" si="53"/>
        <v>0</v>
      </c>
      <c r="W192" s="270">
        <f t="shared" si="54"/>
        <v>0</v>
      </c>
      <c r="X192" s="271">
        <f t="shared" si="54"/>
        <v>0</v>
      </c>
      <c r="Y192" s="305"/>
      <c r="Z192" s="306"/>
      <c r="AA192" s="273"/>
      <c r="AB192" s="138">
        <f>'A. Revenue by Function'!N179</f>
        <v>0</v>
      </c>
      <c r="AC192" s="282"/>
      <c r="AD192" s="44"/>
      <c r="AE192" s="78"/>
      <c r="AF192" s="282"/>
      <c r="AG192" s="78"/>
      <c r="AH192" s="275"/>
      <c r="AI192" s="44"/>
      <c r="AJ192" s="274" t="str">
        <f>'I. Eliminations-Consolidations'!A250</f>
        <v>I.7</v>
      </c>
      <c r="AK192" s="138">
        <f>'I. Eliminations-Consolidations'!L291</f>
        <v>0</v>
      </c>
      <c r="AL192" s="220"/>
      <c r="AM192" s="220"/>
      <c r="AN192" s="270">
        <f>W192+Y192+AA192+AD192+AI192+AL192</f>
        <v>0</v>
      </c>
      <c r="AO192" s="271">
        <f>X192+Z192+AB192+AG192+AK192+AM192</f>
        <v>0</v>
      </c>
      <c r="AP192" s="192">
        <f>IF(AN192-AO192&lt;0, " ",AN192-AO192)</f>
        <v>0</v>
      </c>
      <c r="AQ192" s="271">
        <f>IF(AN192-AO192&gt;0, " ", AO192-AN192)</f>
        <v>0</v>
      </c>
      <c r="AR192" s="192"/>
      <c r="AS192" s="271"/>
      <c r="AT192" s="45"/>
      <c r="AU192" s="36"/>
      <c r="AV192" s="36"/>
      <c r="AW192" s="36"/>
      <c r="AX192" s="36"/>
    </row>
    <row r="193" spans="2:50" ht="4.5" customHeight="1" x14ac:dyDescent="0.2">
      <c r="B193" s="98"/>
      <c r="E193" s="310"/>
      <c r="F193" s="416"/>
      <c r="G193" s="304"/>
      <c r="H193" s="304"/>
      <c r="I193" s="304"/>
      <c r="J193" s="304"/>
      <c r="K193" s="304"/>
      <c r="L193" s="304"/>
      <c r="M193" s="304"/>
      <c r="N193" s="417"/>
      <c r="O193" s="304"/>
      <c r="P193" s="304"/>
      <c r="Q193" s="304"/>
      <c r="R193" s="304"/>
      <c r="S193" s="304"/>
      <c r="T193" s="417"/>
      <c r="U193" s="192"/>
      <c r="V193" s="192"/>
      <c r="W193" s="270"/>
      <c r="X193" s="271"/>
      <c r="Y193" s="303"/>
      <c r="Z193" s="304"/>
      <c r="AA193" s="269"/>
      <c r="AB193" s="137"/>
      <c r="AC193" s="265"/>
      <c r="AD193" s="45"/>
      <c r="AE193" s="45"/>
      <c r="AF193" s="265"/>
      <c r="AG193" s="45"/>
      <c r="AH193" s="264"/>
      <c r="AI193" s="45"/>
      <c r="AJ193" s="265"/>
      <c r="AK193" s="137"/>
      <c r="AL193" s="218"/>
      <c r="AM193" s="218"/>
      <c r="AN193" s="270"/>
      <c r="AO193" s="271"/>
      <c r="AP193" s="192"/>
      <c r="AQ193" s="271"/>
      <c r="AR193" s="192"/>
      <c r="AS193" s="271"/>
      <c r="AT193" s="45"/>
      <c r="AU193" s="36"/>
      <c r="AV193" s="36"/>
      <c r="AW193" s="36"/>
      <c r="AX193" s="36"/>
    </row>
    <row r="194" spans="2:50" x14ac:dyDescent="0.2">
      <c r="B194" s="99" t="s">
        <v>511</v>
      </c>
      <c r="E194" s="310"/>
      <c r="F194" s="416"/>
      <c r="G194" s="304"/>
      <c r="H194" s="304"/>
      <c r="I194" s="304"/>
      <c r="J194" s="304"/>
      <c r="K194" s="304"/>
      <c r="L194" s="304"/>
      <c r="M194" s="304"/>
      <c r="N194" s="417"/>
      <c r="O194" s="304"/>
      <c r="P194" s="304"/>
      <c r="Q194" s="304"/>
      <c r="R194" s="304"/>
      <c r="S194" s="304"/>
      <c r="T194" s="417"/>
      <c r="U194" s="192"/>
      <c r="V194" s="192"/>
      <c r="W194" s="270"/>
      <c r="X194" s="271"/>
      <c r="Y194" s="303"/>
      <c r="Z194" s="304"/>
      <c r="AA194" s="269"/>
      <c r="AB194" s="137"/>
      <c r="AC194" s="265"/>
      <c r="AD194" s="45"/>
      <c r="AE194" s="45"/>
      <c r="AF194" s="265"/>
      <c r="AG194" s="45"/>
      <c r="AH194" s="264"/>
      <c r="AI194" s="45"/>
      <c r="AJ194" s="265"/>
      <c r="AK194" s="137"/>
      <c r="AL194" s="218"/>
      <c r="AM194" s="218"/>
      <c r="AN194" s="270"/>
      <c r="AO194" s="271"/>
      <c r="AP194" s="192"/>
      <c r="AQ194" s="271"/>
      <c r="AR194" s="192"/>
      <c r="AS194" s="271"/>
      <c r="AT194" s="45"/>
      <c r="AU194" s="36"/>
      <c r="AV194" s="36"/>
      <c r="AW194" s="36"/>
      <c r="AX194" s="36"/>
    </row>
    <row r="195" spans="2:50" ht="15" customHeight="1" x14ac:dyDescent="0.2">
      <c r="B195" s="1085" t="s">
        <v>18</v>
      </c>
      <c r="C195" t="s">
        <v>371</v>
      </c>
      <c r="E195" s="310"/>
      <c r="F195" s="416"/>
      <c r="G195" s="304"/>
      <c r="H195" s="304"/>
      <c r="I195" s="304"/>
      <c r="J195" s="304"/>
      <c r="K195" s="304"/>
      <c r="L195" s="304"/>
      <c r="M195" s="304"/>
      <c r="N195" s="417"/>
      <c r="O195" s="304"/>
      <c r="P195" s="304"/>
      <c r="Q195" s="304"/>
      <c r="R195" s="304"/>
      <c r="S195" s="304"/>
      <c r="T195" s="417"/>
      <c r="U195" s="192">
        <f t="shared" si="52"/>
        <v>0</v>
      </c>
      <c r="V195" s="192">
        <f t="shared" si="53"/>
        <v>0</v>
      </c>
      <c r="W195" s="270">
        <f t="shared" si="54"/>
        <v>0</v>
      </c>
      <c r="X195" s="271">
        <f t="shared" si="54"/>
        <v>0</v>
      </c>
      <c r="Y195" s="303"/>
      <c r="Z195" s="304"/>
      <c r="AA195" s="269"/>
      <c r="AB195" s="137">
        <f>'A. Revenue by Function'!N181</f>
        <v>0</v>
      </c>
      <c r="AC195" s="265"/>
      <c r="AD195" s="45"/>
      <c r="AE195" s="45"/>
      <c r="AF195" s="265"/>
      <c r="AG195" s="45"/>
      <c r="AH195" s="264"/>
      <c r="AI195" s="45"/>
      <c r="AJ195" s="265"/>
      <c r="AK195" s="137"/>
      <c r="AL195" s="218"/>
      <c r="AM195" s="218"/>
      <c r="AN195" s="270">
        <f>W195+Y195+AA195+AD195+AI195+AL195</f>
        <v>0</v>
      </c>
      <c r="AO195" s="271">
        <f>X195+Z195+AB195+AG195+AK195+AM195</f>
        <v>0</v>
      </c>
      <c r="AP195" s="192">
        <f>IF(AN195-AO195&lt;0, " ",AN195-AO195)</f>
        <v>0</v>
      </c>
      <c r="AQ195" s="271">
        <f>IF(AN195-AO195&gt;0, " ", AO195-AN195)</f>
        <v>0</v>
      </c>
      <c r="AR195" s="192"/>
      <c r="AS195" s="271"/>
      <c r="AT195" s="45"/>
      <c r="AU195" s="36"/>
      <c r="AV195" s="36"/>
      <c r="AW195" s="36"/>
      <c r="AX195" s="36"/>
    </row>
    <row r="196" spans="2:50" ht="15" customHeight="1" x14ac:dyDescent="0.2">
      <c r="B196" s="1085"/>
      <c r="C196" s="11" t="s">
        <v>372</v>
      </c>
      <c r="D196" s="11"/>
      <c r="E196" s="420"/>
      <c r="F196" s="318"/>
      <c r="G196" s="306"/>
      <c r="H196" s="306"/>
      <c r="I196" s="306"/>
      <c r="J196" s="306"/>
      <c r="K196" s="306"/>
      <c r="L196" s="306"/>
      <c r="M196" s="306"/>
      <c r="N196" s="421"/>
      <c r="O196" s="306"/>
      <c r="P196" s="306"/>
      <c r="Q196" s="306"/>
      <c r="R196" s="306"/>
      <c r="S196" s="306"/>
      <c r="T196" s="421"/>
      <c r="U196" s="192">
        <f t="shared" si="52"/>
        <v>0</v>
      </c>
      <c r="V196" s="192">
        <f t="shared" si="53"/>
        <v>0</v>
      </c>
      <c r="W196" s="270">
        <f t="shared" si="54"/>
        <v>0</v>
      </c>
      <c r="X196" s="271">
        <f t="shared" si="54"/>
        <v>0</v>
      </c>
      <c r="Y196" s="305"/>
      <c r="Z196" s="306"/>
      <c r="AA196" s="273"/>
      <c r="AB196" s="138">
        <f>'A. Revenue by Function'!N182</f>
        <v>0</v>
      </c>
      <c r="AC196" s="274"/>
      <c r="AD196" s="44"/>
      <c r="AE196" s="44"/>
      <c r="AF196" s="282"/>
      <c r="AG196" s="78"/>
      <c r="AH196" s="275"/>
      <c r="AI196" s="44"/>
      <c r="AJ196" s="274" t="str">
        <f>'I. Eliminations-Consolidations'!A250</f>
        <v>I.7</v>
      </c>
      <c r="AK196" s="138">
        <f>'I. Eliminations-Consolidations'!L275</f>
        <v>0</v>
      </c>
      <c r="AL196" s="220"/>
      <c r="AM196" s="220"/>
      <c r="AN196" s="270">
        <f>W196+Y196+AA196+AD196+AI196+AL196</f>
        <v>0</v>
      </c>
      <c r="AO196" s="271">
        <f>X196+Z196+AB196+AG196+AK196+AM196</f>
        <v>0</v>
      </c>
      <c r="AP196" s="192" t="str">
        <f>IF(AN196-AO196&lt;=0, " ",AN196-AO196)</f>
        <v xml:space="preserve"> </v>
      </c>
      <c r="AQ196" s="271" t="str">
        <f>IF(AN196-AO196&gt;=0, " ", AO196-AN196)</f>
        <v xml:space="preserve"> </v>
      </c>
      <c r="AR196" s="192"/>
      <c r="AS196" s="271"/>
      <c r="AT196" s="45"/>
      <c r="AU196" s="36"/>
      <c r="AV196" s="36"/>
      <c r="AW196" s="36"/>
      <c r="AX196" s="36"/>
    </row>
    <row r="197" spans="2:50" ht="15" customHeight="1" x14ac:dyDescent="0.2">
      <c r="B197" s="1085"/>
      <c r="C197" s="11" t="s">
        <v>373</v>
      </c>
      <c r="D197" s="11"/>
      <c r="E197" s="420"/>
      <c r="F197" s="318"/>
      <c r="G197" s="306"/>
      <c r="H197" s="306"/>
      <c r="I197" s="306"/>
      <c r="J197" s="306"/>
      <c r="K197" s="306"/>
      <c r="L197" s="306"/>
      <c r="M197" s="306"/>
      <c r="N197" s="421"/>
      <c r="O197" s="306"/>
      <c r="P197" s="306"/>
      <c r="Q197" s="306"/>
      <c r="R197" s="306"/>
      <c r="S197" s="306"/>
      <c r="T197" s="421"/>
      <c r="U197" s="192">
        <f t="shared" si="52"/>
        <v>0</v>
      </c>
      <c r="V197" s="192">
        <f t="shared" si="53"/>
        <v>0</v>
      </c>
      <c r="W197" s="270">
        <f t="shared" si="54"/>
        <v>0</v>
      </c>
      <c r="X197" s="271">
        <f t="shared" si="54"/>
        <v>0</v>
      </c>
      <c r="Y197" s="305"/>
      <c r="Z197" s="306"/>
      <c r="AA197" s="273"/>
      <c r="AB197" s="138">
        <f>'A. Revenue by Function'!N183</f>
        <v>0</v>
      </c>
      <c r="AC197" s="274"/>
      <c r="AD197" s="44"/>
      <c r="AE197" s="44"/>
      <c r="AF197" s="274"/>
      <c r="AG197" s="44"/>
      <c r="AH197" s="275"/>
      <c r="AI197" s="44"/>
      <c r="AJ197" s="274" t="str">
        <f>'I. Eliminations-Consolidations'!A250</f>
        <v>I.7</v>
      </c>
      <c r="AK197" s="138">
        <f>'I. Eliminations-Consolidations'!L292</f>
        <v>0</v>
      </c>
      <c r="AL197" s="220"/>
      <c r="AM197" s="220"/>
      <c r="AN197" s="270">
        <f>W197+Y197+AA197+AD197+AI197+AL197</f>
        <v>0</v>
      </c>
      <c r="AO197" s="271">
        <f>X197+Z197+AB197+AG197+AK197+AM197</f>
        <v>0</v>
      </c>
      <c r="AP197" s="192">
        <f>IF(AN197-AO197&lt;0, " ",AN197-AO197)</f>
        <v>0</v>
      </c>
      <c r="AQ197" s="271">
        <f>IF(AN197-AO197&gt;0, " ", AO197-AN197)</f>
        <v>0</v>
      </c>
      <c r="AR197" s="192"/>
      <c r="AS197" s="271"/>
      <c r="AT197" s="45"/>
      <c r="AU197" s="36"/>
      <c r="AV197" s="36"/>
      <c r="AW197" s="36"/>
      <c r="AX197" s="36"/>
    </row>
    <row r="198" spans="2:50" ht="4.5" customHeight="1" x14ac:dyDescent="0.2">
      <c r="B198" s="98"/>
      <c r="C198" s="11"/>
      <c r="D198" s="11"/>
      <c r="E198" s="420"/>
      <c r="F198" s="318"/>
      <c r="G198" s="306"/>
      <c r="H198" s="306"/>
      <c r="I198" s="306"/>
      <c r="J198" s="306"/>
      <c r="K198" s="306"/>
      <c r="L198" s="306"/>
      <c r="M198" s="306"/>
      <c r="N198" s="421"/>
      <c r="O198" s="306"/>
      <c r="P198" s="306"/>
      <c r="Q198" s="306"/>
      <c r="R198" s="306"/>
      <c r="S198" s="306"/>
      <c r="T198" s="421"/>
      <c r="U198" s="192"/>
      <c r="V198" s="192"/>
      <c r="W198" s="270"/>
      <c r="X198" s="271"/>
      <c r="Y198" s="305"/>
      <c r="Z198" s="306"/>
      <c r="AA198" s="273"/>
      <c r="AB198" s="138"/>
      <c r="AC198" s="274"/>
      <c r="AD198" s="44"/>
      <c r="AE198" s="44"/>
      <c r="AF198" s="274"/>
      <c r="AG198" s="44"/>
      <c r="AH198" s="275"/>
      <c r="AI198" s="44"/>
      <c r="AJ198" s="274"/>
      <c r="AK198" s="138"/>
      <c r="AL198" s="220"/>
      <c r="AM198" s="220"/>
      <c r="AN198" s="270"/>
      <c r="AO198" s="271"/>
      <c r="AP198" s="192"/>
      <c r="AQ198" s="271"/>
      <c r="AR198" s="192"/>
      <c r="AS198" s="271"/>
      <c r="AT198" s="45"/>
      <c r="AU198" s="36"/>
      <c r="AV198" s="36"/>
      <c r="AW198" s="36"/>
      <c r="AX198" s="36"/>
    </row>
    <row r="199" spans="2:50" x14ac:dyDescent="0.2">
      <c r="B199" s="99" t="s">
        <v>512</v>
      </c>
      <c r="C199" s="11"/>
      <c r="D199" s="11"/>
      <c r="E199" s="420"/>
      <c r="F199" s="318"/>
      <c r="G199" s="306"/>
      <c r="H199" s="306"/>
      <c r="I199" s="306"/>
      <c r="J199" s="306"/>
      <c r="K199" s="306"/>
      <c r="L199" s="306"/>
      <c r="M199" s="306"/>
      <c r="N199" s="421"/>
      <c r="O199" s="306"/>
      <c r="P199" s="306"/>
      <c r="Q199" s="306"/>
      <c r="R199" s="306"/>
      <c r="S199" s="306"/>
      <c r="T199" s="421"/>
      <c r="U199" s="192"/>
      <c r="V199" s="192"/>
      <c r="W199" s="270"/>
      <c r="X199" s="271"/>
      <c r="Y199" s="305"/>
      <c r="Z199" s="306"/>
      <c r="AA199" s="273"/>
      <c r="AB199" s="138"/>
      <c r="AC199" s="274"/>
      <c r="AD199" s="44"/>
      <c r="AE199" s="44"/>
      <c r="AF199" s="274"/>
      <c r="AG199" s="44"/>
      <c r="AH199" s="275"/>
      <c r="AI199" s="44"/>
      <c r="AJ199" s="274"/>
      <c r="AK199" s="138"/>
      <c r="AL199" s="220"/>
      <c r="AM199" s="220"/>
      <c r="AN199" s="270"/>
      <c r="AO199" s="271"/>
      <c r="AP199" s="192"/>
      <c r="AQ199" s="271"/>
      <c r="AR199" s="192"/>
      <c r="AS199" s="271"/>
      <c r="AT199" s="45"/>
      <c r="AU199" s="36"/>
      <c r="AV199" s="36"/>
      <c r="AW199" s="36"/>
      <c r="AX199" s="36"/>
    </row>
    <row r="200" spans="2:50" ht="15" customHeight="1" x14ac:dyDescent="0.2">
      <c r="B200" s="1085" t="s">
        <v>18</v>
      </c>
      <c r="C200" s="11" t="s">
        <v>371</v>
      </c>
      <c r="D200" s="11"/>
      <c r="E200" s="420"/>
      <c r="F200" s="318"/>
      <c r="G200" s="306"/>
      <c r="H200" s="306"/>
      <c r="I200" s="306"/>
      <c r="J200" s="306"/>
      <c r="K200" s="306"/>
      <c r="L200" s="306"/>
      <c r="M200" s="306"/>
      <c r="N200" s="421"/>
      <c r="O200" s="306"/>
      <c r="P200" s="306"/>
      <c r="Q200" s="306"/>
      <c r="R200" s="306"/>
      <c r="S200" s="306"/>
      <c r="T200" s="421"/>
      <c r="U200" s="192">
        <f t="shared" si="52"/>
        <v>0</v>
      </c>
      <c r="V200" s="192">
        <f t="shared" si="53"/>
        <v>0</v>
      </c>
      <c r="W200" s="270">
        <f t="shared" si="54"/>
        <v>0</v>
      </c>
      <c r="X200" s="271">
        <f t="shared" si="54"/>
        <v>0</v>
      </c>
      <c r="Y200" s="305"/>
      <c r="Z200" s="306"/>
      <c r="AA200" s="273"/>
      <c r="AB200" s="138">
        <f>'A. Revenue by Function'!N185</f>
        <v>0</v>
      </c>
      <c r="AC200" s="274"/>
      <c r="AD200" s="44"/>
      <c r="AE200" s="44"/>
      <c r="AF200" s="274"/>
      <c r="AG200" s="44"/>
      <c r="AH200" s="275"/>
      <c r="AI200" s="44"/>
      <c r="AJ200" s="274"/>
      <c r="AK200" s="138"/>
      <c r="AL200" s="220"/>
      <c r="AM200" s="220"/>
      <c r="AN200" s="270">
        <f>W200+Y200+AA200+AD200+AI200+AL200</f>
        <v>0</v>
      </c>
      <c r="AO200" s="271">
        <f>X200+Z200+AB200+AG200+AK200+AM200</f>
        <v>0</v>
      </c>
      <c r="AP200" s="192">
        <f>IF(AN200-AO200&lt;0, " ",AN200-AO200)</f>
        <v>0</v>
      </c>
      <c r="AQ200" s="271">
        <f>IF(AN200-AO200&gt;0, " ", AO200-AN200)</f>
        <v>0</v>
      </c>
      <c r="AR200" s="192"/>
      <c r="AS200" s="271"/>
      <c r="AT200" s="45"/>
      <c r="AU200" s="36"/>
      <c r="AV200" s="36"/>
      <c r="AW200" s="36"/>
      <c r="AX200" s="36"/>
    </row>
    <row r="201" spans="2:50" ht="15" customHeight="1" x14ac:dyDescent="0.2">
      <c r="B201" s="1085"/>
      <c r="C201" s="11" t="s">
        <v>372</v>
      </c>
      <c r="D201" s="11"/>
      <c r="E201" s="420"/>
      <c r="F201" s="318"/>
      <c r="G201" s="306"/>
      <c r="H201" s="306"/>
      <c r="I201" s="306"/>
      <c r="J201" s="306"/>
      <c r="K201" s="306"/>
      <c r="L201" s="306"/>
      <c r="M201" s="306"/>
      <c r="N201" s="421"/>
      <c r="O201" s="306"/>
      <c r="P201" s="306"/>
      <c r="Q201" s="306"/>
      <c r="R201" s="306"/>
      <c r="S201" s="306"/>
      <c r="T201" s="421"/>
      <c r="U201" s="192">
        <f t="shared" si="52"/>
        <v>0</v>
      </c>
      <c r="V201" s="192">
        <f t="shared" si="53"/>
        <v>0</v>
      </c>
      <c r="W201" s="270">
        <f t="shared" si="54"/>
        <v>0</v>
      </c>
      <c r="X201" s="271">
        <f t="shared" si="54"/>
        <v>0</v>
      </c>
      <c r="Y201" s="305"/>
      <c r="Z201" s="306"/>
      <c r="AA201" s="273"/>
      <c r="AB201" s="138">
        <f>'A. Revenue by Function'!N186</f>
        <v>0</v>
      </c>
      <c r="AC201" s="274"/>
      <c r="AD201" s="44"/>
      <c r="AE201" s="44"/>
      <c r="AF201" s="274"/>
      <c r="AG201" s="44"/>
      <c r="AH201" s="275"/>
      <c r="AI201" s="44"/>
      <c r="AJ201" s="274" t="str">
        <f>'I. Eliminations-Consolidations'!A250</f>
        <v>I.7</v>
      </c>
      <c r="AK201" s="138">
        <f>'I. Eliminations-Consolidations'!L276</f>
        <v>0</v>
      </c>
      <c r="AL201" s="220"/>
      <c r="AM201" s="220"/>
      <c r="AN201" s="270">
        <f>W201+Y201+AA201+AD201+AI201+AL201</f>
        <v>0</v>
      </c>
      <c r="AO201" s="271">
        <f>X201+Z201+AB201+AG201+AK201+AM201</f>
        <v>0</v>
      </c>
      <c r="AP201" s="192" t="str">
        <f>IF(AN201-AO201&lt;=0, " ",AN201-AO201)</f>
        <v xml:space="preserve"> </v>
      </c>
      <c r="AQ201" s="271" t="str">
        <f>IF(AN201-AO201&gt;=0, " ", AO201-AN201)</f>
        <v xml:space="preserve"> </v>
      </c>
      <c r="AR201" s="192"/>
      <c r="AS201" s="271"/>
      <c r="AT201" s="45"/>
      <c r="AU201" s="36"/>
      <c r="AV201" s="36"/>
      <c r="AW201" s="36"/>
      <c r="AX201" s="36"/>
    </row>
    <row r="202" spans="2:50" ht="15" customHeight="1" x14ac:dyDescent="0.2">
      <c r="B202" s="1085"/>
      <c r="C202" t="s">
        <v>373</v>
      </c>
      <c r="E202" s="310"/>
      <c r="F202" s="416"/>
      <c r="G202" s="304"/>
      <c r="H202" s="304"/>
      <c r="I202" s="304"/>
      <c r="J202" s="304"/>
      <c r="K202" s="304"/>
      <c r="L202" s="304"/>
      <c r="M202" s="304"/>
      <c r="N202" s="417"/>
      <c r="O202" s="304"/>
      <c r="P202" s="304"/>
      <c r="Q202" s="304"/>
      <c r="R202" s="304"/>
      <c r="S202" s="304"/>
      <c r="T202" s="417"/>
      <c r="U202" s="192">
        <f t="shared" si="52"/>
        <v>0</v>
      </c>
      <c r="V202" s="192">
        <f t="shared" si="53"/>
        <v>0</v>
      </c>
      <c r="W202" s="270">
        <f t="shared" si="54"/>
        <v>0</v>
      </c>
      <c r="X202" s="271">
        <f t="shared" si="54"/>
        <v>0</v>
      </c>
      <c r="Y202" s="303"/>
      <c r="Z202" s="304"/>
      <c r="AA202" s="269"/>
      <c r="AB202" s="137">
        <f>'A. Revenue by Function'!N187</f>
        <v>0</v>
      </c>
      <c r="AC202" s="265"/>
      <c r="AD202" s="45"/>
      <c r="AE202" s="45"/>
      <c r="AF202" s="265"/>
      <c r="AG202" s="45"/>
      <c r="AH202" s="264"/>
      <c r="AI202" s="45"/>
      <c r="AJ202" s="265" t="str">
        <f>'I. Eliminations-Consolidations'!A250</f>
        <v>I.7</v>
      </c>
      <c r="AK202" s="137">
        <f>'I. Eliminations-Consolidations'!L293</f>
        <v>0</v>
      </c>
      <c r="AL202" s="218"/>
      <c r="AM202" s="218"/>
      <c r="AN202" s="270">
        <f>W202+Y202+AA202+AD202+AI202+AL202</f>
        <v>0</v>
      </c>
      <c r="AO202" s="271">
        <f>X202+Z202+AB202+AG202+AK202+AM202</f>
        <v>0</v>
      </c>
      <c r="AP202" s="192">
        <f>IF(AN202-AO202&lt;0, " ",AN202-AO202)</f>
        <v>0</v>
      </c>
      <c r="AQ202" s="271">
        <f>IF(AN202-AO202&gt;0, " ", AO202-AN202)</f>
        <v>0</v>
      </c>
      <c r="AR202" s="192"/>
      <c r="AS202" s="271"/>
      <c r="AT202" s="45"/>
      <c r="AU202" s="36"/>
      <c r="AV202" s="36"/>
      <c r="AW202" s="36"/>
      <c r="AX202" s="36"/>
    </row>
    <row r="203" spans="2:50" ht="5.25" customHeight="1" x14ac:dyDescent="0.2">
      <c r="E203" s="310"/>
      <c r="F203" s="416"/>
      <c r="G203" s="304"/>
      <c r="H203" s="304"/>
      <c r="I203" s="304"/>
      <c r="J203" s="304"/>
      <c r="K203" s="304"/>
      <c r="L203" s="304"/>
      <c r="M203" s="304"/>
      <c r="N203" s="417"/>
      <c r="O203" s="304"/>
      <c r="P203" s="304"/>
      <c r="Q203" s="304"/>
      <c r="R203" s="304"/>
      <c r="S203" s="304"/>
      <c r="T203" s="417"/>
      <c r="U203" s="192"/>
      <c r="V203" s="192"/>
      <c r="W203" s="270"/>
      <c r="X203" s="271"/>
      <c r="Y203" s="303"/>
      <c r="Z203" s="304"/>
      <c r="AA203" s="269"/>
      <c r="AB203" s="137"/>
      <c r="AC203" s="265"/>
      <c r="AD203" s="45"/>
      <c r="AE203" s="45"/>
      <c r="AF203" s="284"/>
      <c r="AH203" s="264"/>
      <c r="AI203" s="45"/>
      <c r="AJ203" s="265"/>
      <c r="AK203" s="137"/>
      <c r="AL203" s="218"/>
      <c r="AM203" s="218"/>
      <c r="AN203" s="270"/>
      <c r="AO203" s="271"/>
      <c r="AP203" s="192"/>
      <c r="AQ203" s="271"/>
      <c r="AR203" s="192"/>
      <c r="AS203" s="271"/>
      <c r="AT203" s="45"/>
      <c r="AU203" s="36"/>
      <c r="AV203" s="36"/>
      <c r="AW203" s="36"/>
      <c r="AX203" s="36"/>
    </row>
    <row r="204" spans="2:50" x14ac:dyDescent="0.2">
      <c r="B204" s="4" t="s">
        <v>513</v>
      </c>
      <c r="E204" s="310"/>
      <c r="F204" s="416"/>
      <c r="G204" s="304"/>
      <c r="H204" s="304"/>
      <c r="I204" s="304"/>
      <c r="J204" s="304"/>
      <c r="K204" s="304"/>
      <c r="L204" s="304"/>
      <c r="M204" s="304"/>
      <c r="N204" s="417"/>
      <c r="O204" s="304"/>
      <c r="P204" s="304"/>
      <c r="Q204" s="304"/>
      <c r="R204" s="304"/>
      <c r="S204" s="304"/>
      <c r="T204" s="417"/>
      <c r="U204" s="192"/>
      <c r="V204" s="192"/>
      <c r="W204" s="270"/>
      <c r="X204" s="271"/>
      <c r="Y204" s="303"/>
      <c r="Z204" s="304"/>
      <c r="AA204" s="269"/>
      <c r="AB204" s="137"/>
      <c r="AC204" s="265"/>
      <c r="AD204" s="45"/>
      <c r="AE204" s="45"/>
      <c r="AF204" s="265"/>
      <c r="AG204" s="45"/>
      <c r="AH204" s="264"/>
      <c r="AI204" s="45"/>
      <c r="AJ204" s="265"/>
      <c r="AK204" s="137"/>
      <c r="AL204" s="218"/>
      <c r="AM204" s="218"/>
      <c r="AN204" s="270"/>
      <c r="AO204" s="271"/>
      <c r="AP204" s="192"/>
      <c r="AQ204" s="271"/>
      <c r="AR204" s="192"/>
      <c r="AS204" s="271"/>
      <c r="AT204" s="45"/>
      <c r="AU204" s="36"/>
      <c r="AV204" s="36"/>
      <c r="AW204" s="36"/>
      <c r="AX204" s="36"/>
    </row>
    <row r="205" spans="2:50" ht="15" customHeight="1" x14ac:dyDescent="0.2">
      <c r="B205" s="1085" t="s">
        <v>18</v>
      </c>
      <c r="C205" t="s">
        <v>371</v>
      </c>
      <c r="E205" s="310"/>
      <c r="F205" s="416"/>
      <c r="G205" s="304"/>
      <c r="H205" s="304"/>
      <c r="I205" s="304"/>
      <c r="J205" s="304"/>
      <c r="K205" s="304"/>
      <c r="L205" s="304"/>
      <c r="M205" s="304"/>
      <c r="N205" s="417"/>
      <c r="O205" s="304"/>
      <c r="P205" s="304"/>
      <c r="Q205" s="304"/>
      <c r="R205" s="304"/>
      <c r="S205" s="304"/>
      <c r="T205" s="417"/>
      <c r="U205" s="192">
        <f t="shared" si="52"/>
        <v>0</v>
      </c>
      <c r="V205" s="192">
        <f t="shared" si="53"/>
        <v>0</v>
      </c>
      <c r="W205" s="270">
        <f t="shared" si="54"/>
        <v>0</v>
      </c>
      <c r="X205" s="271">
        <f t="shared" si="54"/>
        <v>0</v>
      </c>
      <c r="Y205" s="303"/>
      <c r="Z205" s="304"/>
      <c r="AA205" s="269"/>
      <c r="AB205" s="137">
        <f>'A. Revenue by Function'!N189</f>
        <v>0</v>
      </c>
      <c r="AC205" s="265"/>
      <c r="AD205" s="45"/>
      <c r="AE205" s="45"/>
      <c r="AF205" s="265"/>
      <c r="AG205" s="45"/>
      <c r="AH205" s="264"/>
      <c r="AI205" s="45"/>
      <c r="AJ205" s="265"/>
      <c r="AK205" s="137"/>
      <c r="AL205" s="218"/>
      <c r="AM205" s="218"/>
      <c r="AN205" s="270">
        <f>W205+Y205+AA205+AD205+AI205+AL205</f>
        <v>0</v>
      </c>
      <c r="AO205" s="271">
        <f>X205+Z205+AB205+AG205+AK205+AM205</f>
        <v>0</v>
      </c>
      <c r="AP205" s="192">
        <f>IF(AN205-AO205&lt;0, " ",AN205-AO205)</f>
        <v>0</v>
      </c>
      <c r="AQ205" s="271">
        <f>IF(AN205-AO205&gt;0, " ", AO205-AN205)</f>
        <v>0</v>
      </c>
      <c r="AR205" s="192"/>
      <c r="AS205" s="271"/>
      <c r="AT205" s="45"/>
      <c r="AU205" s="36"/>
      <c r="AV205" s="36"/>
      <c r="AW205" s="36"/>
      <c r="AX205" s="36"/>
    </row>
    <row r="206" spans="2:50" ht="15" customHeight="1" x14ac:dyDescent="0.2">
      <c r="B206" s="1085"/>
      <c r="C206" s="11" t="s">
        <v>372</v>
      </c>
      <c r="D206" s="11"/>
      <c r="E206" s="420"/>
      <c r="F206" s="318"/>
      <c r="G206" s="306"/>
      <c r="H206" s="306"/>
      <c r="I206" s="306"/>
      <c r="J206" s="306"/>
      <c r="K206" s="306"/>
      <c r="L206" s="306"/>
      <c r="M206" s="306"/>
      <c r="N206" s="421"/>
      <c r="O206" s="306"/>
      <c r="P206" s="306"/>
      <c r="Q206" s="306"/>
      <c r="R206" s="306"/>
      <c r="S206" s="306"/>
      <c r="T206" s="421"/>
      <c r="U206" s="192">
        <f t="shared" si="52"/>
        <v>0</v>
      </c>
      <c r="V206" s="192">
        <f t="shared" si="53"/>
        <v>0</v>
      </c>
      <c r="W206" s="270">
        <f t="shared" si="54"/>
        <v>0</v>
      </c>
      <c r="X206" s="271">
        <f t="shared" si="54"/>
        <v>0</v>
      </c>
      <c r="Y206" s="305"/>
      <c r="Z206" s="306"/>
      <c r="AA206" s="273"/>
      <c r="AB206" s="138">
        <f>'A. Revenue by Function'!N190</f>
        <v>0</v>
      </c>
      <c r="AC206" s="274"/>
      <c r="AD206" s="44"/>
      <c r="AE206" s="44"/>
      <c r="AF206" s="274"/>
      <c r="AG206" s="44"/>
      <c r="AH206" s="275"/>
      <c r="AI206" s="44"/>
      <c r="AJ206" s="274" t="str">
        <f>'I. Eliminations-Consolidations'!A250</f>
        <v>I.7</v>
      </c>
      <c r="AK206" s="138">
        <f>'I. Eliminations-Consolidations'!L277</f>
        <v>0</v>
      </c>
      <c r="AL206" s="220"/>
      <c r="AM206" s="220"/>
      <c r="AN206" s="270">
        <f>W206+Y206+AA206+AD206+AI206+AL206</f>
        <v>0</v>
      </c>
      <c r="AO206" s="271">
        <f>X206+Z206+AB206+AG206+AK206+AM206</f>
        <v>0</v>
      </c>
      <c r="AP206" s="192" t="str">
        <f>IF(AN206-AO206&lt;=0, " ",AN206-AO206)</f>
        <v xml:space="preserve"> </v>
      </c>
      <c r="AQ206" s="271" t="str">
        <f>IF(AN206-AO206&gt;=0, " ", AO206-AN206)</f>
        <v xml:space="preserve"> </v>
      </c>
      <c r="AR206" s="192"/>
      <c r="AS206" s="271"/>
      <c r="AT206" s="45"/>
      <c r="AU206" s="36"/>
      <c r="AV206" s="36"/>
      <c r="AW206" s="36"/>
      <c r="AX206" s="36"/>
    </row>
    <row r="207" spans="2:50" ht="15" customHeight="1" x14ac:dyDescent="0.2">
      <c r="B207" s="1085"/>
      <c r="C207" s="11" t="s">
        <v>373</v>
      </c>
      <c r="D207" s="11"/>
      <c r="E207" s="420"/>
      <c r="F207" s="318"/>
      <c r="G207" s="306"/>
      <c r="H207" s="306"/>
      <c r="I207" s="306"/>
      <c r="J207" s="306"/>
      <c r="K207" s="306"/>
      <c r="L207" s="306"/>
      <c r="M207" s="306"/>
      <c r="N207" s="421"/>
      <c r="O207" s="306"/>
      <c r="P207" s="306"/>
      <c r="Q207" s="306"/>
      <c r="R207" s="306"/>
      <c r="S207" s="306"/>
      <c r="T207" s="421"/>
      <c r="U207" s="192">
        <f t="shared" si="52"/>
        <v>0</v>
      </c>
      <c r="V207" s="192">
        <f t="shared" si="53"/>
        <v>0</v>
      </c>
      <c r="W207" s="270">
        <f t="shared" si="54"/>
        <v>0</v>
      </c>
      <c r="X207" s="271">
        <f t="shared" si="54"/>
        <v>0</v>
      </c>
      <c r="Y207" s="305"/>
      <c r="Z207" s="306"/>
      <c r="AA207" s="273"/>
      <c r="AB207" s="138">
        <f>'A. Revenue by Function'!N191</f>
        <v>0</v>
      </c>
      <c r="AC207" s="274"/>
      <c r="AD207" s="44"/>
      <c r="AE207" s="44"/>
      <c r="AF207" s="274"/>
      <c r="AG207" s="44"/>
      <c r="AH207" s="275"/>
      <c r="AI207" s="44"/>
      <c r="AJ207" s="274" t="str">
        <f>'I. Eliminations-Consolidations'!A250</f>
        <v>I.7</v>
      </c>
      <c r="AK207" s="138">
        <f>'I. Eliminations-Consolidations'!L294</f>
        <v>0</v>
      </c>
      <c r="AL207" s="220"/>
      <c r="AM207" s="220"/>
      <c r="AN207" s="270">
        <f>W207+Y207+AA207+AD207+AI207+AL207</f>
        <v>0</v>
      </c>
      <c r="AO207" s="271">
        <f>X207+Z207+AB207+AG207+AK207+AM207</f>
        <v>0</v>
      </c>
      <c r="AP207" s="192">
        <f>IF(AN207-AO207&lt;0, " ",AN207-AO207)</f>
        <v>0</v>
      </c>
      <c r="AQ207" s="271">
        <f>IF(AN207-AO207&gt;0, " ", AO207-AN207)</f>
        <v>0</v>
      </c>
      <c r="AR207" s="192"/>
      <c r="AS207" s="271"/>
      <c r="AT207" s="45"/>
      <c r="AU207" s="36"/>
      <c r="AV207" s="36"/>
      <c r="AW207" s="36"/>
      <c r="AX207" s="36"/>
    </row>
    <row r="208" spans="2:50" ht="6" customHeight="1" x14ac:dyDescent="0.2">
      <c r="C208" s="11"/>
      <c r="D208" s="11"/>
      <c r="E208" s="420"/>
      <c r="F208" s="318"/>
      <c r="G208" s="306"/>
      <c r="H208" s="306"/>
      <c r="I208" s="306"/>
      <c r="J208" s="306"/>
      <c r="K208" s="306"/>
      <c r="L208" s="306"/>
      <c r="M208" s="306"/>
      <c r="N208" s="421"/>
      <c r="O208" s="306"/>
      <c r="P208" s="306"/>
      <c r="Q208" s="306"/>
      <c r="R208" s="306"/>
      <c r="S208" s="306"/>
      <c r="T208" s="421"/>
      <c r="U208" s="192"/>
      <c r="V208" s="192"/>
      <c r="W208" s="270"/>
      <c r="X208" s="271"/>
      <c r="Y208" s="305"/>
      <c r="Z208" s="306"/>
      <c r="AA208" s="273"/>
      <c r="AB208" s="138"/>
      <c r="AC208" s="274"/>
      <c r="AD208" s="44"/>
      <c r="AE208" s="44"/>
      <c r="AF208" s="282"/>
      <c r="AG208" s="78"/>
      <c r="AH208" s="275"/>
      <c r="AI208" s="44"/>
      <c r="AJ208" s="274"/>
      <c r="AK208" s="138"/>
      <c r="AL208" s="220"/>
      <c r="AM208" s="220"/>
      <c r="AN208" s="270"/>
      <c r="AO208" s="271"/>
      <c r="AP208" s="192"/>
      <c r="AQ208" s="271"/>
      <c r="AR208" s="192"/>
      <c r="AS208" s="271"/>
      <c r="AT208" s="45"/>
      <c r="AU208" s="36"/>
      <c r="AV208" s="36"/>
      <c r="AW208" s="36"/>
      <c r="AX208" s="36"/>
    </row>
    <row r="209" spans="2:50" x14ac:dyDescent="0.2">
      <c r="B209" s="4" t="s">
        <v>514</v>
      </c>
      <c r="C209" s="11"/>
      <c r="D209" s="11"/>
      <c r="E209" s="420"/>
      <c r="F209" s="318"/>
      <c r="G209" s="306"/>
      <c r="H209" s="306"/>
      <c r="I209" s="306"/>
      <c r="J209" s="306"/>
      <c r="K209" s="306"/>
      <c r="L209" s="306"/>
      <c r="M209" s="306"/>
      <c r="N209" s="421"/>
      <c r="O209" s="306"/>
      <c r="P209" s="306"/>
      <c r="Q209" s="306"/>
      <c r="R209" s="306"/>
      <c r="S209" s="306"/>
      <c r="T209" s="421"/>
      <c r="U209" s="192"/>
      <c r="V209" s="192"/>
      <c r="W209" s="270"/>
      <c r="X209" s="271"/>
      <c r="Y209" s="305"/>
      <c r="Z209" s="306"/>
      <c r="AA209" s="273"/>
      <c r="AB209" s="138"/>
      <c r="AC209" s="274"/>
      <c r="AD209" s="44"/>
      <c r="AE209" s="44"/>
      <c r="AF209" s="274"/>
      <c r="AG209" s="44"/>
      <c r="AH209" s="275"/>
      <c r="AI209" s="44"/>
      <c r="AJ209" s="274"/>
      <c r="AK209" s="138"/>
      <c r="AL209" s="220"/>
      <c r="AM209" s="220"/>
      <c r="AN209" s="270"/>
      <c r="AO209" s="271"/>
      <c r="AP209" s="192"/>
      <c r="AQ209" s="271"/>
      <c r="AR209" s="192"/>
      <c r="AS209" s="271"/>
      <c r="AT209" s="45"/>
      <c r="AU209" s="36"/>
      <c r="AV209" s="36"/>
      <c r="AW209" s="36"/>
      <c r="AX209" s="36"/>
    </row>
    <row r="210" spans="2:50" ht="15" customHeight="1" x14ac:dyDescent="0.2">
      <c r="B210" s="1085" t="s">
        <v>18</v>
      </c>
      <c r="C210" s="11" t="s">
        <v>371</v>
      </c>
      <c r="D210" s="11"/>
      <c r="E210" s="420"/>
      <c r="F210" s="318"/>
      <c r="G210" s="306"/>
      <c r="H210" s="306"/>
      <c r="I210" s="306"/>
      <c r="J210" s="306"/>
      <c r="K210" s="306"/>
      <c r="L210" s="306"/>
      <c r="M210" s="306"/>
      <c r="N210" s="421"/>
      <c r="O210" s="306"/>
      <c r="P210" s="306"/>
      <c r="Q210" s="306"/>
      <c r="R210" s="306"/>
      <c r="S210" s="306"/>
      <c r="T210" s="421"/>
      <c r="U210" s="192">
        <f t="shared" si="52"/>
        <v>0</v>
      </c>
      <c r="V210" s="192">
        <f t="shared" si="53"/>
        <v>0</v>
      </c>
      <c r="W210" s="270">
        <f t="shared" si="54"/>
        <v>0</v>
      </c>
      <c r="X210" s="271">
        <f t="shared" si="54"/>
        <v>0</v>
      </c>
      <c r="Y210" s="305"/>
      <c r="Z210" s="306"/>
      <c r="AA210" s="273"/>
      <c r="AB210" s="138">
        <f>'A. Revenue by Function'!N193</f>
        <v>0</v>
      </c>
      <c r="AC210" s="274"/>
      <c r="AD210" s="44"/>
      <c r="AE210" s="44"/>
      <c r="AF210" s="274"/>
      <c r="AG210" s="44"/>
      <c r="AH210" s="275"/>
      <c r="AI210" s="44"/>
      <c r="AJ210" s="274"/>
      <c r="AK210" s="138"/>
      <c r="AL210" s="220"/>
      <c r="AM210" s="220"/>
      <c r="AN210" s="270">
        <f>W210+Y210+AA210+AD210+AI210+AL210</f>
        <v>0</v>
      </c>
      <c r="AO210" s="271">
        <f>X210+Z210+AB210+AG210+AK210+AM210</f>
        <v>0</v>
      </c>
      <c r="AP210" s="192">
        <f>IF(AN210-AO210&lt;0, " ",AN210-AO210)</f>
        <v>0</v>
      </c>
      <c r="AQ210" s="271">
        <f>IF(AN210-AO210&gt;0, " ", AO210-AN210)</f>
        <v>0</v>
      </c>
      <c r="AR210" s="192"/>
      <c r="AS210" s="271"/>
      <c r="AT210" s="45"/>
      <c r="AU210" s="36"/>
      <c r="AV210" s="36"/>
      <c r="AW210" s="36"/>
      <c r="AX210" s="36"/>
    </row>
    <row r="211" spans="2:50" ht="15" customHeight="1" x14ac:dyDescent="0.2">
      <c r="B211" s="1085"/>
      <c r="C211" s="11" t="s">
        <v>372</v>
      </c>
      <c r="D211" s="11"/>
      <c r="E211" s="420"/>
      <c r="F211" s="318"/>
      <c r="G211" s="306"/>
      <c r="H211" s="306"/>
      <c r="I211" s="306"/>
      <c r="J211" s="306"/>
      <c r="K211" s="306"/>
      <c r="L211" s="306"/>
      <c r="M211" s="306"/>
      <c r="N211" s="421"/>
      <c r="O211" s="306"/>
      <c r="P211" s="306"/>
      <c r="Q211" s="306"/>
      <c r="R211" s="306"/>
      <c r="S211" s="306"/>
      <c r="T211" s="421"/>
      <c r="U211" s="192">
        <f t="shared" si="52"/>
        <v>0</v>
      </c>
      <c r="V211" s="192">
        <f t="shared" si="53"/>
        <v>0</v>
      </c>
      <c r="W211" s="270">
        <f t="shared" si="54"/>
        <v>0</v>
      </c>
      <c r="X211" s="271">
        <f t="shared" si="54"/>
        <v>0</v>
      </c>
      <c r="Y211" s="305"/>
      <c r="Z211" s="306"/>
      <c r="AA211" s="273"/>
      <c r="AB211" s="138">
        <f>'A. Revenue by Function'!N194</f>
        <v>0</v>
      </c>
      <c r="AC211" s="274"/>
      <c r="AD211" s="44"/>
      <c r="AE211" s="44"/>
      <c r="AF211" s="274"/>
      <c r="AG211" s="44"/>
      <c r="AH211" s="275"/>
      <c r="AI211" s="44"/>
      <c r="AJ211" s="274" t="str">
        <f>'I. Eliminations-Consolidations'!A250</f>
        <v>I.7</v>
      </c>
      <c r="AK211" s="138">
        <f>'I. Eliminations-Consolidations'!L278</f>
        <v>0</v>
      </c>
      <c r="AL211" s="220"/>
      <c r="AM211" s="220"/>
      <c r="AN211" s="270">
        <f>W211+Y211+AA211+AD211+AI211+AL211</f>
        <v>0</v>
      </c>
      <c r="AO211" s="271">
        <f>X211+Z211+AB211+AG211+AK211+AM211</f>
        <v>0</v>
      </c>
      <c r="AP211" s="192" t="str">
        <f>IF(AN211-AO211&lt;=0, " ",AN211-AO211)</f>
        <v xml:space="preserve"> </v>
      </c>
      <c r="AQ211" s="271" t="str">
        <f>IF(AN211-AO211&gt;=0, " ", AO211-AN211)</f>
        <v xml:space="preserve"> </v>
      </c>
      <c r="AR211" s="192"/>
      <c r="AS211" s="271"/>
      <c r="AT211" s="45"/>
      <c r="AU211" s="36"/>
      <c r="AV211" s="36"/>
      <c r="AW211" s="36"/>
      <c r="AX211" s="36"/>
    </row>
    <row r="212" spans="2:50" ht="15" customHeight="1" x14ac:dyDescent="0.2">
      <c r="B212" s="1085"/>
      <c r="C212" t="s">
        <v>373</v>
      </c>
      <c r="E212" s="310"/>
      <c r="F212" s="416"/>
      <c r="G212" s="304"/>
      <c r="H212" s="304"/>
      <c r="I212" s="304"/>
      <c r="J212" s="304"/>
      <c r="K212" s="304"/>
      <c r="L212" s="304"/>
      <c r="M212" s="304"/>
      <c r="N212" s="417"/>
      <c r="O212" s="304"/>
      <c r="P212" s="304"/>
      <c r="Q212" s="304"/>
      <c r="R212" s="304"/>
      <c r="S212" s="304"/>
      <c r="T212" s="417"/>
      <c r="U212" s="192">
        <f t="shared" si="52"/>
        <v>0</v>
      </c>
      <c r="V212" s="192">
        <f t="shared" si="53"/>
        <v>0</v>
      </c>
      <c r="W212" s="270">
        <f t="shared" si="54"/>
        <v>0</v>
      </c>
      <c r="X212" s="271">
        <f t="shared" si="54"/>
        <v>0</v>
      </c>
      <c r="Y212" s="305"/>
      <c r="Z212" s="306"/>
      <c r="AA212" s="273"/>
      <c r="AB212" s="138">
        <f>'A. Revenue by Function'!N195</f>
        <v>0</v>
      </c>
      <c r="AC212" s="274"/>
      <c r="AD212" s="44"/>
      <c r="AE212" s="44"/>
      <c r="AF212" s="274"/>
      <c r="AG212" s="44"/>
      <c r="AH212" s="275"/>
      <c r="AI212" s="44"/>
      <c r="AJ212" s="274" t="str">
        <f>'I. Eliminations-Consolidations'!A250</f>
        <v>I.7</v>
      </c>
      <c r="AK212" s="138">
        <f>'I. Eliminations-Consolidations'!L295</f>
        <v>0</v>
      </c>
      <c r="AL212" s="220"/>
      <c r="AM212" s="220"/>
      <c r="AN212" s="270">
        <f>W212+Y212+AA212+AD212+AI212+AL212</f>
        <v>0</v>
      </c>
      <c r="AO212" s="271">
        <f>X212+Z212+AB212+AG212+AK212+AM212</f>
        <v>0</v>
      </c>
      <c r="AP212" s="192">
        <f>IF(AN212-AO212&lt;0, " ",AN212-AO212)</f>
        <v>0</v>
      </c>
      <c r="AQ212" s="271">
        <f>IF(AN212-AO212&gt;0, " ", AO212-AN212)</f>
        <v>0</v>
      </c>
      <c r="AR212" s="192"/>
      <c r="AS212" s="271"/>
      <c r="AT212" s="45"/>
      <c r="AU212" s="36"/>
      <c r="AV212" s="36"/>
      <c r="AW212" s="36"/>
      <c r="AX212" s="36"/>
    </row>
    <row r="213" spans="2:50" ht="4.5" customHeight="1" x14ac:dyDescent="0.2">
      <c r="E213" s="310"/>
      <c r="F213" s="416"/>
      <c r="G213" s="304"/>
      <c r="H213" s="304"/>
      <c r="I213" s="304"/>
      <c r="J213" s="304"/>
      <c r="K213" s="304"/>
      <c r="L213" s="304"/>
      <c r="M213" s="304"/>
      <c r="N213" s="417"/>
      <c r="O213" s="304"/>
      <c r="P213" s="304"/>
      <c r="Q213" s="304"/>
      <c r="R213" s="304"/>
      <c r="S213" s="304"/>
      <c r="T213" s="417"/>
      <c r="U213" s="192"/>
      <c r="V213" s="192"/>
      <c r="W213" s="270"/>
      <c r="X213" s="271"/>
      <c r="Y213" s="303"/>
      <c r="Z213" s="304"/>
      <c r="AA213" s="269"/>
      <c r="AB213" s="137"/>
      <c r="AC213" s="265"/>
      <c r="AD213" s="45"/>
      <c r="AE213" s="45"/>
      <c r="AF213" s="265"/>
      <c r="AG213" s="45"/>
      <c r="AH213" s="264"/>
      <c r="AI213" s="45"/>
      <c r="AJ213" s="265"/>
      <c r="AK213" s="137"/>
      <c r="AL213" s="218"/>
      <c r="AM213" s="218"/>
      <c r="AN213" s="270"/>
      <c r="AO213" s="271"/>
      <c r="AP213" s="192"/>
      <c r="AQ213" s="271"/>
      <c r="AR213" s="192"/>
      <c r="AS213" s="271"/>
      <c r="AT213" s="45"/>
      <c r="AU213" s="36"/>
      <c r="AV213" s="36"/>
      <c r="AW213" s="36"/>
      <c r="AX213" s="36"/>
    </row>
    <row r="214" spans="2:50" x14ac:dyDescent="0.2">
      <c r="B214" s="4" t="s">
        <v>515</v>
      </c>
      <c r="E214" s="310"/>
      <c r="F214" s="416"/>
      <c r="G214" s="304"/>
      <c r="H214" s="304"/>
      <c r="I214" s="304"/>
      <c r="J214" s="304"/>
      <c r="K214" s="304"/>
      <c r="L214" s="304"/>
      <c r="M214" s="304"/>
      <c r="N214" s="417"/>
      <c r="O214" s="304"/>
      <c r="P214" s="304"/>
      <c r="Q214" s="304"/>
      <c r="R214" s="304"/>
      <c r="S214" s="304"/>
      <c r="T214" s="417"/>
      <c r="U214" s="192"/>
      <c r="V214" s="192"/>
      <c r="W214" s="270"/>
      <c r="X214" s="271"/>
      <c r="Y214" s="303"/>
      <c r="Z214" s="304"/>
      <c r="AA214" s="269"/>
      <c r="AB214" s="137"/>
      <c r="AC214" s="265"/>
      <c r="AD214" s="45"/>
      <c r="AE214" s="45"/>
      <c r="AF214" s="265"/>
      <c r="AG214" s="45"/>
      <c r="AH214" s="264"/>
      <c r="AI214" s="45"/>
      <c r="AJ214" s="265"/>
      <c r="AK214" s="137"/>
      <c r="AL214" s="218"/>
      <c r="AM214" s="218"/>
      <c r="AN214" s="270"/>
      <c r="AO214" s="271"/>
      <c r="AP214" s="192"/>
      <c r="AQ214" s="271"/>
      <c r="AR214" s="192"/>
      <c r="AS214" s="271"/>
      <c r="AT214" s="45"/>
      <c r="AU214" s="36"/>
      <c r="AV214" s="36"/>
      <c r="AW214" s="36"/>
      <c r="AX214" s="36"/>
    </row>
    <row r="215" spans="2:50" ht="15" customHeight="1" x14ac:dyDescent="0.2">
      <c r="B215" s="1085" t="s">
        <v>18</v>
      </c>
      <c r="C215" t="s">
        <v>371</v>
      </c>
      <c r="E215" s="310"/>
      <c r="F215" s="416"/>
      <c r="G215" s="304"/>
      <c r="H215" s="304"/>
      <c r="I215" s="304"/>
      <c r="J215" s="304"/>
      <c r="K215" s="304"/>
      <c r="L215" s="304"/>
      <c r="M215" s="304"/>
      <c r="N215" s="417"/>
      <c r="O215" s="304"/>
      <c r="P215" s="304"/>
      <c r="Q215" s="304"/>
      <c r="R215" s="304"/>
      <c r="S215" s="304"/>
      <c r="T215" s="417"/>
      <c r="U215" s="192">
        <f t="shared" si="52"/>
        <v>0</v>
      </c>
      <c r="V215" s="192">
        <f t="shared" si="53"/>
        <v>0</v>
      </c>
      <c r="W215" s="270">
        <f t="shared" si="54"/>
        <v>0</v>
      </c>
      <c r="X215" s="271">
        <f t="shared" si="54"/>
        <v>0</v>
      </c>
      <c r="Y215" s="303"/>
      <c r="Z215" s="304"/>
      <c r="AA215" s="269"/>
      <c r="AB215" s="137">
        <f>'A. Revenue by Function'!N197</f>
        <v>0</v>
      </c>
      <c r="AC215" s="265"/>
      <c r="AD215" s="45"/>
      <c r="AE215" s="45"/>
      <c r="AF215" s="265"/>
      <c r="AG215" s="45"/>
      <c r="AH215" s="264" t="str">
        <f>'I. Eliminations-Consolidations'!A229</f>
        <v>I.5</v>
      </c>
      <c r="AI215" s="45">
        <f>'I. Eliminations-Consolidations'!J229</f>
        <v>0</v>
      </c>
      <c r="AJ215" s="265"/>
      <c r="AK215" s="137"/>
      <c r="AL215" s="218"/>
      <c r="AM215" s="218"/>
      <c r="AN215" s="270">
        <f>W215+Y215+AA215+AD215+AI215+AL215</f>
        <v>0</v>
      </c>
      <c r="AO215" s="271">
        <f>X215+Z215+AB215+AG215+AK215+AM215</f>
        <v>0</v>
      </c>
      <c r="AP215" s="192">
        <f>IF(AN215-AO215&lt;0, " ",AN215-AO215)</f>
        <v>0</v>
      </c>
      <c r="AQ215" s="271">
        <f>IF(AN215-AO215&gt;0, " ", AO215-AN215)</f>
        <v>0</v>
      </c>
      <c r="AR215" s="192"/>
      <c r="AS215" s="271"/>
      <c r="AT215" s="45"/>
      <c r="AU215" s="36"/>
      <c r="AV215" s="36"/>
      <c r="AW215" s="36"/>
      <c r="AX215" s="36"/>
    </row>
    <row r="216" spans="2:50" ht="15" customHeight="1" x14ac:dyDescent="0.2">
      <c r="B216" s="1085"/>
      <c r="C216" s="11" t="s">
        <v>372</v>
      </c>
      <c r="D216" s="11"/>
      <c r="E216" s="420"/>
      <c r="F216" s="318"/>
      <c r="G216" s="306"/>
      <c r="H216" s="306"/>
      <c r="I216" s="306"/>
      <c r="J216" s="306"/>
      <c r="K216" s="306"/>
      <c r="L216" s="306"/>
      <c r="M216" s="306"/>
      <c r="N216" s="421"/>
      <c r="O216" s="306"/>
      <c r="P216" s="306"/>
      <c r="Q216" s="306"/>
      <c r="R216" s="306"/>
      <c r="S216" s="306"/>
      <c r="T216" s="421"/>
      <c r="U216" s="192">
        <f t="shared" si="52"/>
        <v>0</v>
      </c>
      <c r="V216" s="192">
        <f t="shared" si="53"/>
        <v>0</v>
      </c>
      <c r="W216" s="270">
        <f t="shared" si="54"/>
        <v>0</v>
      </c>
      <c r="X216" s="271">
        <f t="shared" si="54"/>
        <v>0</v>
      </c>
      <c r="Y216" s="305"/>
      <c r="Z216" s="306"/>
      <c r="AA216" s="273"/>
      <c r="AB216" s="138">
        <f>'A. Revenue by Function'!N198</f>
        <v>0</v>
      </c>
      <c r="AC216" s="274"/>
      <c r="AD216" s="44"/>
      <c r="AE216" s="44"/>
      <c r="AF216" s="274"/>
      <c r="AG216" s="44"/>
      <c r="AH216" s="275"/>
      <c r="AI216" s="44"/>
      <c r="AJ216" s="274" t="str">
        <f>'I. Eliminations-Consolidations'!A250</f>
        <v>I.7</v>
      </c>
      <c r="AK216" s="138">
        <f>'I. Eliminations-Consolidations'!L279</f>
        <v>0</v>
      </c>
      <c r="AL216" s="220"/>
      <c r="AM216" s="220"/>
      <c r="AN216" s="270">
        <f>W216+Y216+AA216+AD216+AI216+AL216</f>
        <v>0</v>
      </c>
      <c r="AO216" s="271">
        <f>X216+Z216+AB216+AG216+AK216+AM216</f>
        <v>0</v>
      </c>
      <c r="AP216" s="192" t="str">
        <f>IF(AN216-AO216&lt;=0, " ",AN216-AO216)</f>
        <v xml:space="preserve"> </v>
      </c>
      <c r="AQ216" s="271" t="str">
        <f>IF(AN216-AO216&gt;=0, " ", AO216-AN216)</f>
        <v xml:space="preserve"> </v>
      </c>
      <c r="AR216" s="192"/>
      <c r="AS216" s="271"/>
      <c r="AT216" s="45"/>
      <c r="AU216" s="36"/>
      <c r="AV216" s="36"/>
      <c r="AW216" s="36"/>
      <c r="AX216" s="36"/>
    </row>
    <row r="217" spans="2:50" ht="15" customHeight="1" x14ac:dyDescent="0.2">
      <c r="B217" s="1085"/>
      <c r="C217" s="11" t="s">
        <v>373</v>
      </c>
      <c r="D217" s="11"/>
      <c r="E217" s="420"/>
      <c r="F217" s="318"/>
      <c r="G217" s="306"/>
      <c r="H217" s="306"/>
      <c r="I217" s="306"/>
      <c r="J217" s="306"/>
      <c r="K217" s="306"/>
      <c r="L217" s="306"/>
      <c r="M217" s="306"/>
      <c r="N217" s="421"/>
      <c r="O217" s="306"/>
      <c r="P217" s="306"/>
      <c r="Q217" s="306"/>
      <c r="R217" s="306"/>
      <c r="S217" s="306"/>
      <c r="T217" s="421"/>
      <c r="U217" s="192">
        <f t="shared" ref="U217:U294" si="55">O217+Q217+S217</f>
        <v>0</v>
      </c>
      <c r="V217" s="192">
        <f t="shared" ref="V217:V294" si="56">P217+R217+T217</f>
        <v>0</v>
      </c>
      <c r="W217" s="270">
        <f t="shared" si="54"/>
        <v>0</v>
      </c>
      <c r="X217" s="271">
        <f t="shared" si="54"/>
        <v>0</v>
      </c>
      <c r="Y217" s="305"/>
      <c r="Z217" s="306"/>
      <c r="AA217" s="273"/>
      <c r="AB217" s="138">
        <f>'A. Revenue by Function'!N199</f>
        <v>0</v>
      </c>
      <c r="AC217" s="274"/>
      <c r="AD217" s="44"/>
      <c r="AE217" s="44"/>
      <c r="AF217" s="274"/>
      <c r="AG217" s="44"/>
      <c r="AH217" s="275"/>
      <c r="AI217" s="44"/>
      <c r="AJ217" s="274" t="str">
        <f>'I. Eliminations-Consolidations'!A250</f>
        <v>I.7</v>
      </c>
      <c r="AK217" s="138">
        <f>'I. Eliminations-Consolidations'!L296</f>
        <v>0</v>
      </c>
      <c r="AL217" s="220"/>
      <c r="AM217" s="220"/>
      <c r="AN217" s="270">
        <f>W217+Y217+AA217+AD217+AI217+AL217</f>
        <v>0</v>
      </c>
      <c r="AO217" s="271">
        <f>X217+Z217+AB217+AG217+AK217+AM217</f>
        <v>0</v>
      </c>
      <c r="AP217" s="192">
        <f>IF(AN217-AO217&lt;0, " ",AN217-AO217)</f>
        <v>0</v>
      </c>
      <c r="AQ217" s="271">
        <f>IF(AN217-AO217&gt;0, " ", AO217-AN217)</f>
        <v>0</v>
      </c>
      <c r="AR217" s="192"/>
      <c r="AS217" s="271"/>
      <c r="AT217" s="45"/>
      <c r="AU217" s="36"/>
      <c r="AV217" s="36"/>
      <c r="AW217" s="36"/>
      <c r="AX217" s="36"/>
    </row>
    <row r="218" spans="2:50" ht="4.5" customHeight="1" x14ac:dyDescent="0.2">
      <c r="B218" s="98"/>
      <c r="C218" s="11"/>
      <c r="D218" s="11"/>
      <c r="E218" s="420"/>
      <c r="F218" s="318"/>
      <c r="G218" s="306"/>
      <c r="H218" s="306"/>
      <c r="I218" s="306"/>
      <c r="J218" s="306"/>
      <c r="K218" s="306"/>
      <c r="L218" s="306"/>
      <c r="M218" s="306"/>
      <c r="N218" s="421"/>
      <c r="O218" s="306"/>
      <c r="P218" s="306"/>
      <c r="Q218" s="306"/>
      <c r="R218" s="306"/>
      <c r="S218" s="306"/>
      <c r="T218" s="421"/>
      <c r="U218" s="192"/>
      <c r="V218" s="192"/>
      <c r="W218" s="270"/>
      <c r="X218" s="271"/>
      <c r="Y218" s="305"/>
      <c r="Z218" s="306"/>
      <c r="AA218" s="273"/>
      <c r="AB218" s="138"/>
      <c r="AC218" s="274"/>
      <c r="AD218" s="44"/>
      <c r="AE218" s="44"/>
      <c r="AF218" s="274"/>
      <c r="AG218" s="78"/>
      <c r="AH218" s="275"/>
      <c r="AI218" s="44"/>
      <c r="AJ218" s="274"/>
      <c r="AK218" s="138"/>
      <c r="AL218" s="220"/>
      <c r="AM218" s="220"/>
      <c r="AN218" s="270"/>
      <c r="AO218" s="271"/>
      <c r="AP218" s="192"/>
      <c r="AQ218" s="271"/>
      <c r="AR218" s="192"/>
      <c r="AS218" s="271"/>
      <c r="AT218" s="45"/>
      <c r="AU218" s="36"/>
      <c r="AV218" s="36"/>
      <c r="AW218" s="36"/>
      <c r="AX218" s="36"/>
    </row>
    <row r="219" spans="2:50" ht="12.75" customHeight="1" x14ac:dyDescent="0.2">
      <c r="B219" s="99" t="s">
        <v>516</v>
      </c>
      <c r="C219" s="11"/>
      <c r="D219" s="11"/>
      <c r="E219" s="420"/>
      <c r="F219" s="318"/>
      <c r="G219" s="306"/>
      <c r="H219" s="306"/>
      <c r="I219" s="306"/>
      <c r="J219" s="306"/>
      <c r="K219" s="306"/>
      <c r="L219" s="306"/>
      <c r="M219" s="306"/>
      <c r="N219" s="421"/>
      <c r="O219" s="306"/>
      <c r="P219" s="306"/>
      <c r="Q219" s="306"/>
      <c r="R219" s="306"/>
      <c r="S219" s="306"/>
      <c r="T219" s="421"/>
      <c r="U219" s="192"/>
      <c r="V219" s="192"/>
      <c r="W219" s="270"/>
      <c r="X219" s="271"/>
      <c r="Y219" s="305"/>
      <c r="Z219" s="306"/>
      <c r="AA219" s="273"/>
      <c r="AB219" s="138"/>
      <c r="AC219" s="274"/>
      <c r="AD219" s="44"/>
      <c r="AE219" s="44"/>
      <c r="AF219" s="274"/>
      <c r="AG219" s="78"/>
      <c r="AH219" s="275"/>
      <c r="AI219" s="44"/>
      <c r="AJ219" s="274"/>
      <c r="AK219" s="138"/>
      <c r="AL219" s="220"/>
      <c r="AM219" s="220"/>
      <c r="AN219" s="270"/>
      <c r="AO219" s="271"/>
      <c r="AP219" s="192"/>
      <c r="AQ219" s="271"/>
      <c r="AR219" s="192"/>
      <c r="AS219" s="271"/>
      <c r="AT219" s="45"/>
      <c r="AU219" s="36"/>
      <c r="AV219" s="36"/>
      <c r="AW219" s="36"/>
      <c r="AX219" s="36"/>
    </row>
    <row r="220" spans="2:50" ht="15" customHeight="1" x14ac:dyDescent="0.2">
      <c r="B220" s="1085" t="s">
        <v>18</v>
      </c>
      <c r="C220" s="11" t="s">
        <v>371</v>
      </c>
      <c r="D220" s="11"/>
      <c r="E220" s="420"/>
      <c r="F220" s="318"/>
      <c r="G220" s="306"/>
      <c r="H220" s="306"/>
      <c r="I220" s="306"/>
      <c r="J220" s="306"/>
      <c r="K220" s="306"/>
      <c r="L220" s="306"/>
      <c r="M220" s="306"/>
      <c r="N220" s="421"/>
      <c r="O220" s="306"/>
      <c r="P220" s="306"/>
      <c r="Q220" s="306"/>
      <c r="R220" s="306"/>
      <c r="S220" s="306"/>
      <c r="T220" s="421"/>
      <c r="U220" s="192">
        <f t="shared" si="55"/>
        <v>0</v>
      </c>
      <c r="V220" s="192">
        <f t="shared" si="56"/>
        <v>0</v>
      </c>
      <c r="W220" s="270">
        <f t="shared" ref="W220:X294" si="57">E220+G220+I220+K220+M220+U220</f>
        <v>0</v>
      </c>
      <c r="X220" s="271">
        <f t="shared" si="57"/>
        <v>0</v>
      </c>
      <c r="Y220" s="305"/>
      <c r="Z220" s="306"/>
      <c r="AA220" s="273"/>
      <c r="AB220" s="138">
        <f>'A. Revenue by Function'!N201</f>
        <v>0</v>
      </c>
      <c r="AC220" s="274"/>
      <c r="AD220" s="44"/>
      <c r="AE220" s="44"/>
      <c r="AF220" s="274"/>
      <c r="AG220" s="78"/>
      <c r="AH220" s="275"/>
      <c r="AI220" s="44"/>
      <c r="AJ220" s="274"/>
      <c r="AK220" s="138"/>
      <c r="AL220" s="220"/>
      <c r="AM220" s="220"/>
      <c r="AN220" s="270">
        <f>W220+Y220+AA220+AD220+AI220+AL220</f>
        <v>0</v>
      </c>
      <c r="AO220" s="271">
        <f>X220+Z220+AB220+AG220+AK220+AM220</f>
        <v>0</v>
      </c>
      <c r="AP220" s="192">
        <f>IF(AN220-AO220&lt;0, " ",AN220-AO220)</f>
        <v>0</v>
      </c>
      <c r="AQ220" s="271">
        <f>IF(AN220-AO220&gt;0, " ", AO220-AN220)</f>
        <v>0</v>
      </c>
      <c r="AR220" s="192"/>
      <c r="AS220" s="271"/>
      <c r="AT220" s="45"/>
      <c r="AU220" s="36"/>
      <c r="AV220" s="36"/>
      <c r="AW220" s="36"/>
      <c r="AX220" s="36"/>
    </row>
    <row r="221" spans="2:50" ht="15" customHeight="1" x14ac:dyDescent="0.2">
      <c r="B221" s="1085"/>
      <c r="C221" s="11" t="s">
        <v>372</v>
      </c>
      <c r="D221" s="11"/>
      <c r="E221" s="420"/>
      <c r="F221" s="318"/>
      <c r="G221" s="306"/>
      <c r="H221" s="306"/>
      <c r="I221" s="306"/>
      <c r="J221" s="306"/>
      <c r="K221" s="306"/>
      <c r="L221" s="306"/>
      <c r="M221" s="306"/>
      <c r="N221" s="421"/>
      <c r="O221" s="306"/>
      <c r="P221" s="306"/>
      <c r="Q221" s="306"/>
      <c r="R221" s="306"/>
      <c r="S221" s="306"/>
      <c r="T221" s="421"/>
      <c r="U221" s="192">
        <f t="shared" si="55"/>
        <v>0</v>
      </c>
      <c r="V221" s="192">
        <f t="shared" si="56"/>
        <v>0</v>
      </c>
      <c r="W221" s="270">
        <f t="shared" si="57"/>
        <v>0</v>
      </c>
      <c r="X221" s="271">
        <f t="shared" si="57"/>
        <v>0</v>
      </c>
      <c r="Y221" s="305"/>
      <c r="Z221" s="306"/>
      <c r="AA221" s="273"/>
      <c r="AB221" s="138">
        <f>'A. Revenue by Function'!N202</f>
        <v>0</v>
      </c>
      <c r="AC221" s="274"/>
      <c r="AD221" s="44"/>
      <c r="AE221" s="44"/>
      <c r="AF221" s="274"/>
      <c r="AG221" s="78"/>
      <c r="AH221" s="275"/>
      <c r="AI221" s="44"/>
      <c r="AJ221" s="274" t="str">
        <f>'I. Eliminations-Consolidations'!$A$250</f>
        <v>I.7</v>
      </c>
      <c r="AK221" s="138">
        <f>'I. Eliminations-Consolidations'!L280</f>
        <v>0</v>
      </c>
      <c r="AL221" s="220"/>
      <c r="AM221" s="220"/>
      <c r="AN221" s="270">
        <f>W221+Y221+AA221+AD221+AI221+AL221</f>
        <v>0</v>
      </c>
      <c r="AO221" s="271">
        <f>X221+Z221+AB221+AG221+AK221+AM221</f>
        <v>0</v>
      </c>
      <c r="AP221" s="192" t="str">
        <f>IF(AN221-AO221&lt;=0, " ",AN221-AO221)</f>
        <v xml:space="preserve"> </v>
      </c>
      <c r="AQ221" s="271" t="str">
        <f>IF(AN221-AO221&gt;=0, " ", AO221-AN221)</f>
        <v xml:space="preserve"> </v>
      </c>
      <c r="AR221" s="192"/>
      <c r="AS221" s="271"/>
      <c r="AT221" s="45"/>
      <c r="AU221" s="36"/>
      <c r="AV221" s="36"/>
      <c r="AW221" s="36"/>
      <c r="AX221" s="36"/>
    </row>
    <row r="222" spans="2:50" ht="15" customHeight="1" x14ac:dyDescent="0.2">
      <c r="B222" s="1085"/>
      <c r="C222" t="s">
        <v>373</v>
      </c>
      <c r="E222" s="310"/>
      <c r="F222" s="416"/>
      <c r="G222" s="304"/>
      <c r="H222" s="304"/>
      <c r="I222" s="304"/>
      <c r="J222" s="304"/>
      <c r="K222" s="304"/>
      <c r="L222" s="304"/>
      <c r="M222" s="304"/>
      <c r="N222" s="417"/>
      <c r="O222" s="304"/>
      <c r="P222" s="304"/>
      <c r="Q222" s="304"/>
      <c r="R222" s="304"/>
      <c r="S222" s="304"/>
      <c r="T222" s="417"/>
      <c r="U222" s="192">
        <f t="shared" si="55"/>
        <v>0</v>
      </c>
      <c r="V222" s="192">
        <f t="shared" si="56"/>
        <v>0</v>
      </c>
      <c r="W222" s="270">
        <f t="shared" si="57"/>
        <v>0</v>
      </c>
      <c r="X222" s="271">
        <f t="shared" si="57"/>
        <v>0</v>
      </c>
      <c r="Y222" s="303"/>
      <c r="Z222" s="304"/>
      <c r="AA222" s="269"/>
      <c r="AB222" s="137">
        <f>'A. Revenue by Function'!N203</f>
        <v>0</v>
      </c>
      <c r="AC222" s="265"/>
      <c r="AD222" s="45"/>
      <c r="AE222" s="45"/>
      <c r="AF222" s="265"/>
      <c r="AH222" s="264"/>
      <c r="AI222" s="45"/>
      <c r="AJ222" s="265" t="str">
        <f>'I. Eliminations-Consolidations'!A250</f>
        <v>I.7</v>
      </c>
      <c r="AK222" s="137">
        <f>'I. Eliminations-Consolidations'!L297</f>
        <v>0</v>
      </c>
      <c r="AL222" s="218"/>
      <c r="AM222" s="218"/>
      <c r="AN222" s="270">
        <f>W222+Y222+AA222+AD222+AI222+AL222</f>
        <v>0</v>
      </c>
      <c r="AO222" s="271">
        <f>X222+Z222+AB222+AG222+AK222+AM222</f>
        <v>0</v>
      </c>
      <c r="AP222" s="192">
        <f>IF(AN222-AO222&lt;0, " ",AN222-AO222)</f>
        <v>0</v>
      </c>
      <c r="AQ222" s="271">
        <f>IF(AN222-AO222&gt;0, " ", AO222-AN222)</f>
        <v>0</v>
      </c>
      <c r="AR222" s="192"/>
      <c r="AS222" s="271"/>
      <c r="AT222" s="45"/>
      <c r="AU222" s="36"/>
      <c r="AV222" s="36"/>
      <c r="AW222" s="36"/>
      <c r="AX222" s="36"/>
    </row>
    <row r="223" spans="2:50" ht="4.5" customHeight="1" x14ac:dyDescent="0.2">
      <c r="B223" s="98"/>
      <c r="E223" s="310"/>
      <c r="F223" s="416"/>
      <c r="G223" s="304"/>
      <c r="H223" s="304"/>
      <c r="I223" s="304"/>
      <c r="J223" s="304"/>
      <c r="K223" s="304"/>
      <c r="L223" s="304"/>
      <c r="M223" s="304"/>
      <c r="N223" s="417"/>
      <c r="O223" s="304"/>
      <c r="P223" s="304"/>
      <c r="Q223" s="304"/>
      <c r="R223" s="304"/>
      <c r="S223" s="304"/>
      <c r="T223" s="417"/>
      <c r="U223" s="192"/>
      <c r="V223" s="192"/>
      <c r="W223" s="270"/>
      <c r="X223" s="271"/>
      <c r="Y223" s="303"/>
      <c r="Z223" s="304"/>
      <c r="AA223" s="269"/>
      <c r="AB223" s="137"/>
      <c r="AC223" s="265"/>
      <c r="AD223" s="45"/>
      <c r="AE223" s="45"/>
      <c r="AF223" s="265"/>
      <c r="AH223" s="264"/>
      <c r="AI223" s="45"/>
      <c r="AJ223" s="265"/>
      <c r="AK223" s="137"/>
      <c r="AL223" s="218"/>
      <c r="AM223" s="218"/>
      <c r="AN223" s="270"/>
      <c r="AO223" s="271"/>
      <c r="AP223" s="192"/>
      <c r="AQ223" s="271"/>
      <c r="AR223" s="192"/>
      <c r="AS223" s="271"/>
      <c r="AT223" s="45"/>
      <c r="AU223" s="36"/>
      <c r="AV223" s="36"/>
      <c r="AW223" s="36"/>
      <c r="AX223" s="36"/>
    </row>
    <row r="224" spans="2:50" ht="12.75" customHeight="1" x14ac:dyDescent="0.2">
      <c r="B224" s="99" t="s">
        <v>518</v>
      </c>
      <c r="C224" s="11"/>
      <c r="D224" s="11"/>
      <c r="E224" s="420"/>
      <c r="F224" s="318"/>
      <c r="G224" s="306"/>
      <c r="H224" s="306"/>
      <c r="I224" s="306"/>
      <c r="J224" s="306"/>
      <c r="K224" s="306"/>
      <c r="L224" s="306"/>
      <c r="M224" s="306"/>
      <c r="N224" s="421"/>
      <c r="O224" s="306"/>
      <c r="P224" s="306"/>
      <c r="Q224" s="306"/>
      <c r="R224" s="306"/>
      <c r="S224" s="306"/>
      <c r="T224" s="421"/>
      <c r="U224" s="192"/>
      <c r="V224" s="192"/>
      <c r="W224" s="270"/>
      <c r="X224" s="271"/>
      <c r="Y224" s="305"/>
      <c r="Z224" s="306"/>
      <c r="AA224" s="273"/>
      <c r="AB224" s="138"/>
      <c r="AC224" s="274"/>
      <c r="AD224" s="44"/>
      <c r="AE224" s="44"/>
      <c r="AF224" s="274"/>
      <c r="AG224" s="78"/>
      <c r="AH224" s="275"/>
      <c r="AI224" s="44"/>
      <c r="AJ224" s="274"/>
      <c r="AK224" s="138"/>
      <c r="AL224" s="220"/>
      <c r="AM224" s="220"/>
      <c r="AN224" s="270"/>
      <c r="AO224" s="271"/>
      <c r="AP224" s="192"/>
      <c r="AQ224" s="271"/>
      <c r="AR224" s="192"/>
      <c r="AS224" s="271"/>
      <c r="AT224" s="45"/>
      <c r="AU224" s="36"/>
      <c r="AV224" s="36"/>
      <c r="AW224" s="36"/>
      <c r="AX224" s="36"/>
    </row>
    <row r="225" spans="2:50" ht="15" customHeight="1" x14ac:dyDescent="0.2">
      <c r="B225" s="1085" t="s">
        <v>18</v>
      </c>
      <c r="C225" s="11" t="s">
        <v>371</v>
      </c>
      <c r="D225" s="11"/>
      <c r="E225" s="420"/>
      <c r="F225" s="318"/>
      <c r="G225" s="306"/>
      <c r="H225" s="306"/>
      <c r="I225" s="306"/>
      <c r="J225" s="306"/>
      <c r="K225" s="306"/>
      <c r="L225" s="306"/>
      <c r="M225" s="306"/>
      <c r="N225" s="421"/>
      <c r="O225" s="306"/>
      <c r="P225" s="306"/>
      <c r="Q225" s="306"/>
      <c r="R225" s="306"/>
      <c r="S225" s="306"/>
      <c r="T225" s="421"/>
      <c r="U225" s="192">
        <f t="shared" ref="U225:V227" si="58">O225+Q225+S225</f>
        <v>0</v>
      </c>
      <c r="V225" s="192">
        <f t="shared" si="58"/>
        <v>0</v>
      </c>
      <c r="W225" s="270">
        <f t="shared" ref="W225:X227" si="59">E225+G225+I225+K225+M225+U225</f>
        <v>0</v>
      </c>
      <c r="X225" s="271">
        <f t="shared" si="59"/>
        <v>0</v>
      </c>
      <c r="Y225" s="305"/>
      <c r="Z225" s="306"/>
      <c r="AA225" s="273"/>
      <c r="AB225" s="138">
        <f>'A. Revenue by Function'!N205</f>
        <v>0</v>
      </c>
      <c r="AC225" s="274"/>
      <c r="AD225" s="44"/>
      <c r="AE225" s="44"/>
      <c r="AF225" s="274"/>
      <c r="AG225" s="78"/>
      <c r="AH225" s="275"/>
      <c r="AI225" s="44"/>
      <c r="AJ225" s="274"/>
      <c r="AK225" s="138"/>
      <c r="AL225" s="220"/>
      <c r="AM225" s="220"/>
      <c r="AN225" s="270">
        <f>W225+Y225+AA225+AD225+AI225+AL225</f>
        <v>0</v>
      </c>
      <c r="AO225" s="271">
        <f>X225+Z225+AB225+AG225+AK225+AM225</f>
        <v>0</v>
      </c>
      <c r="AP225" s="192">
        <f>IF(AN225-AO225&lt;0, " ",AN225-AO225)</f>
        <v>0</v>
      </c>
      <c r="AQ225" s="271">
        <f>IF(AN225-AO225&gt;0, " ", AO225-AN225)</f>
        <v>0</v>
      </c>
      <c r="AR225" s="192"/>
      <c r="AS225" s="271"/>
      <c r="AT225" s="45"/>
      <c r="AU225" s="36"/>
      <c r="AV225" s="36"/>
      <c r="AW225" s="36"/>
      <c r="AX225" s="36"/>
    </row>
    <row r="226" spans="2:50" ht="15" customHeight="1" x14ac:dyDescent="0.2">
      <c r="B226" s="1085"/>
      <c r="C226" s="11" t="s">
        <v>372</v>
      </c>
      <c r="D226" s="11"/>
      <c r="E226" s="420"/>
      <c r="F226" s="318"/>
      <c r="G226" s="306"/>
      <c r="H226" s="306"/>
      <c r="I226" s="306"/>
      <c r="J226" s="306"/>
      <c r="K226" s="306"/>
      <c r="L226" s="306"/>
      <c r="M226" s="306"/>
      <c r="N226" s="421"/>
      <c r="O226" s="306"/>
      <c r="P226" s="306"/>
      <c r="Q226" s="306"/>
      <c r="R226" s="306"/>
      <c r="S226" s="306"/>
      <c r="T226" s="421"/>
      <c r="U226" s="192">
        <f t="shared" si="58"/>
        <v>0</v>
      </c>
      <c r="V226" s="192">
        <f t="shared" si="58"/>
        <v>0</v>
      </c>
      <c r="W226" s="270">
        <f t="shared" si="59"/>
        <v>0</v>
      </c>
      <c r="X226" s="271">
        <f t="shared" si="59"/>
        <v>0</v>
      </c>
      <c r="Y226" s="305"/>
      <c r="Z226" s="306"/>
      <c r="AA226" s="273"/>
      <c r="AB226" s="138">
        <f>'A. Revenue by Function'!N206</f>
        <v>0</v>
      </c>
      <c r="AC226" s="274"/>
      <c r="AD226" s="44"/>
      <c r="AE226" s="44"/>
      <c r="AF226" s="274"/>
      <c r="AG226" s="78"/>
      <c r="AH226" s="275"/>
      <c r="AI226" s="44"/>
      <c r="AJ226" s="274" t="str">
        <f>'I. Eliminations-Consolidations'!$A$250</f>
        <v>I.7</v>
      </c>
      <c r="AK226" s="138">
        <f>'I. Eliminations-Consolidations'!L281</f>
        <v>0</v>
      </c>
      <c r="AL226" s="220"/>
      <c r="AM226" s="220"/>
      <c r="AN226" s="270">
        <f>W226+Y226+AA226+AD226+AI226+AL226</f>
        <v>0</v>
      </c>
      <c r="AO226" s="271">
        <f>X226+Z226+AB226+AG226+AK226+AM226</f>
        <v>0</v>
      </c>
      <c r="AP226" s="192" t="str">
        <f>IF(AN226-AO226&lt;=0, " ",AN226-AO226)</f>
        <v xml:space="preserve"> </v>
      </c>
      <c r="AQ226" s="271" t="str">
        <f>IF(AN226-AO226&gt;=0, " ", AO226-AN226)</f>
        <v xml:space="preserve"> </v>
      </c>
      <c r="AR226" s="192"/>
      <c r="AS226" s="271"/>
      <c r="AT226" s="45"/>
      <c r="AU226" s="36"/>
      <c r="AV226" s="36"/>
      <c r="AW226" s="36"/>
      <c r="AX226" s="36"/>
    </row>
    <row r="227" spans="2:50" ht="15" customHeight="1" x14ac:dyDescent="0.2">
      <c r="B227" s="1085"/>
      <c r="C227" t="s">
        <v>373</v>
      </c>
      <c r="E227" s="310"/>
      <c r="F227" s="416"/>
      <c r="G227" s="304"/>
      <c r="H227" s="304"/>
      <c r="I227" s="304"/>
      <c r="J227" s="304"/>
      <c r="K227" s="304"/>
      <c r="L227" s="304"/>
      <c r="M227" s="304"/>
      <c r="N227" s="417"/>
      <c r="O227" s="304"/>
      <c r="P227" s="304"/>
      <c r="Q227" s="304"/>
      <c r="R227" s="304"/>
      <c r="S227" s="304"/>
      <c r="T227" s="417"/>
      <c r="U227" s="192">
        <f t="shared" si="58"/>
        <v>0</v>
      </c>
      <c r="V227" s="192">
        <f t="shared" si="58"/>
        <v>0</v>
      </c>
      <c r="W227" s="270">
        <f t="shared" si="59"/>
        <v>0</v>
      </c>
      <c r="X227" s="271">
        <f t="shared" si="59"/>
        <v>0</v>
      </c>
      <c r="Y227" s="303"/>
      <c r="Z227" s="304"/>
      <c r="AA227" s="269"/>
      <c r="AB227" s="137">
        <f>'A. Revenue by Function'!N207</f>
        <v>0</v>
      </c>
      <c r="AC227" s="265"/>
      <c r="AD227" s="45"/>
      <c r="AE227" s="45"/>
      <c r="AF227" s="265"/>
      <c r="AH227" s="264"/>
      <c r="AI227" s="45"/>
      <c r="AJ227" s="274" t="str">
        <f>'I. Eliminations-Consolidations'!$A$250</f>
        <v>I.7</v>
      </c>
      <c r="AK227" s="137">
        <f>'I. Eliminations-Consolidations'!L298</f>
        <v>0</v>
      </c>
      <c r="AL227" s="218"/>
      <c r="AM227" s="218"/>
      <c r="AN227" s="270">
        <f>W227+Y227+AA227+AD227+AI227+AL227</f>
        <v>0</v>
      </c>
      <c r="AO227" s="271">
        <f>X227+Z227+AB227+AG227+AK227+AM227</f>
        <v>0</v>
      </c>
      <c r="AP227" s="192">
        <f>IF(AN227-AO227&lt;0, " ",AN227-AO227)</f>
        <v>0</v>
      </c>
      <c r="AQ227" s="271">
        <f>IF(AN227-AO227&gt;0, " ", AO227-AN227)</f>
        <v>0</v>
      </c>
      <c r="AR227" s="192"/>
      <c r="AS227" s="271"/>
      <c r="AT227" s="45"/>
      <c r="AU227" s="36"/>
      <c r="AV227" s="36"/>
      <c r="AW227" s="36"/>
      <c r="AX227" s="36"/>
    </row>
    <row r="228" spans="2:50" ht="3.75" customHeight="1" x14ac:dyDescent="0.2">
      <c r="B228" s="98"/>
      <c r="E228" s="310"/>
      <c r="F228" s="416"/>
      <c r="G228" s="304"/>
      <c r="H228" s="304"/>
      <c r="I228" s="304"/>
      <c r="J228" s="304"/>
      <c r="K228" s="304"/>
      <c r="L228" s="304"/>
      <c r="M228" s="304"/>
      <c r="N228" s="417"/>
      <c r="O228" s="304"/>
      <c r="P228" s="304"/>
      <c r="Q228" s="304"/>
      <c r="R228" s="304"/>
      <c r="S228" s="304"/>
      <c r="T228" s="417"/>
      <c r="U228" s="192"/>
      <c r="V228" s="192"/>
      <c r="W228" s="270"/>
      <c r="X228" s="271"/>
      <c r="Y228" s="303"/>
      <c r="Z228" s="304"/>
      <c r="AA228" s="269"/>
      <c r="AB228" s="137"/>
      <c r="AC228" s="265"/>
      <c r="AD228" s="45"/>
      <c r="AE228" s="45"/>
      <c r="AF228" s="265"/>
      <c r="AH228" s="264"/>
      <c r="AI228" s="45"/>
      <c r="AJ228" s="265"/>
      <c r="AK228" s="137"/>
      <c r="AL228" s="218"/>
      <c r="AM228" s="218"/>
      <c r="AN228" s="270"/>
      <c r="AO228" s="271"/>
      <c r="AP228" s="192"/>
      <c r="AQ228" s="271"/>
      <c r="AR228" s="192"/>
      <c r="AS228" s="271"/>
      <c r="AT228" s="45"/>
      <c r="AU228" s="36"/>
      <c r="AV228" s="36"/>
      <c r="AW228" s="36"/>
      <c r="AX228" s="36"/>
    </row>
    <row r="229" spans="2:50" ht="12.75" customHeight="1" x14ac:dyDescent="0.2">
      <c r="B229" s="99" t="s">
        <v>519</v>
      </c>
      <c r="C229" s="11"/>
      <c r="D229" s="11"/>
      <c r="E229" s="420"/>
      <c r="F229" s="318"/>
      <c r="G229" s="306"/>
      <c r="H229" s="306"/>
      <c r="I229" s="306"/>
      <c r="J229" s="306"/>
      <c r="K229" s="306"/>
      <c r="L229" s="306"/>
      <c r="M229" s="306"/>
      <c r="N229" s="421"/>
      <c r="O229" s="306"/>
      <c r="P229" s="306"/>
      <c r="Q229" s="306"/>
      <c r="R229" s="306"/>
      <c r="S229" s="306"/>
      <c r="T229" s="421"/>
      <c r="U229" s="192"/>
      <c r="V229" s="192"/>
      <c r="W229" s="270"/>
      <c r="X229" s="271"/>
      <c r="Y229" s="305"/>
      <c r="Z229" s="306"/>
      <c r="AA229" s="273"/>
      <c r="AB229" s="138"/>
      <c r="AC229" s="274"/>
      <c r="AD229" s="44"/>
      <c r="AE229" s="44"/>
      <c r="AF229" s="274"/>
      <c r="AG229" s="78"/>
      <c r="AH229" s="275"/>
      <c r="AI229" s="44"/>
      <c r="AJ229" s="274"/>
      <c r="AK229" s="138"/>
      <c r="AL229" s="220"/>
      <c r="AM229" s="220"/>
      <c r="AN229" s="270"/>
      <c r="AO229" s="271"/>
      <c r="AP229" s="192"/>
      <c r="AQ229" s="271"/>
      <c r="AR229" s="192"/>
      <c r="AS229" s="271"/>
      <c r="AT229" s="45"/>
      <c r="AU229" s="36"/>
      <c r="AV229" s="36"/>
      <c r="AW229" s="36"/>
      <c r="AX229" s="36"/>
    </row>
    <row r="230" spans="2:50" ht="15" customHeight="1" x14ac:dyDescent="0.2">
      <c r="B230" s="1085" t="s">
        <v>18</v>
      </c>
      <c r="C230" s="11" t="s">
        <v>371</v>
      </c>
      <c r="D230" s="11"/>
      <c r="E230" s="420"/>
      <c r="F230" s="318"/>
      <c r="G230" s="306"/>
      <c r="H230" s="306"/>
      <c r="I230" s="306"/>
      <c r="J230" s="306"/>
      <c r="K230" s="306"/>
      <c r="L230" s="306"/>
      <c r="M230" s="306"/>
      <c r="N230" s="421"/>
      <c r="O230" s="306"/>
      <c r="P230" s="306"/>
      <c r="Q230" s="306"/>
      <c r="R230" s="306"/>
      <c r="S230" s="306"/>
      <c r="T230" s="421"/>
      <c r="U230" s="192">
        <f t="shared" ref="U230:V232" si="60">O230+Q230+S230</f>
        <v>0</v>
      </c>
      <c r="V230" s="192">
        <f t="shared" si="60"/>
        <v>0</v>
      </c>
      <c r="W230" s="270">
        <f t="shared" ref="W230:X232" si="61">E230+G230+I230+K230+M230+U230</f>
        <v>0</v>
      </c>
      <c r="X230" s="271">
        <f t="shared" si="61"/>
        <v>0</v>
      </c>
      <c r="Y230" s="305"/>
      <c r="Z230" s="306"/>
      <c r="AA230" s="273"/>
      <c r="AB230" s="138">
        <f>'A. Revenue by Function'!N209</f>
        <v>0</v>
      </c>
      <c r="AC230" s="274"/>
      <c r="AD230" s="44"/>
      <c r="AE230" s="44"/>
      <c r="AF230" s="274"/>
      <c r="AG230" s="78"/>
      <c r="AH230" s="275"/>
      <c r="AI230" s="44"/>
      <c r="AJ230" s="274"/>
      <c r="AK230" s="138"/>
      <c r="AL230" s="220"/>
      <c r="AM230" s="220"/>
      <c r="AN230" s="270">
        <f>W230+Y230+AA230+AD230+AI230+AL230</f>
        <v>0</v>
      </c>
      <c r="AO230" s="271">
        <f>X230+Z230+AB230+AG230+AK230+AM230</f>
        <v>0</v>
      </c>
      <c r="AP230" s="192">
        <f>IF(AN230-AO230&lt;0, " ",AN230-AO230)</f>
        <v>0</v>
      </c>
      <c r="AQ230" s="271">
        <f>IF(AN230-AO230&gt;0, " ", AO230-AN230)</f>
        <v>0</v>
      </c>
      <c r="AR230" s="192"/>
      <c r="AS230" s="271"/>
      <c r="AT230" s="45"/>
      <c r="AU230" s="36"/>
      <c r="AV230" s="36"/>
      <c r="AW230" s="36"/>
      <c r="AX230" s="36"/>
    </row>
    <row r="231" spans="2:50" ht="15" customHeight="1" x14ac:dyDescent="0.2">
      <c r="B231" s="1085"/>
      <c r="C231" s="11" t="s">
        <v>372</v>
      </c>
      <c r="D231" s="11"/>
      <c r="E231" s="420"/>
      <c r="F231" s="318"/>
      <c r="G231" s="306"/>
      <c r="H231" s="306"/>
      <c r="I231" s="306"/>
      <c r="J231" s="306"/>
      <c r="K231" s="306"/>
      <c r="L231" s="306"/>
      <c r="M231" s="306"/>
      <c r="N231" s="421"/>
      <c r="O231" s="306"/>
      <c r="P231" s="306"/>
      <c r="Q231" s="306"/>
      <c r="R231" s="306"/>
      <c r="S231" s="306"/>
      <c r="T231" s="421"/>
      <c r="U231" s="192">
        <f t="shared" si="60"/>
        <v>0</v>
      </c>
      <c r="V231" s="192">
        <f t="shared" si="60"/>
        <v>0</v>
      </c>
      <c r="W231" s="270">
        <f t="shared" si="61"/>
        <v>0</v>
      </c>
      <c r="X231" s="271">
        <f t="shared" si="61"/>
        <v>0</v>
      </c>
      <c r="Y231" s="305"/>
      <c r="Z231" s="306"/>
      <c r="AA231" s="273"/>
      <c r="AB231" s="138">
        <f>'A. Revenue by Function'!N210</f>
        <v>0</v>
      </c>
      <c r="AC231" s="274"/>
      <c r="AD231" s="44"/>
      <c r="AE231" s="44"/>
      <c r="AF231" s="274"/>
      <c r="AG231" s="78"/>
      <c r="AH231" s="275"/>
      <c r="AI231" s="44"/>
      <c r="AJ231" s="274" t="str">
        <f>'I. Eliminations-Consolidations'!$A$250</f>
        <v>I.7</v>
      </c>
      <c r="AK231" s="138">
        <f>'I. Eliminations-Consolidations'!L282</f>
        <v>0</v>
      </c>
      <c r="AL231" s="220"/>
      <c r="AM231" s="220"/>
      <c r="AN231" s="270">
        <f>W231+Y231+AA231+AD231+AI231+AL231</f>
        <v>0</v>
      </c>
      <c r="AO231" s="271">
        <f>X231+Z231+AB231+AG231+AK231+AM231</f>
        <v>0</v>
      </c>
      <c r="AP231" s="192" t="str">
        <f>IF(AN231-AO231&lt;=0, " ",AN231-AO231)</f>
        <v xml:space="preserve"> </v>
      </c>
      <c r="AQ231" s="271" t="str">
        <f>IF(AN231-AO231&gt;=0, " ", AO231-AN231)</f>
        <v xml:space="preserve"> </v>
      </c>
      <c r="AR231" s="192"/>
      <c r="AS231" s="271"/>
      <c r="AT231" s="45"/>
      <c r="AU231" s="36"/>
      <c r="AV231" s="36"/>
      <c r="AW231" s="36"/>
      <c r="AX231" s="36"/>
    </row>
    <row r="232" spans="2:50" ht="15" customHeight="1" x14ac:dyDescent="0.2">
      <c r="B232" s="1085"/>
      <c r="C232" t="s">
        <v>373</v>
      </c>
      <c r="E232" s="310"/>
      <c r="F232" s="416"/>
      <c r="G232" s="304"/>
      <c r="H232" s="304"/>
      <c r="I232" s="304"/>
      <c r="J232" s="304"/>
      <c r="K232" s="304"/>
      <c r="L232" s="304"/>
      <c r="M232" s="304"/>
      <c r="N232" s="417"/>
      <c r="O232" s="304"/>
      <c r="P232" s="304"/>
      <c r="Q232" s="304"/>
      <c r="R232" s="304"/>
      <c r="S232" s="304"/>
      <c r="T232" s="417"/>
      <c r="U232" s="192">
        <f t="shared" si="60"/>
        <v>0</v>
      </c>
      <c r="V232" s="192">
        <f t="shared" si="60"/>
        <v>0</v>
      </c>
      <c r="W232" s="270">
        <f t="shared" si="61"/>
        <v>0</v>
      </c>
      <c r="X232" s="271">
        <f t="shared" si="61"/>
        <v>0</v>
      </c>
      <c r="Y232" s="303"/>
      <c r="Z232" s="304"/>
      <c r="AA232" s="269"/>
      <c r="AB232" s="137">
        <f>'A. Revenue by Function'!N211</f>
        <v>0</v>
      </c>
      <c r="AC232" s="265"/>
      <c r="AD232" s="45"/>
      <c r="AE232" s="45"/>
      <c r="AF232" s="265"/>
      <c r="AH232" s="264"/>
      <c r="AI232" s="45"/>
      <c r="AJ232" s="274" t="str">
        <f>'I. Eliminations-Consolidations'!$A$250</f>
        <v>I.7</v>
      </c>
      <c r="AK232" s="137">
        <f>'I. Eliminations-Consolidations'!L299</f>
        <v>0</v>
      </c>
      <c r="AL232" s="218"/>
      <c r="AM232" s="218"/>
      <c r="AN232" s="270">
        <f>W232+Y232+AA232+AD232+AI232+AL232</f>
        <v>0</v>
      </c>
      <c r="AO232" s="271">
        <f>X232+Z232+AB232+AG232+AK232+AM232</f>
        <v>0</v>
      </c>
      <c r="AP232" s="192">
        <f>IF(AN232-AO232&lt;0, " ",AN232-AO232)</f>
        <v>0</v>
      </c>
      <c r="AQ232" s="271">
        <f>IF(AN232-AO232&gt;0, " ", AO232-AN232)</f>
        <v>0</v>
      </c>
      <c r="AR232" s="192"/>
      <c r="AS232" s="271"/>
      <c r="AT232" s="45"/>
      <c r="AU232" s="36"/>
      <c r="AV232" s="36"/>
      <c r="AW232" s="36"/>
      <c r="AX232" s="36"/>
    </row>
    <row r="233" spans="2:50" ht="3.75" customHeight="1" x14ac:dyDescent="0.2">
      <c r="B233" s="98"/>
      <c r="E233" s="310"/>
      <c r="F233" s="416"/>
      <c r="G233" s="304"/>
      <c r="H233" s="304"/>
      <c r="I233" s="304"/>
      <c r="J233" s="304"/>
      <c r="K233" s="304"/>
      <c r="L233" s="304"/>
      <c r="M233" s="304"/>
      <c r="N233" s="417"/>
      <c r="O233" s="304"/>
      <c r="P233" s="304"/>
      <c r="Q233" s="304"/>
      <c r="R233" s="304"/>
      <c r="S233" s="304"/>
      <c r="T233" s="417"/>
      <c r="U233" s="192"/>
      <c r="V233" s="192"/>
      <c r="W233" s="270"/>
      <c r="X233" s="271"/>
      <c r="Y233" s="303"/>
      <c r="Z233" s="304"/>
      <c r="AA233" s="269"/>
      <c r="AB233" s="137"/>
      <c r="AC233" s="265"/>
      <c r="AD233" s="45"/>
      <c r="AE233" s="45"/>
      <c r="AF233" s="265"/>
      <c r="AH233" s="264"/>
      <c r="AI233" s="45"/>
      <c r="AJ233" s="265"/>
      <c r="AK233" s="137"/>
      <c r="AL233" s="218"/>
      <c r="AM233" s="218"/>
      <c r="AN233" s="270"/>
      <c r="AO233" s="271"/>
      <c r="AP233" s="192"/>
      <c r="AQ233" s="271"/>
      <c r="AR233" s="192"/>
      <c r="AS233" s="271"/>
      <c r="AT233" s="45"/>
      <c r="AU233" s="36"/>
      <c r="AV233" s="36"/>
      <c r="AW233" s="36"/>
      <c r="AX233" s="36"/>
    </row>
    <row r="234" spans="2:50" ht="12.75" customHeight="1" x14ac:dyDescent="0.2">
      <c r="B234" s="4" t="s">
        <v>517</v>
      </c>
      <c r="E234" s="310"/>
      <c r="F234" s="416"/>
      <c r="G234" s="304"/>
      <c r="H234" s="304"/>
      <c r="I234" s="304"/>
      <c r="J234" s="304"/>
      <c r="K234" s="304"/>
      <c r="L234" s="304"/>
      <c r="M234" s="304"/>
      <c r="N234" s="417"/>
      <c r="O234" s="304"/>
      <c r="P234" s="304"/>
      <c r="Q234" s="304"/>
      <c r="R234" s="304"/>
      <c r="S234" s="304"/>
      <c r="T234" s="417"/>
      <c r="U234" s="192"/>
      <c r="V234" s="192"/>
      <c r="W234" s="270"/>
      <c r="X234" s="271"/>
      <c r="Y234" s="303"/>
      <c r="Z234" s="304"/>
      <c r="AA234" s="269"/>
      <c r="AB234" s="137"/>
      <c r="AC234" s="265"/>
      <c r="AD234" s="45"/>
      <c r="AE234" s="45"/>
      <c r="AF234" s="265"/>
      <c r="AH234" s="264"/>
      <c r="AI234" s="45"/>
      <c r="AJ234" s="265"/>
      <c r="AK234" s="137"/>
      <c r="AL234" s="218"/>
      <c r="AM234" s="218"/>
      <c r="AN234" s="270"/>
      <c r="AO234" s="271"/>
      <c r="AP234" s="192"/>
      <c r="AQ234" s="271"/>
      <c r="AR234" s="192"/>
      <c r="AS234" s="271"/>
      <c r="AT234" s="45"/>
      <c r="AU234" s="36"/>
      <c r="AV234" s="36"/>
      <c r="AW234" s="36"/>
      <c r="AX234" s="36"/>
    </row>
    <row r="235" spans="2:50" ht="15" customHeight="1" x14ac:dyDescent="0.2">
      <c r="B235" s="1085" t="s">
        <v>18</v>
      </c>
      <c r="C235" t="s">
        <v>371</v>
      </c>
      <c r="E235" s="310"/>
      <c r="F235" s="416"/>
      <c r="G235" s="304"/>
      <c r="H235" s="304"/>
      <c r="I235" s="304"/>
      <c r="J235" s="304"/>
      <c r="K235" s="304"/>
      <c r="L235" s="304"/>
      <c r="M235" s="304"/>
      <c r="N235" s="417"/>
      <c r="O235" s="304"/>
      <c r="P235" s="304"/>
      <c r="Q235" s="304"/>
      <c r="R235" s="304"/>
      <c r="S235" s="304"/>
      <c r="T235" s="417"/>
      <c r="U235" s="192">
        <f t="shared" si="55"/>
        <v>0</v>
      </c>
      <c r="V235" s="192">
        <f t="shared" si="56"/>
        <v>0</v>
      </c>
      <c r="W235" s="270">
        <f t="shared" si="57"/>
        <v>0</v>
      </c>
      <c r="X235" s="271">
        <f t="shared" si="57"/>
        <v>0</v>
      </c>
      <c r="Y235" s="303"/>
      <c r="Z235" s="304"/>
      <c r="AA235" s="269"/>
      <c r="AB235" s="137">
        <f>'A. Revenue by Function'!N213</f>
        <v>0</v>
      </c>
      <c r="AC235" s="265"/>
      <c r="AD235" s="45"/>
      <c r="AE235" s="45"/>
      <c r="AF235" s="265"/>
      <c r="AH235" s="264"/>
      <c r="AI235" s="45"/>
      <c r="AJ235" s="265"/>
      <c r="AK235" s="137"/>
      <c r="AL235" s="218"/>
      <c r="AM235" s="218"/>
      <c r="AN235" s="270">
        <f>W235+Y235+AA235+AD235+AI235+AL235</f>
        <v>0</v>
      </c>
      <c r="AO235" s="271">
        <f>X235+Z235+AB235+AG235+AK235+AM235</f>
        <v>0</v>
      </c>
      <c r="AP235" s="192">
        <f>IF(AN235-AO235&lt;0, " ",AN235-AO235)</f>
        <v>0</v>
      </c>
      <c r="AQ235" s="271">
        <f>IF(AN235-AO235&gt;0, " ", AO235-AN235)</f>
        <v>0</v>
      </c>
      <c r="AR235" s="192"/>
      <c r="AS235" s="271"/>
      <c r="AT235" s="45"/>
      <c r="AU235" s="36"/>
      <c r="AV235" s="36"/>
      <c r="AW235" s="36"/>
      <c r="AX235" s="36"/>
    </row>
    <row r="236" spans="2:50" ht="15" customHeight="1" x14ac:dyDescent="0.2">
      <c r="B236" s="1085"/>
      <c r="C236" s="11" t="s">
        <v>372</v>
      </c>
      <c r="D236" s="11"/>
      <c r="E236" s="420"/>
      <c r="F236" s="318"/>
      <c r="G236" s="306"/>
      <c r="H236" s="306"/>
      <c r="I236" s="306"/>
      <c r="J236" s="306"/>
      <c r="K236" s="306"/>
      <c r="L236" s="306"/>
      <c r="M236" s="306"/>
      <c r="N236" s="421"/>
      <c r="O236" s="306"/>
      <c r="P236" s="306"/>
      <c r="Q236" s="306"/>
      <c r="R236" s="306"/>
      <c r="S236" s="306"/>
      <c r="T236" s="421"/>
      <c r="U236" s="192">
        <f t="shared" si="55"/>
        <v>0</v>
      </c>
      <c r="V236" s="192">
        <f t="shared" si="56"/>
        <v>0</v>
      </c>
      <c r="W236" s="270">
        <f t="shared" si="57"/>
        <v>0</v>
      </c>
      <c r="X236" s="271">
        <f t="shared" si="57"/>
        <v>0</v>
      </c>
      <c r="Y236" s="305"/>
      <c r="Z236" s="306"/>
      <c r="AA236" s="273"/>
      <c r="AB236" s="138">
        <f>'A. Revenue by Function'!N214</f>
        <v>0</v>
      </c>
      <c r="AC236" s="274"/>
      <c r="AD236" s="44"/>
      <c r="AE236" s="44"/>
      <c r="AF236" s="274"/>
      <c r="AG236" s="78"/>
      <c r="AH236" s="275"/>
      <c r="AI236" s="44"/>
      <c r="AJ236" s="274" t="str">
        <f>'I. Eliminations-Consolidations'!$A$250</f>
        <v>I.7</v>
      </c>
      <c r="AK236" s="138">
        <f>'I. Eliminations-Consolidations'!L283</f>
        <v>0</v>
      </c>
      <c r="AL236" s="220"/>
      <c r="AM236" s="220"/>
      <c r="AN236" s="270">
        <f>W236+Y236+AA236+AD236+AI236+AL236</f>
        <v>0</v>
      </c>
      <c r="AO236" s="271">
        <f>X236+Z236+AB236+AG236+AK236+AM236</f>
        <v>0</v>
      </c>
      <c r="AP236" s="192" t="str">
        <f>IF(AN236-AO236&lt;=0, " ",AN236-AO236)</f>
        <v xml:space="preserve"> </v>
      </c>
      <c r="AQ236" s="271" t="str">
        <f>IF(AN236-AO236&gt;=0, " ", AO236-AN236)</f>
        <v xml:space="preserve"> </v>
      </c>
      <c r="AR236" s="192"/>
      <c r="AS236" s="271"/>
      <c r="AT236" s="45"/>
      <c r="AU236" s="36"/>
      <c r="AV236" s="36"/>
      <c r="AW236" s="36"/>
      <c r="AX236" s="36"/>
    </row>
    <row r="237" spans="2:50" ht="15" customHeight="1" x14ac:dyDescent="0.2">
      <c r="B237" s="1085"/>
      <c r="C237" t="s">
        <v>373</v>
      </c>
      <c r="E237" s="310"/>
      <c r="F237" s="416"/>
      <c r="G237" s="304"/>
      <c r="H237" s="304"/>
      <c r="I237" s="304"/>
      <c r="J237" s="304"/>
      <c r="K237" s="304"/>
      <c r="L237" s="304"/>
      <c r="M237" s="304"/>
      <c r="N237" s="417"/>
      <c r="O237" s="304"/>
      <c r="P237" s="304"/>
      <c r="Q237" s="304"/>
      <c r="R237" s="304"/>
      <c r="S237" s="304"/>
      <c r="T237" s="417"/>
      <c r="U237" s="192">
        <f t="shared" si="55"/>
        <v>0</v>
      </c>
      <c r="V237" s="192">
        <f t="shared" si="56"/>
        <v>0</v>
      </c>
      <c r="W237" s="270">
        <f t="shared" si="57"/>
        <v>0</v>
      </c>
      <c r="X237" s="271">
        <f t="shared" si="57"/>
        <v>0</v>
      </c>
      <c r="Y237" s="303"/>
      <c r="Z237" s="304"/>
      <c r="AA237" s="269"/>
      <c r="AB237" s="137">
        <f>'A. Revenue by Function'!N215</f>
        <v>0</v>
      </c>
      <c r="AC237" s="265"/>
      <c r="AD237" s="45"/>
      <c r="AE237" s="45"/>
      <c r="AF237" s="265"/>
      <c r="AH237" s="264"/>
      <c r="AI237" s="45"/>
      <c r="AJ237" s="274" t="str">
        <f>'I. Eliminations-Consolidations'!$A$250</f>
        <v>I.7</v>
      </c>
      <c r="AK237" s="137">
        <f>'I. Eliminations-Consolidations'!L300</f>
        <v>0</v>
      </c>
      <c r="AL237" s="218"/>
      <c r="AM237" s="218"/>
      <c r="AN237" s="270">
        <f>W237+Y237+AA237+AD237+AI237+AL237</f>
        <v>0</v>
      </c>
      <c r="AO237" s="271">
        <f>X237+Z237+AB237+AG237+AK237+AM237</f>
        <v>0</v>
      </c>
      <c r="AP237" s="192">
        <f>IF(AN237-AO237&lt;0, " ",AN237-AO237)</f>
        <v>0</v>
      </c>
      <c r="AQ237" s="271">
        <f>IF(AN237-AO237&gt;0, " ", AO237-AN237)</f>
        <v>0</v>
      </c>
      <c r="AR237" s="192"/>
      <c r="AS237" s="271"/>
      <c r="AT237" s="45"/>
      <c r="AU237" s="36"/>
      <c r="AV237" s="36"/>
      <c r="AW237" s="36"/>
      <c r="AX237" s="36"/>
    </row>
    <row r="238" spans="2:50" ht="4.5" customHeight="1" x14ac:dyDescent="0.2">
      <c r="E238" s="310"/>
      <c r="F238" s="416"/>
      <c r="G238" s="304"/>
      <c r="H238" s="304"/>
      <c r="I238" s="304"/>
      <c r="J238" s="304"/>
      <c r="K238" s="304"/>
      <c r="L238" s="304"/>
      <c r="M238" s="304"/>
      <c r="N238" s="417"/>
      <c r="O238" s="304"/>
      <c r="P238" s="304"/>
      <c r="Q238" s="304"/>
      <c r="R238" s="304"/>
      <c r="S238" s="304"/>
      <c r="T238" s="417"/>
      <c r="U238" s="192"/>
      <c r="V238" s="192"/>
      <c r="W238" s="270"/>
      <c r="X238" s="271"/>
      <c r="Y238" s="303"/>
      <c r="Z238" s="304"/>
      <c r="AA238" s="269"/>
      <c r="AB238" s="137"/>
      <c r="AC238" s="265"/>
      <c r="AD238" s="45"/>
      <c r="AE238" s="45"/>
      <c r="AF238" s="265"/>
      <c r="AG238" s="45"/>
      <c r="AH238" s="264"/>
      <c r="AI238" s="45"/>
      <c r="AJ238" s="265"/>
      <c r="AK238" s="137"/>
      <c r="AL238" s="218"/>
      <c r="AM238" s="218"/>
      <c r="AN238" s="270"/>
      <c r="AO238" s="271"/>
      <c r="AP238" s="192"/>
      <c r="AQ238" s="271"/>
      <c r="AR238" s="192"/>
      <c r="AS238" s="271"/>
      <c r="AT238" s="45"/>
      <c r="AU238" s="36"/>
      <c r="AV238" s="36"/>
      <c r="AW238" s="36"/>
      <c r="AX238" s="36"/>
    </row>
    <row r="239" spans="2:50" ht="15" customHeight="1" x14ac:dyDescent="0.2">
      <c r="B239" s="99" t="s">
        <v>247</v>
      </c>
      <c r="E239" s="310"/>
      <c r="F239" s="416"/>
      <c r="G239" s="304"/>
      <c r="H239" s="304"/>
      <c r="I239" s="304"/>
      <c r="J239" s="304"/>
      <c r="K239" s="304"/>
      <c r="L239" s="304"/>
      <c r="M239" s="304"/>
      <c r="N239" s="417"/>
      <c r="O239" s="304"/>
      <c r="P239" s="304"/>
      <c r="Q239" s="304"/>
      <c r="R239" s="304"/>
      <c r="S239" s="304"/>
      <c r="T239" s="417"/>
      <c r="U239" s="192"/>
      <c r="V239" s="192"/>
      <c r="W239" s="270"/>
      <c r="X239" s="271"/>
      <c r="Y239" s="303"/>
      <c r="Z239" s="304"/>
      <c r="AA239" s="269"/>
      <c r="AB239" s="137"/>
      <c r="AC239" s="265"/>
      <c r="AD239" s="45"/>
      <c r="AE239" s="45"/>
      <c r="AF239" s="265"/>
      <c r="AG239" s="45"/>
      <c r="AH239" s="264"/>
      <c r="AI239" s="45"/>
      <c r="AJ239" s="265"/>
      <c r="AK239" s="137"/>
      <c r="AL239" s="218"/>
      <c r="AM239" s="218"/>
      <c r="AN239" s="270"/>
      <c r="AO239" s="271"/>
      <c r="AP239" s="192"/>
      <c r="AQ239" s="271"/>
      <c r="AR239" s="192"/>
      <c r="AS239" s="271"/>
      <c r="AT239" s="45"/>
      <c r="AU239" s="36"/>
      <c r="AV239" s="36"/>
      <c r="AW239" s="36"/>
      <c r="AX239" s="36"/>
    </row>
    <row r="240" spans="2:50" ht="15" customHeight="1" x14ac:dyDescent="0.2">
      <c r="B240" s="1085" t="s">
        <v>18</v>
      </c>
      <c r="C240" t="s">
        <v>371</v>
      </c>
      <c r="E240" s="310"/>
      <c r="F240" s="416"/>
      <c r="G240" s="304"/>
      <c r="H240" s="304"/>
      <c r="I240" s="304"/>
      <c r="J240" s="304"/>
      <c r="K240" s="304"/>
      <c r="L240" s="304"/>
      <c r="M240" s="304"/>
      <c r="N240" s="417"/>
      <c r="O240" s="304"/>
      <c r="P240" s="304"/>
      <c r="Q240" s="304"/>
      <c r="R240" s="304"/>
      <c r="S240" s="304"/>
      <c r="T240" s="417"/>
      <c r="U240" s="192">
        <f t="shared" si="55"/>
        <v>0</v>
      </c>
      <c r="V240" s="192">
        <f t="shared" si="56"/>
        <v>0</v>
      </c>
      <c r="W240" s="270">
        <f t="shared" si="57"/>
        <v>0</v>
      </c>
      <c r="X240" s="271">
        <f t="shared" si="57"/>
        <v>0</v>
      </c>
      <c r="Y240" s="303"/>
      <c r="Z240" s="304"/>
      <c r="AA240" s="269"/>
      <c r="AB240" s="137">
        <f>'A. Revenue by Function'!N217</f>
        <v>0</v>
      </c>
      <c r="AC240" s="265"/>
      <c r="AD240" s="45"/>
      <c r="AE240" s="45"/>
      <c r="AF240" s="265"/>
      <c r="AG240" s="45"/>
      <c r="AH240" s="264"/>
      <c r="AI240" s="45"/>
      <c r="AJ240" s="265"/>
      <c r="AK240" s="137"/>
      <c r="AL240" s="218"/>
      <c r="AM240" s="218"/>
      <c r="AN240" s="270">
        <f>W240+Y240+AA240+AD240+AI240+AL240</f>
        <v>0</v>
      </c>
      <c r="AO240" s="271">
        <f>X240+Z240+AB240+AG240+AK240+AM240</f>
        <v>0</v>
      </c>
      <c r="AP240" s="192">
        <f>IF(AN240-AO240&lt;0, " ",AN240-AO240)</f>
        <v>0</v>
      </c>
      <c r="AQ240" s="271">
        <f>IF(AN240-AO240&gt;0, " ", AO240-AN240)</f>
        <v>0</v>
      </c>
      <c r="AR240" s="192"/>
      <c r="AS240" s="271"/>
      <c r="AT240" s="45"/>
      <c r="AU240" s="36"/>
      <c r="AV240" s="36"/>
      <c r="AW240" s="36"/>
      <c r="AX240" s="36"/>
    </row>
    <row r="241" spans="2:50" ht="15" customHeight="1" x14ac:dyDescent="0.2">
      <c r="B241" s="1085"/>
      <c r="C241" s="11" t="s">
        <v>372</v>
      </c>
      <c r="D241" s="11"/>
      <c r="E241" s="420"/>
      <c r="F241" s="318"/>
      <c r="G241" s="306"/>
      <c r="H241" s="306"/>
      <c r="I241" s="306"/>
      <c r="J241" s="306"/>
      <c r="K241" s="306"/>
      <c r="L241" s="306"/>
      <c r="M241" s="306"/>
      <c r="N241" s="421"/>
      <c r="O241" s="306"/>
      <c r="P241" s="306"/>
      <c r="Q241" s="306"/>
      <c r="R241" s="306"/>
      <c r="S241" s="306"/>
      <c r="T241" s="421"/>
      <c r="U241" s="192">
        <f t="shared" si="55"/>
        <v>0</v>
      </c>
      <c r="V241" s="192">
        <f t="shared" si="56"/>
        <v>0</v>
      </c>
      <c r="W241" s="270">
        <f t="shared" si="57"/>
        <v>0</v>
      </c>
      <c r="X241" s="271">
        <f t="shared" si="57"/>
        <v>0</v>
      </c>
      <c r="Y241" s="305"/>
      <c r="Z241" s="306"/>
      <c r="AA241" s="273"/>
      <c r="AB241" s="138">
        <f>'A. Revenue by Function'!N218</f>
        <v>0</v>
      </c>
      <c r="AC241" s="274"/>
      <c r="AD241" s="44"/>
      <c r="AE241" s="44"/>
      <c r="AF241" s="274"/>
      <c r="AG241" s="44"/>
      <c r="AH241" s="275"/>
      <c r="AI241" s="44"/>
      <c r="AJ241" s="274" t="str">
        <f>'I. Eliminations-Consolidations'!A250</f>
        <v>I.7</v>
      </c>
      <c r="AK241" s="138">
        <f>'I. Eliminations-Consolidations'!L284</f>
        <v>0</v>
      </c>
      <c r="AL241" s="220"/>
      <c r="AM241" s="220"/>
      <c r="AN241" s="270">
        <f>W241+Y241+AA241+AD241+AI241+AL241</f>
        <v>0</v>
      </c>
      <c r="AO241" s="271">
        <f>X241+Z241+AB241+AG241+AK241+AM241</f>
        <v>0</v>
      </c>
      <c r="AP241" s="192" t="str">
        <f>IF(AN241-AO241&lt;=0, " ",AN241-AO241)</f>
        <v xml:space="preserve"> </v>
      </c>
      <c r="AQ241" s="271" t="str">
        <f>IF(AN241-AO241&gt;=0, " ", AO241-AN241)</f>
        <v xml:space="preserve"> </v>
      </c>
      <c r="AR241" s="192"/>
      <c r="AS241" s="271"/>
      <c r="AT241" s="45"/>
      <c r="AU241" s="36"/>
      <c r="AV241" s="36"/>
      <c r="AW241" s="36"/>
      <c r="AX241" s="36"/>
    </row>
    <row r="242" spans="2:50" ht="15" customHeight="1" x14ac:dyDescent="0.2">
      <c r="B242" s="1085"/>
      <c r="C242" t="s">
        <v>373</v>
      </c>
      <c r="E242" s="310"/>
      <c r="F242" s="416"/>
      <c r="G242" s="304"/>
      <c r="H242" s="304"/>
      <c r="I242" s="304"/>
      <c r="J242" s="304"/>
      <c r="K242" s="304"/>
      <c r="L242" s="304"/>
      <c r="M242" s="304"/>
      <c r="N242" s="417"/>
      <c r="O242" s="304"/>
      <c r="P242" s="304"/>
      <c r="Q242" s="304"/>
      <c r="R242" s="304"/>
      <c r="S242" s="304"/>
      <c r="T242" s="417"/>
      <c r="U242" s="192">
        <f t="shared" si="55"/>
        <v>0</v>
      </c>
      <c r="V242" s="192">
        <f t="shared" si="56"/>
        <v>0</v>
      </c>
      <c r="W242" s="270">
        <f t="shared" si="57"/>
        <v>0</v>
      </c>
      <c r="X242" s="271">
        <f t="shared" si="57"/>
        <v>0</v>
      </c>
      <c r="Y242" s="303"/>
      <c r="Z242" s="304"/>
      <c r="AA242" s="269"/>
      <c r="AB242" s="137">
        <f>'A. Revenue by Function'!N219</f>
        <v>0</v>
      </c>
      <c r="AC242" s="265"/>
      <c r="AD242" s="45"/>
      <c r="AE242" s="45"/>
      <c r="AF242" s="265"/>
      <c r="AG242" s="45"/>
      <c r="AH242" s="264"/>
      <c r="AI242" s="45"/>
      <c r="AJ242" s="265" t="str">
        <f>'I. Eliminations-Consolidations'!A250</f>
        <v>I.7</v>
      </c>
      <c r="AK242" s="137">
        <f>'I. Eliminations-Consolidations'!L301</f>
        <v>0</v>
      </c>
      <c r="AL242" s="218"/>
      <c r="AM242" s="218"/>
      <c r="AN242" s="270">
        <f>W242+Y242+AA242+AD242+AI242+AL242</f>
        <v>0</v>
      </c>
      <c r="AO242" s="271">
        <f>X242+Z242+AB242+AG242+AK242+AM242</f>
        <v>0</v>
      </c>
      <c r="AP242" s="192">
        <f>IF(AN242-AO242&lt;0, " ",AN242-AO242)</f>
        <v>0</v>
      </c>
      <c r="AQ242" s="271">
        <f>IF(AN242-AO242&gt;0, " ", AO242-AN242)</f>
        <v>0</v>
      </c>
      <c r="AR242" s="192"/>
      <c r="AS242" s="271"/>
      <c r="AT242" s="45"/>
      <c r="AU242" s="36"/>
      <c r="AV242" s="36"/>
      <c r="AW242" s="36"/>
      <c r="AX242" s="36"/>
    </row>
    <row r="243" spans="2:50" ht="4.5" customHeight="1" x14ac:dyDescent="0.2">
      <c r="B243" s="98"/>
      <c r="E243" s="310"/>
      <c r="F243" s="416"/>
      <c r="G243" s="304"/>
      <c r="H243" s="304"/>
      <c r="I243" s="304"/>
      <c r="J243" s="304"/>
      <c r="K243" s="304"/>
      <c r="L243" s="304"/>
      <c r="M243" s="304"/>
      <c r="N243" s="417"/>
      <c r="O243" s="304"/>
      <c r="P243" s="304"/>
      <c r="Q243" s="304"/>
      <c r="R243" s="304"/>
      <c r="S243" s="304"/>
      <c r="T243" s="417"/>
      <c r="U243" s="192"/>
      <c r="V243" s="192"/>
      <c r="W243" s="270"/>
      <c r="X243" s="271"/>
      <c r="Y243" s="303"/>
      <c r="Z243" s="304"/>
      <c r="AA243" s="269"/>
      <c r="AB243" s="137"/>
      <c r="AC243" s="265"/>
      <c r="AD243" s="45"/>
      <c r="AE243" s="45"/>
      <c r="AF243" s="265"/>
      <c r="AG243" s="45"/>
      <c r="AH243" s="264"/>
      <c r="AI243" s="45"/>
      <c r="AJ243" s="265"/>
      <c r="AK243" s="137"/>
      <c r="AL243" s="218"/>
      <c r="AM243" s="218"/>
      <c r="AN243" s="270"/>
      <c r="AO243" s="271"/>
      <c r="AP243" s="192"/>
      <c r="AQ243" s="271"/>
      <c r="AR243" s="192"/>
      <c r="AS243" s="271"/>
      <c r="AT243" s="45"/>
      <c r="AU243" s="36"/>
      <c r="AV243" s="36"/>
      <c r="AW243" s="36"/>
      <c r="AX243" s="36"/>
    </row>
    <row r="244" spans="2:50" ht="12.75" customHeight="1" x14ac:dyDescent="0.2">
      <c r="B244" s="99" t="s">
        <v>248</v>
      </c>
      <c r="E244" s="310"/>
      <c r="F244" s="416"/>
      <c r="G244" s="304"/>
      <c r="H244" s="304"/>
      <c r="I244" s="304"/>
      <c r="J244" s="304"/>
      <c r="K244" s="304"/>
      <c r="L244" s="304"/>
      <c r="M244" s="304"/>
      <c r="N244" s="417"/>
      <c r="O244" s="304"/>
      <c r="P244" s="304"/>
      <c r="Q244" s="304"/>
      <c r="R244" s="304"/>
      <c r="S244" s="304"/>
      <c r="T244" s="417"/>
      <c r="U244" s="192"/>
      <c r="V244" s="192"/>
      <c r="W244" s="270"/>
      <c r="X244" s="271"/>
      <c r="Y244" s="303"/>
      <c r="Z244" s="304"/>
      <c r="AA244" s="269"/>
      <c r="AB244" s="137"/>
      <c r="AC244" s="265"/>
      <c r="AD244" s="45"/>
      <c r="AE244" s="45"/>
      <c r="AF244" s="265"/>
      <c r="AH244" s="264"/>
      <c r="AI244" s="45"/>
      <c r="AJ244" s="265"/>
      <c r="AK244" s="137"/>
      <c r="AL244" s="218"/>
      <c r="AM244" s="218"/>
      <c r="AN244" s="270"/>
      <c r="AO244" s="271"/>
      <c r="AP244" s="192"/>
      <c r="AQ244" s="271"/>
      <c r="AR244" s="192"/>
      <c r="AS244" s="271"/>
      <c r="AT244" s="45"/>
      <c r="AU244" s="36"/>
      <c r="AV244" s="36"/>
      <c r="AW244" s="36"/>
      <c r="AX244" s="36"/>
    </row>
    <row r="245" spans="2:50" ht="15" customHeight="1" x14ac:dyDescent="0.2">
      <c r="B245" s="1085" t="s">
        <v>18</v>
      </c>
      <c r="C245" t="s">
        <v>371</v>
      </c>
      <c r="E245" s="310"/>
      <c r="F245" s="416"/>
      <c r="G245" s="304"/>
      <c r="H245" s="304"/>
      <c r="I245" s="304"/>
      <c r="J245" s="304"/>
      <c r="K245" s="304"/>
      <c r="L245" s="304"/>
      <c r="M245" s="304"/>
      <c r="N245" s="417"/>
      <c r="O245" s="304"/>
      <c r="P245" s="304"/>
      <c r="Q245" s="304"/>
      <c r="R245" s="304"/>
      <c r="S245" s="304"/>
      <c r="T245" s="417"/>
      <c r="U245" s="192">
        <f t="shared" si="55"/>
        <v>0</v>
      </c>
      <c r="V245" s="192">
        <f t="shared" si="56"/>
        <v>0</v>
      </c>
      <c r="W245" s="270">
        <f t="shared" si="57"/>
        <v>0</v>
      </c>
      <c r="X245" s="271">
        <f t="shared" si="57"/>
        <v>0</v>
      </c>
      <c r="Y245" s="303"/>
      <c r="Z245" s="304"/>
      <c r="AA245" s="269"/>
      <c r="AB245" s="137">
        <f>'A. Revenue by Function'!N221</f>
        <v>0</v>
      </c>
      <c r="AC245" s="265"/>
      <c r="AD245" s="45"/>
      <c r="AE245" s="45"/>
      <c r="AF245" s="265"/>
      <c r="AG245" s="45"/>
      <c r="AH245" s="264"/>
      <c r="AI245" s="45"/>
      <c r="AJ245" s="265"/>
      <c r="AK245" s="137"/>
      <c r="AL245" s="218"/>
      <c r="AM245" s="218"/>
      <c r="AN245" s="270">
        <f>W245+Y245+AA245+AD245+AI245+AL245</f>
        <v>0</v>
      </c>
      <c r="AO245" s="271">
        <f>X245+Z245+AB245+AG245+AK245+AM245</f>
        <v>0</v>
      </c>
      <c r="AP245" s="192">
        <f>IF(AN245-AO245&lt;0, " ",AN245-AO245)</f>
        <v>0</v>
      </c>
      <c r="AQ245" s="271">
        <f>IF(AN245-AO245&gt;0, " ", AO245-AN245)</f>
        <v>0</v>
      </c>
      <c r="AR245" s="192"/>
      <c r="AS245" s="271"/>
      <c r="AT245" s="45"/>
      <c r="AU245" s="36"/>
      <c r="AV245" s="36"/>
      <c r="AW245" s="36"/>
      <c r="AX245" s="36"/>
    </row>
    <row r="246" spans="2:50" ht="14.25" customHeight="1" x14ac:dyDescent="0.2">
      <c r="B246" s="1085"/>
      <c r="C246" s="11" t="s">
        <v>372</v>
      </c>
      <c r="D246" s="11"/>
      <c r="E246" s="420"/>
      <c r="F246" s="318"/>
      <c r="G246" s="306"/>
      <c r="H246" s="306"/>
      <c r="I246" s="306"/>
      <c r="J246" s="306"/>
      <c r="K246" s="306"/>
      <c r="L246" s="306"/>
      <c r="M246" s="306"/>
      <c r="N246" s="421"/>
      <c r="O246" s="306"/>
      <c r="P246" s="306"/>
      <c r="Q246" s="306"/>
      <c r="R246" s="306"/>
      <c r="S246" s="306"/>
      <c r="T246" s="421"/>
      <c r="U246" s="192">
        <f t="shared" si="55"/>
        <v>0</v>
      </c>
      <c r="V246" s="192">
        <f t="shared" si="56"/>
        <v>0</v>
      </c>
      <c r="W246" s="270">
        <f t="shared" si="57"/>
        <v>0</v>
      </c>
      <c r="X246" s="271">
        <f t="shared" si="57"/>
        <v>0</v>
      </c>
      <c r="Y246" s="305"/>
      <c r="Z246" s="306"/>
      <c r="AA246" s="273"/>
      <c r="AB246" s="138">
        <f>'A. Revenue by Function'!N222</f>
        <v>0</v>
      </c>
      <c r="AC246" s="274"/>
      <c r="AD246" s="44"/>
      <c r="AE246" s="44"/>
      <c r="AF246" s="274"/>
      <c r="AG246" s="44"/>
      <c r="AH246" s="275"/>
      <c r="AI246" s="44"/>
      <c r="AJ246" s="274" t="str">
        <f>'I. Eliminations-Consolidations'!A250</f>
        <v>I.7</v>
      </c>
      <c r="AK246" s="138">
        <f>'I. Eliminations-Consolidations'!L285</f>
        <v>0</v>
      </c>
      <c r="AL246" s="220"/>
      <c r="AM246" s="220"/>
      <c r="AN246" s="270">
        <f>W246+Y246+AA246+AD246+AI246+AL246</f>
        <v>0</v>
      </c>
      <c r="AO246" s="271">
        <f>X246+Z246+AB246+AG246+AK246+AM246</f>
        <v>0</v>
      </c>
      <c r="AP246" s="192" t="str">
        <f>IF(AN246-AO246&lt;=0, " ",AN246-AO246)</f>
        <v xml:space="preserve"> </v>
      </c>
      <c r="AQ246" s="271" t="str">
        <f>IF(AN246-AO246&gt;=0, " ", AO246-AN246)</f>
        <v xml:space="preserve"> </v>
      </c>
      <c r="AR246" s="192"/>
      <c r="AS246" s="271"/>
      <c r="AT246" s="45"/>
      <c r="AU246" s="36"/>
      <c r="AV246" s="36"/>
      <c r="AW246" s="36"/>
      <c r="AX246" s="36"/>
    </row>
    <row r="247" spans="2:50" ht="15" customHeight="1" x14ac:dyDescent="0.2">
      <c r="B247" s="1085"/>
      <c r="C247" t="s">
        <v>373</v>
      </c>
      <c r="E247" s="310"/>
      <c r="F247" s="416"/>
      <c r="G247" s="304"/>
      <c r="H247" s="304"/>
      <c r="I247" s="304"/>
      <c r="J247" s="304"/>
      <c r="K247" s="304"/>
      <c r="L247" s="304"/>
      <c r="M247" s="304"/>
      <c r="N247" s="417"/>
      <c r="O247" s="304"/>
      <c r="P247" s="304"/>
      <c r="Q247" s="304"/>
      <c r="R247" s="304"/>
      <c r="S247" s="304"/>
      <c r="T247" s="417"/>
      <c r="U247" s="192">
        <f t="shared" si="55"/>
        <v>0</v>
      </c>
      <c r="V247" s="192">
        <f t="shared" si="56"/>
        <v>0</v>
      </c>
      <c r="W247" s="270">
        <f t="shared" si="57"/>
        <v>0</v>
      </c>
      <c r="X247" s="271">
        <f t="shared" si="57"/>
        <v>0</v>
      </c>
      <c r="Y247" s="303"/>
      <c r="Z247" s="304"/>
      <c r="AA247" s="269"/>
      <c r="AB247" s="137">
        <f>'A. Revenue by Function'!N223</f>
        <v>0</v>
      </c>
      <c r="AC247" s="265"/>
      <c r="AD247" s="45"/>
      <c r="AE247" s="45"/>
      <c r="AF247" s="265"/>
      <c r="AG247" s="45"/>
      <c r="AH247" s="264"/>
      <c r="AI247" s="45"/>
      <c r="AJ247" s="265" t="str">
        <f>'I. Eliminations-Consolidations'!A250</f>
        <v>I.7</v>
      </c>
      <c r="AK247" s="137">
        <f>'I. Eliminations-Consolidations'!L302</f>
        <v>0</v>
      </c>
      <c r="AL247" s="218"/>
      <c r="AM247" s="218"/>
      <c r="AN247" s="270">
        <f>W247+Y247+AA247+AD247+AI247+AL247</f>
        <v>0</v>
      </c>
      <c r="AO247" s="271">
        <f>X247+Z247+AB247+AG247+AK247+AM247</f>
        <v>0</v>
      </c>
      <c r="AP247" s="192">
        <f>IF(AN247-AO247&lt;0, " ",AN247-AO247)</f>
        <v>0</v>
      </c>
      <c r="AQ247" s="271">
        <f t="shared" ref="AQ247:AQ257" si="62">IF(AN247-AO247&gt;0, " ", AO247-AN247)</f>
        <v>0</v>
      </c>
      <c r="AR247" s="192"/>
      <c r="AS247" s="271"/>
      <c r="AT247" s="45"/>
      <c r="AU247" s="36"/>
      <c r="AV247" s="36"/>
      <c r="AW247" s="36"/>
      <c r="AX247" s="36"/>
    </row>
    <row r="248" spans="2:50" ht="3.75" customHeight="1" x14ac:dyDescent="0.2">
      <c r="B248" s="188"/>
      <c r="E248" s="310"/>
      <c r="F248" s="416"/>
      <c r="G248" s="304"/>
      <c r="H248" s="304"/>
      <c r="I248" s="304"/>
      <c r="J248" s="304"/>
      <c r="K248" s="304"/>
      <c r="L248" s="304"/>
      <c r="M248" s="304"/>
      <c r="N248" s="417"/>
      <c r="O248" s="304"/>
      <c r="P248" s="304"/>
      <c r="Q248" s="304"/>
      <c r="R248" s="304"/>
      <c r="S248" s="304"/>
      <c r="T248" s="417"/>
      <c r="U248" s="192"/>
      <c r="V248" s="192"/>
      <c r="W248" s="270"/>
      <c r="X248" s="271"/>
      <c r="Y248" s="303"/>
      <c r="Z248" s="304"/>
      <c r="AA248" s="269"/>
      <c r="AB248" s="137"/>
      <c r="AC248" s="265"/>
      <c r="AD248" s="45"/>
      <c r="AE248" s="45"/>
      <c r="AF248" s="265"/>
      <c r="AG248" s="45"/>
      <c r="AH248" s="264"/>
      <c r="AI248" s="45"/>
      <c r="AJ248" s="265"/>
      <c r="AK248" s="137"/>
      <c r="AL248" s="218"/>
      <c r="AM248" s="218"/>
      <c r="AN248" s="270"/>
      <c r="AO248" s="271"/>
      <c r="AP248" s="192"/>
      <c r="AQ248" s="271"/>
      <c r="AR248" s="192"/>
      <c r="AS248" s="271"/>
      <c r="AT248" s="45"/>
      <c r="AU248" s="36"/>
      <c r="AV248" s="36"/>
      <c r="AW248" s="36"/>
      <c r="AX248" s="36"/>
    </row>
    <row r="249" spans="2:50" ht="15" customHeight="1" x14ac:dyDescent="0.2">
      <c r="B249" s="4" t="s">
        <v>221</v>
      </c>
      <c r="E249" s="310"/>
      <c r="F249" s="416"/>
      <c r="G249" s="304"/>
      <c r="H249" s="304"/>
      <c r="I249" s="304"/>
      <c r="J249" s="304"/>
      <c r="K249" s="304"/>
      <c r="L249" s="304"/>
      <c r="M249" s="304"/>
      <c r="N249" s="417"/>
      <c r="O249" s="304"/>
      <c r="P249" s="304"/>
      <c r="Q249" s="304"/>
      <c r="R249" s="304"/>
      <c r="S249" s="304"/>
      <c r="T249" s="417"/>
      <c r="U249" s="192"/>
      <c r="V249" s="192"/>
      <c r="W249" s="270"/>
      <c r="X249" s="271"/>
      <c r="Y249" s="303"/>
      <c r="Z249" s="304"/>
      <c r="AA249" s="269"/>
      <c r="AB249" s="137"/>
      <c r="AC249" s="265"/>
      <c r="AD249" s="45"/>
      <c r="AE249" s="45"/>
      <c r="AF249" s="265"/>
      <c r="AG249" s="45"/>
      <c r="AH249" s="264"/>
      <c r="AI249" s="45"/>
      <c r="AJ249" s="265"/>
      <c r="AK249" s="137"/>
      <c r="AL249" s="218"/>
      <c r="AM249" s="218"/>
      <c r="AN249" s="270"/>
      <c r="AO249" s="271"/>
      <c r="AP249" s="192"/>
      <c r="AQ249" s="271"/>
      <c r="AR249" s="192"/>
      <c r="AS249" s="271"/>
      <c r="AT249" s="45"/>
      <c r="AU249" s="36"/>
      <c r="AV249" s="36"/>
      <c r="AW249" s="36"/>
      <c r="AX249" s="36"/>
    </row>
    <row r="250" spans="2:50" ht="15" customHeight="1" x14ac:dyDescent="0.2">
      <c r="B250" s="188"/>
      <c r="C250" t="s">
        <v>208</v>
      </c>
      <c r="E250" s="310"/>
      <c r="F250" s="416"/>
      <c r="G250" s="304"/>
      <c r="H250" s="304"/>
      <c r="I250" s="304"/>
      <c r="J250" s="304"/>
      <c r="K250" s="304"/>
      <c r="L250" s="304"/>
      <c r="M250" s="304"/>
      <c r="N250" s="417"/>
      <c r="O250" s="304"/>
      <c r="P250" s="304"/>
      <c r="Q250" s="304"/>
      <c r="R250" s="304"/>
      <c r="S250" s="304"/>
      <c r="T250" s="417"/>
      <c r="U250" s="192">
        <f t="shared" si="55"/>
        <v>0</v>
      </c>
      <c r="V250" s="192">
        <f t="shared" si="56"/>
        <v>0</v>
      </c>
      <c r="W250" s="270">
        <f t="shared" si="57"/>
        <v>0</v>
      </c>
      <c r="X250" s="271">
        <f t="shared" si="57"/>
        <v>0</v>
      </c>
      <c r="Y250" s="303"/>
      <c r="Z250" s="304"/>
      <c r="AA250" s="269"/>
      <c r="AB250" s="137">
        <f>'A. Revenue by Function'!N225</f>
        <v>0</v>
      </c>
      <c r="AC250" s="265"/>
      <c r="AD250" s="45"/>
      <c r="AE250" s="45"/>
      <c r="AF250" s="265"/>
      <c r="AG250" s="45"/>
      <c r="AH250" s="264"/>
      <c r="AI250" s="45"/>
      <c r="AJ250" s="265"/>
      <c r="AK250" s="137"/>
      <c r="AL250" s="218"/>
      <c r="AM250" s="218"/>
      <c r="AN250" s="270">
        <f t="shared" ref="AN250:AN257" si="63">W250+Y250+AA250+AD250+AI250+AL250</f>
        <v>0</v>
      </c>
      <c r="AO250" s="271">
        <f t="shared" ref="AO250:AO257" si="64">X250+Z250+AB250+AG250+AK250+AM250</f>
        <v>0</v>
      </c>
      <c r="AP250" s="192">
        <f t="shared" ref="AP250:AP257" si="65">IF(AN250-AO250&lt;0, " ",AN250-AO250)</f>
        <v>0</v>
      </c>
      <c r="AQ250" s="271">
        <f t="shared" si="62"/>
        <v>0</v>
      </c>
      <c r="AR250" s="192"/>
      <c r="AS250" s="271"/>
      <c r="AT250" s="45"/>
      <c r="AU250" s="36"/>
      <c r="AV250" s="36"/>
      <c r="AW250" s="36"/>
      <c r="AX250" s="36"/>
    </row>
    <row r="251" spans="2:50" ht="15" customHeight="1" x14ac:dyDescent="0.2">
      <c r="B251" s="188"/>
      <c r="C251" t="s">
        <v>673</v>
      </c>
      <c r="E251" s="310"/>
      <c r="F251" s="416"/>
      <c r="G251" s="304"/>
      <c r="H251" s="304"/>
      <c r="I251" s="304"/>
      <c r="J251" s="304"/>
      <c r="K251" s="304"/>
      <c r="L251" s="304"/>
      <c r="M251" s="304"/>
      <c r="N251" s="417"/>
      <c r="O251" s="304"/>
      <c r="P251" s="304"/>
      <c r="Q251" s="304"/>
      <c r="R251" s="304"/>
      <c r="S251" s="304"/>
      <c r="T251" s="417"/>
      <c r="U251" s="192">
        <f t="shared" si="55"/>
        <v>0</v>
      </c>
      <c r="V251" s="192">
        <f t="shared" si="56"/>
        <v>0</v>
      </c>
      <c r="W251" s="270">
        <f t="shared" si="57"/>
        <v>0</v>
      </c>
      <c r="X251" s="271">
        <f t="shared" si="57"/>
        <v>0</v>
      </c>
      <c r="Y251" s="303"/>
      <c r="Z251" s="304"/>
      <c r="AA251" s="269"/>
      <c r="AB251" s="137">
        <f>'A. Revenue by Function'!N226</f>
        <v>0</v>
      </c>
      <c r="AC251" s="265"/>
      <c r="AD251" s="45"/>
      <c r="AE251" s="45"/>
      <c r="AF251" s="265"/>
      <c r="AG251" s="45"/>
      <c r="AH251" s="264"/>
      <c r="AI251" s="45"/>
      <c r="AJ251" s="265"/>
      <c r="AK251" s="137"/>
      <c r="AL251" s="218"/>
      <c r="AM251" s="218"/>
      <c r="AN251" s="270">
        <f t="shared" si="63"/>
        <v>0</v>
      </c>
      <c r="AO251" s="271">
        <f t="shared" si="64"/>
        <v>0</v>
      </c>
      <c r="AP251" s="192">
        <f t="shared" si="65"/>
        <v>0</v>
      </c>
      <c r="AQ251" s="271">
        <f t="shared" si="62"/>
        <v>0</v>
      </c>
      <c r="AR251" s="192"/>
      <c r="AS251" s="271"/>
      <c r="AT251" s="45"/>
      <c r="AU251" s="36"/>
      <c r="AV251" s="36"/>
      <c r="AW251" s="36"/>
      <c r="AX251" s="36"/>
    </row>
    <row r="252" spans="2:50" ht="15" customHeight="1" x14ac:dyDescent="0.2">
      <c r="B252" s="188"/>
      <c r="C252" t="s">
        <v>209</v>
      </c>
      <c r="E252" s="310"/>
      <c r="F252" s="416"/>
      <c r="G252" s="304"/>
      <c r="H252" s="304"/>
      <c r="I252" s="304"/>
      <c r="J252" s="304"/>
      <c r="K252" s="304"/>
      <c r="L252" s="304"/>
      <c r="M252" s="304"/>
      <c r="N252" s="417"/>
      <c r="O252" s="304"/>
      <c r="P252" s="304"/>
      <c r="Q252" s="304"/>
      <c r="R252" s="304"/>
      <c r="S252" s="304"/>
      <c r="T252" s="417"/>
      <c r="U252" s="192">
        <f t="shared" si="55"/>
        <v>0</v>
      </c>
      <c r="V252" s="192">
        <f t="shared" si="56"/>
        <v>0</v>
      </c>
      <c r="W252" s="270">
        <f t="shared" si="57"/>
        <v>0</v>
      </c>
      <c r="X252" s="271">
        <f t="shared" si="57"/>
        <v>0</v>
      </c>
      <c r="Y252" s="303"/>
      <c r="Z252" s="304"/>
      <c r="AA252" s="269"/>
      <c r="AB252" s="137">
        <f>'A. Revenue by Function'!N227</f>
        <v>0</v>
      </c>
      <c r="AC252" s="265"/>
      <c r="AD252" s="45"/>
      <c r="AE252" s="45"/>
      <c r="AF252" s="265"/>
      <c r="AG252" s="45"/>
      <c r="AH252" s="264"/>
      <c r="AI252" s="45"/>
      <c r="AJ252" s="265"/>
      <c r="AK252" s="137"/>
      <c r="AL252" s="218"/>
      <c r="AM252" s="218"/>
      <c r="AN252" s="270">
        <f t="shared" si="63"/>
        <v>0</v>
      </c>
      <c r="AO252" s="271">
        <f t="shared" si="64"/>
        <v>0</v>
      </c>
      <c r="AP252" s="192">
        <f t="shared" si="65"/>
        <v>0</v>
      </c>
      <c r="AQ252" s="271">
        <f t="shared" si="62"/>
        <v>0</v>
      </c>
      <c r="AR252" s="192"/>
      <c r="AS252" s="271"/>
      <c r="AT252" s="45"/>
      <c r="AU252" s="36"/>
      <c r="AV252" s="36"/>
      <c r="AW252" s="36"/>
      <c r="AX252" s="36"/>
    </row>
    <row r="253" spans="2:50" ht="15" customHeight="1" x14ac:dyDescent="0.2">
      <c r="B253" s="188"/>
      <c r="C253" t="s">
        <v>205</v>
      </c>
      <c r="E253" s="310"/>
      <c r="F253" s="416"/>
      <c r="G253" s="304"/>
      <c r="H253" s="304"/>
      <c r="I253" s="304"/>
      <c r="J253" s="304"/>
      <c r="K253" s="304"/>
      <c r="L253" s="304"/>
      <c r="M253" s="304"/>
      <c r="N253" s="417"/>
      <c r="O253" s="304"/>
      <c r="P253" s="304"/>
      <c r="Q253" s="304"/>
      <c r="R253" s="304"/>
      <c r="S253" s="304"/>
      <c r="T253" s="417"/>
      <c r="U253" s="192">
        <f t="shared" si="55"/>
        <v>0</v>
      </c>
      <c r="V253" s="192">
        <f t="shared" si="56"/>
        <v>0</v>
      </c>
      <c r="W253" s="270">
        <f t="shared" si="57"/>
        <v>0</v>
      </c>
      <c r="X253" s="271">
        <f t="shared" si="57"/>
        <v>0</v>
      </c>
      <c r="Y253" s="303"/>
      <c r="Z253" s="304"/>
      <c r="AA253" s="269"/>
      <c r="AB253" s="137">
        <f>'A. Revenue by Function'!N228</f>
        <v>0</v>
      </c>
      <c r="AC253" s="265"/>
      <c r="AD253" s="45"/>
      <c r="AE253" s="45"/>
      <c r="AF253" s="265"/>
      <c r="AG253" s="45"/>
      <c r="AH253" s="264"/>
      <c r="AI253" s="45"/>
      <c r="AJ253" s="265"/>
      <c r="AK253" s="137"/>
      <c r="AL253" s="218"/>
      <c r="AM253" s="218"/>
      <c r="AN253" s="270"/>
      <c r="AO253" s="271">
        <f t="shared" si="64"/>
        <v>0</v>
      </c>
      <c r="AP253" s="192">
        <f t="shared" si="65"/>
        <v>0</v>
      </c>
      <c r="AQ253" s="271">
        <f t="shared" si="62"/>
        <v>0</v>
      </c>
      <c r="AR253" s="192"/>
      <c r="AS253" s="271"/>
      <c r="AT253" s="45"/>
      <c r="AU253" s="36"/>
      <c r="AV253" s="36"/>
      <c r="AW253" s="36"/>
      <c r="AX253" s="36"/>
    </row>
    <row r="254" spans="2:50" ht="15" customHeight="1" x14ac:dyDescent="0.2">
      <c r="B254" s="188"/>
      <c r="C254" t="s">
        <v>222</v>
      </c>
      <c r="E254" s="310"/>
      <c r="F254" s="416"/>
      <c r="G254" s="304"/>
      <c r="H254" s="304"/>
      <c r="I254" s="304"/>
      <c r="J254" s="304"/>
      <c r="K254" s="304"/>
      <c r="L254" s="304"/>
      <c r="M254" s="304"/>
      <c r="N254" s="417"/>
      <c r="O254" s="304"/>
      <c r="P254" s="304"/>
      <c r="Q254" s="304"/>
      <c r="R254" s="304"/>
      <c r="S254" s="304"/>
      <c r="T254" s="417"/>
      <c r="U254" s="192">
        <f t="shared" si="55"/>
        <v>0</v>
      </c>
      <c r="V254" s="192">
        <f t="shared" si="56"/>
        <v>0</v>
      </c>
      <c r="W254" s="270">
        <f t="shared" si="57"/>
        <v>0</v>
      </c>
      <c r="X254" s="271">
        <f t="shared" si="57"/>
        <v>0</v>
      </c>
      <c r="Y254" s="303"/>
      <c r="Z254" s="304"/>
      <c r="AA254" s="269"/>
      <c r="AB254" s="137">
        <f>'A. Revenue by Function'!N229</f>
        <v>0</v>
      </c>
      <c r="AC254" s="265"/>
      <c r="AD254" s="45"/>
      <c r="AE254" s="45"/>
      <c r="AF254" s="265"/>
      <c r="AG254" s="45"/>
      <c r="AH254" s="264"/>
      <c r="AI254" s="45"/>
      <c r="AJ254" s="265"/>
      <c r="AK254" s="137"/>
      <c r="AL254" s="218"/>
      <c r="AM254" s="218"/>
      <c r="AN254" s="270">
        <f t="shared" si="63"/>
        <v>0</v>
      </c>
      <c r="AO254" s="271">
        <f t="shared" si="64"/>
        <v>0</v>
      </c>
      <c r="AP254" s="192">
        <f t="shared" si="65"/>
        <v>0</v>
      </c>
      <c r="AQ254" s="271">
        <f t="shared" si="62"/>
        <v>0</v>
      </c>
      <c r="AR254" s="192"/>
      <c r="AS254" s="271"/>
      <c r="AT254" s="45"/>
      <c r="AU254" s="36"/>
      <c r="AV254" s="36"/>
      <c r="AW254" s="36"/>
      <c r="AX254" s="36"/>
    </row>
    <row r="255" spans="2:50" ht="15" customHeight="1" x14ac:dyDescent="0.2">
      <c r="B255" s="188"/>
      <c r="C255" s="217" t="s">
        <v>210</v>
      </c>
      <c r="D255" s="217"/>
      <c r="E255" s="440"/>
      <c r="F255" s="441"/>
      <c r="G255" s="308"/>
      <c r="H255" s="308"/>
      <c r="I255" s="308"/>
      <c r="J255" s="308"/>
      <c r="K255" s="308"/>
      <c r="L255" s="308"/>
      <c r="M255" s="308"/>
      <c r="N255" s="442"/>
      <c r="O255" s="308"/>
      <c r="P255" s="308"/>
      <c r="Q255" s="308"/>
      <c r="R255" s="308"/>
      <c r="S255" s="308"/>
      <c r="T255" s="442"/>
      <c r="U255" s="192">
        <f t="shared" si="55"/>
        <v>0</v>
      </c>
      <c r="V255" s="192">
        <f t="shared" si="56"/>
        <v>0</v>
      </c>
      <c r="W255" s="270">
        <f t="shared" si="57"/>
        <v>0</v>
      </c>
      <c r="X255" s="271">
        <f t="shared" si="57"/>
        <v>0</v>
      </c>
      <c r="Y255" s="307"/>
      <c r="Z255" s="308"/>
      <c r="AA255" s="276"/>
      <c r="AB255" s="186">
        <f>'A. Revenue by Function'!N231</f>
        <v>0</v>
      </c>
      <c r="AC255" s="277" t="str">
        <f>'D.  Capital Asset Disposal'!$D$189</f>
        <v>D.1</v>
      </c>
      <c r="AD255" s="185">
        <f>'D.  Capital Asset Disposal'!M196</f>
        <v>0</v>
      </c>
      <c r="AE255" s="185"/>
      <c r="AF255" s="277" t="str">
        <f>'C. Capital Outlay &amp; Donations'!$D$154</f>
        <v>C.3</v>
      </c>
      <c r="AG255" s="185">
        <f>'C. Capital Outlay &amp; Donations'!M161</f>
        <v>0</v>
      </c>
      <c r="AH255" s="278"/>
      <c r="AI255" s="185"/>
      <c r="AJ255" s="277"/>
      <c r="AK255" s="186"/>
      <c r="AL255" s="222"/>
      <c r="AM255" s="222"/>
      <c r="AN255" s="270">
        <f t="shared" si="63"/>
        <v>0</v>
      </c>
      <c r="AO255" s="271">
        <f t="shared" si="64"/>
        <v>0</v>
      </c>
      <c r="AP255" s="192">
        <f>IF(AN255+AN256-AO255-AO256&lt;0, " ",AN255+AN256-AO255-AO256)</f>
        <v>0</v>
      </c>
      <c r="AQ255" s="271">
        <f>IF(AN255+AN256-AO255-AO256&gt;0, " ", AO255+AO256-AN255-AN256)</f>
        <v>0</v>
      </c>
      <c r="AR255" s="192"/>
      <c r="AS255" s="271"/>
      <c r="AT255" s="45"/>
      <c r="AU255" s="36"/>
      <c r="AV255" s="36"/>
      <c r="AW255" s="36"/>
      <c r="AX255" s="36"/>
    </row>
    <row r="256" spans="2:50" ht="15" customHeight="1" x14ac:dyDescent="0.2">
      <c r="B256" s="188"/>
      <c r="C256" s="217"/>
      <c r="D256" s="217"/>
      <c r="E256" s="440"/>
      <c r="F256" s="441"/>
      <c r="G256" s="308"/>
      <c r="H256" s="308"/>
      <c r="I256" s="308"/>
      <c r="J256" s="308"/>
      <c r="K256" s="308"/>
      <c r="L256" s="308"/>
      <c r="M256" s="308"/>
      <c r="N256" s="442"/>
      <c r="O256" s="308"/>
      <c r="P256" s="308"/>
      <c r="Q256" s="308"/>
      <c r="R256" s="308"/>
      <c r="S256" s="308"/>
      <c r="T256" s="442"/>
      <c r="U256" s="192">
        <f t="shared" si="55"/>
        <v>0</v>
      </c>
      <c r="V256" s="192">
        <f t="shared" si="56"/>
        <v>0</v>
      </c>
      <c r="W256" s="270">
        <f t="shared" si="57"/>
        <v>0</v>
      </c>
      <c r="X256" s="271">
        <f t="shared" si="57"/>
        <v>0</v>
      </c>
      <c r="Y256" s="307"/>
      <c r="Z256" s="308"/>
      <c r="AA256" s="276"/>
      <c r="AB256" s="186"/>
      <c r="AC256" s="277"/>
      <c r="AD256" s="185"/>
      <c r="AE256" s="185"/>
      <c r="AF256" s="277" t="str">
        <f>'D.  Capital Asset Disposal'!$D$189</f>
        <v>D.1</v>
      </c>
      <c r="AG256" s="185">
        <f>'D.  Capital Asset Disposal'!O224</f>
        <v>0</v>
      </c>
      <c r="AH256" s="278"/>
      <c r="AI256" s="185"/>
      <c r="AJ256" s="277" t="str">
        <f>'I. Eliminations-Consolidations'!A305</f>
        <v>I.8</v>
      </c>
      <c r="AK256" s="186">
        <f>'I. Eliminations-Consolidations'!L306</f>
        <v>0</v>
      </c>
      <c r="AL256" s="222"/>
      <c r="AM256" s="222"/>
      <c r="AN256" s="270">
        <f t="shared" si="63"/>
        <v>0</v>
      </c>
      <c r="AO256" s="271">
        <f t="shared" si="64"/>
        <v>0</v>
      </c>
      <c r="AP256" s="192"/>
      <c r="AQ256" s="271"/>
      <c r="AR256" s="192"/>
      <c r="AS256" s="271"/>
      <c r="AT256" s="45"/>
      <c r="AU256" s="36"/>
      <c r="AV256" s="36"/>
      <c r="AW256" s="36"/>
      <c r="AX256" s="36"/>
    </row>
    <row r="257" spans="1:50" ht="15" customHeight="1" x14ac:dyDescent="0.2">
      <c r="B257" s="188"/>
      <c r="C257" t="s">
        <v>206</v>
      </c>
      <c r="E257" s="310"/>
      <c r="F257" s="416"/>
      <c r="G257" s="304"/>
      <c r="H257" s="304"/>
      <c r="I257" s="304"/>
      <c r="J257" s="304"/>
      <c r="K257" s="304"/>
      <c r="L257" s="304"/>
      <c r="M257" s="304"/>
      <c r="N257" s="417"/>
      <c r="O257" s="304"/>
      <c r="P257" s="304"/>
      <c r="Q257" s="304"/>
      <c r="R257" s="304"/>
      <c r="S257" s="304"/>
      <c r="T257" s="417"/>
      <c r="U257" s="192">
        <f t="shared" si="55"/>
        <v>0</v>
      </c>
      <c r="V257" s="192">
        <f t="shared" si="56"/>
        <v>0</v>
      </c>
      <c r="W257" s="270">
        <f t="shared" si="57"/>
        <v>0</v>
      </c>
      <c r="X257" s="271">
        <f t="shared" si="57"/>
        <v>0</v>
      </c>
      <c r="Y257" s="303"/>
      <c r="Z257" s="304"/>
      <c r="AA257" s="269"/>
      <c r="AB257" s="137">
        <f>'A. Revenue by Function'!N230</f>
        <v>0</v>
      </c>
      <c r="AC257" s="265" t="str">
        <f>'G.  Other Asset Entries'!B90</f>
        <v>G.1</v>
      </c>
      <c r="AD257" s="45">
        <f>'G.  Other Asset Entries'!L93</f>
        <v>0</v>
      </c>
      <c r="AE257" s="45"/>
      <c r="AF257" s="265" t="str">
        <f>'G.  Other Asset Entries'!B90</f>
        <v>G.1</v>
      </c>
      <c r="AG257" s="45">
        <f>'G.  Other Asset Entries'!N93</f>
        <v>0</v>
      </c>
      <c r="AH257" s="264"/>
      <c r="AI257" s="45"/>
      <c r="AJ257" s="265"/>
      <c r="AK257" s="137"/>
      <c r="AL257" s="218"/>
      <c r="AM257" s="218"/>
      <c r="AN257" s="270">
        <f t="shared" si="63"/>
        <v>0</v>
      </c>
      <c r="AO257" s="271">
        <f t="shared" si="64"/>
        <v>0</v>
      </c>
      <c r="AP257" s="192">
        <f t="shared" si="65"/>
        <v>0</v>
      </c>
      <c r="AQ257" s="271">
        <f t="shared" si="62"/>
        <v>0</v>
      </c>
      <c r="AR257" s="192"/>
      <c r="AS257" s="271"/>
      <c r="AT257" s="45"/>
      <c r="AU257" s="36"/>
      <c r="AV257" s="36"/>
      <c r="AW257" s="36"/>
      <c r="AX257" s="36"/>
    </row>
    <row r="258" spans="1:50" ht="5.25" customHeight="1" x14ac:dyDescent="0.2">
      <c r="A258" s="314"/>
      <c r="B258" s="415"/>
      <c r="C258" s="314"/>
      <c r="D258" s="314"/>
      <c r="E258" s="310"/>
      <c r="F258" s="416"/>
      <c r="G258" s="304"/>
      <c r="H258" s="304"/>
      <c r="I258" s="304"/>
      <c r="J258" s="304"/>
      <c r="K258" s="304"/>
      <c r="L258" s="304"/>
      <c r="M258" s="304"/>
      <c r="N258" s="417"/>
      <c r="O258" s="304"/>
      <c r="P258" s="304"/>
      <c r="Q258" s="304"/>
      <c r="R258" s="304"/>
      <c r="S258" s="304"/>
      <c r="T258" s="417"/>
      <c r="U258" s="192"/>
      <c r="V258" s="192"/>
      <c r="W258" s="270"/>
      <c r="X258" s="271"/>
      <c r="Y258" s="303"/>
      <c r="Z258" s="304"/>
      <c r="AA258" s="269"/>
      <c r="AB258" s="137"/>
      <c r="AC258" s="265"/>
      <c r="AD258" s="45"/>
      <c r="AE258" s="45"/>
      <c r="AF258" s="265"/>
      <c r="AG258" s="45"/>
      <c r="AH258" s="264"/>
      <c r="AI258" s="45"/>
      <c r="AJ258" s="265"/>
      <c r="AK258" s="137"/>
      <c r="AL258" s="218"/>
      <c r="AM258" s="218"/>
      <c r="AN258" s="270"/>
      <c r="AO258" s="271"/>
      <c r="AP258" s="192"/>
      <c r="AQ258" s="271"/>
      <c r="AR258" s="192"/>
      <c r="AS258" s="271"/>
      <c r="AT258" s="45"/>
      <c r="AU258" s="36"/>
      <c r="AV258" s="36"/>
      <c r="AW258" s="36"/>
      <c r="AX258" s="36"/>
    </row>
    <row r="259" spans="1:50" ht="3.75" customHeight="1" x14ac:dyDescent="0.2">
      <c r="A259" s="335"/>
      <c r="B259" s="335"/>
      <c r="C259" s="335"/>
      <c r="D259" s="314"/>
      <c r="E259" s="310"/>
      <c r="F259" s="416"/>
      <c r="G259" s="304"/>
      <c r="H259" s="304"/>
      <c r="I259" s="304"/>
      <c r="J259" s="304"/>
      <c r="K259" s="304"/>
      <c r="L259" s="304"/>
      <c r="M259" s="304"/>
      <c r="N259" s="417"/>
      <c r="O259" s="304"/>
      <c r="P259" s="304"/>
      <c r="Q259" s="304"/>
      <c r="R259" s="304"/>
      <c r="S259" s="304"/>
      <c r="T259" s="417"/>
      <c r="U259" s="192"/>
      <c r="V259" s="192"/>
      <c r="W259" s="270"/>
      <c r="X259" s="271"/>
      <c r="Y259" s="303"/>
      <c r="Z259" s="304"/>
      <c r="AA259" s="269"/>
      <c r="AB259" s="137"/>
      <c r="AC259" s="265"/>
      <c r="AD259" s="45"/>
      <c r="AE259" s="45"/>
      <c r="AF259" s="265"/>
      <c r="AG259" s="45"/>
      <c r="AH259" s="264"/>
      <c r="AI259" s="45"/>
      <c r="AJ259" s="265"/>
      <c r="AK259" s="137"/>
      <c r="AL259" s="218"/>
      <c r="AM259" s="218"/>
      <c r="AN259" s="270"/>
      <c r="AO259" s="271"/>
      <c r="AP259" s="192"/>
      <c r="AQ259" s="271"/>
      <c r="AR259" s="192"/>
      <c r="AS259" s="271"/>
      <c r="AT259" s="45"/>
      <c r="AU259" s="36"/>
      <c r="AV259" s="36"/>
      <c r="AW259" s="36"/>
      <c r="AX259" s="36"/>
    </row>
    <row r="260" spans="1:50" ht="26.25" customHeight="1" x14ac:dyDescent="0.2">
      <c r="A260" s="1091" t="s">
        <v>593</v>
      </c>
      <c r="B260" s="1091"/>
      <c r="C260" s="1091"/>
      <c r="D260" s="418"/>
      <c r="E260" s="310"/>
      <c r="F260" s="416"/>
      <c r="G260" s="304"/>
      <c r="H260" s="304"/>
      <c r="I260" s="304"/>
      <c r="J260" s="304"/>
      <c r="K260" s="304"/>
      <c r="L260" s="304"/>
      <c r="M260" s="304"/>
      <c r="N260" s="417"/>
      <c r="O260" s="304"/>
      <c r="P260" s="304"/>
      <c r="Q260" s="304"/>
      <c r="R260" s="304"/>
      <c r="S260" s="304"/>
      <c r="T260" s="417"/>
      <c r="U260" s="192"/>
      <c r="V260" s="192"/>
      <c r="W260" s="270"/>
      <c r="X260" s="271"/>
      <c r="Y260" s="303"/>
      <c r="Z260" s="304"/>
      <c r="AA260" s="269"/>
      <c r="AB260" s="137"/>
      <c r="AC260" s="265"/>
      <c r="AD260" s="45"/>
      <c r="AE260" s="45"/>
      <c r="AF260" s="265"/>
      <c r="AG260" s="45"/>
      <c r="AH260" s="264"/>
      <c r="AI260" s="45"/>
      <c r="AJ260" s="265"/>
      <c r="AK260" s="137"/>
      <c r="AL260" s="218"/>
      <c r="AM260" s="218"/>
      <c r="AN260" s="270"/>
      <c r="AO260" s="271"/>
      <c r="AP260" s="192"/>
      <c r="AQ260" s="271"/>
      <c r="AR260" s="192"/>
      <c r="AS260" s="271"/>
      <c r="AT260" s="45"/>
      <c r="AU260" s="36"/>
      <c r="AV260" s="36"/>
      <c r="AW260" s="36"/>
      <c r="AX260" s="36"/>
    </row>
    <row r="261" spans="1:50" ht="3.75" customHeight="1" x14ac:dyDescent="0.2">
      <c r="A261" s="328"/>
      <c r="B261" s="328"/>
      <c r="C261" s="328"/>
      <c r="D261" s="328"/>
      <c r="E261" s="310"/>
      <c r="F261" s="416"/>
      <c r="G261" s="304"/>
      <c r="H261" s="304"/>
      <c r="I261" s="304"/>
      <c r="J261" s="304"/>
      <c r="K261" s="304"/>
      <c r="L261" s="304"/>
      <c r="M261" s="304"/>
      <c r="N261" s="417"/>
      <c r="O261" s="304"/>
      <c r="P261" s="304"/>
      <c r="Q261" s="304"/>
      <c r="R261" s="304"/>
      <c r="S261" s="304"/>
      <c r="T261" s="417"/>
      <c r="U261" s="192"/>
      <c r="V261" s="192"/>
      <c r="W261" s="270"/>
      <c r="X261" s="271"/>
      <c r="Y261" s="303"/>
      <c r="Z261" s="304"/>
      <c r="AA261" s="269"/>
      <c r="AB261" s="137"/>
      <c r="AC261" s="265"/>
      <c r="AD261" s="45"/>
      <c r="AE261" s="45"/>
      <c r="AF261" s="265"/>
      <c r="AG261" s="45"/>
      <c r="AH261" s="264"/>
      <c r="AI261" s="45"/>
      <c r="AJ261" s="265"/>
      <c r="AK261" s="137"/>
      <c r="AL261" s="218"/>
      <c r="AM261" s="218"/>
      <c r="AN261" s="270"/>
      <c r="AO261" s="271"/>
      <c r="AP261" s="192"/>
      <c r="AQ261" s="271"/>
      <c r="AR261" s="192"/>
      <c r="AS261" s="271"/>
      <c r="AT261" s="45"/>
      <c r="AU261" s="36"/>
      <c r="AV261" s="36"/>
      <c r="AW261" s="36"/>
      <c r="AX261" s="36"/>
    </row>
    <row r="262" spans="1:50" x14ac:dyDescent="0.2">
      <c r="A262" s="11"/>
      <c r="B262" s="203" t="s">
        <v>508</v>
      </c>
      <c r="C262" s="184"/>
      <c r="D262" s="184"/>
      <c r="E262" s="213"/>
      <c r="F262" s="214"/>
      <c r="G262" s="222"/>
      <c r="H262" s="222"/>
      <c r="I262" s="222"/>
      <c r="J262" s="222"/>
      <c r="K262" s="222"/>
      <c r="L262" s="222"/>
      <c r="M262" s="222"/>
      <c r="N262" s="223"/>
      <c r="O262" s="222"/>
      <c r="P262" s="222"/>
      <c r="Q262" s="222"/>
      <c r="R262" s="222"/>
      <c r="S262" s="222"/>
      <c r="T262" s="223"/>
      <c r="U262" s="192">
        <f t="shared" si="55"/>
        <v>0</v>
      </c>
      <c r="V262" s="192">
        <f t="shared" si="56"/>
        <v>0</v>
      </c>
      <c r="W262" s="270">
        <f>E262+G262+I262+K262+M262+U262</f>
        <v>0</v>
      </c>
      <c r="X262" s="271">
        <f>F262+H262+J262+L262+N262+V262</f>
        <v>0</v>
      </c>
      <c r="Y262" s="307"/>
      <c r="Z262" s="308"/>
      <c r="AA262" s="276"/>
      <c r="AB262" s="186"/>
      <c r="AC262" s="277" t="str">
        <f>'B. Depreciation'!A54</f>
        <v>B.1</v>
      </c>
      <c r="AD262" s="185">
        <f>'B. Depreciation'!J54</f>
        <v>0</v>
      </c>
      <c r="AE262" s="185"/>
      <c r="AF262" s="277" t="str">
        <f>'C. Capital Outlay &amp; Donations'!$D$100</f>
        <v>C.1</v>
      </c>
      <c r="AG262" s="185">
        <f>'C. Capital Outlay &amp; Donations'!M108</f>
        <v>0</v>
      </c>
      <c r="AH262" s="278" t="str">
        <f>'I. Eliminations-Consolidations'!A250</f>
        <v>I.7</v>
      </c>
      <c r="AI262" s="185">
        <f>'I. Eliminations-Consolidations'!J250</f>
        <v>0</v>
      </c>
      <c r="AJ262" s="277"/>
      <c r="AK262" s="186"/>
      <c r="AL262" s="222"/>
      <c r="AM262" s="222"/>
      <c r="AN262" s="270">
        <f>W262+Y262+AA262+AD262+AI262+AL262</f>
        <v>0</v>
      </c>
      <c r="AO262" s="271">
        <f t="shared" ref="AO262:AO268" si="66">X262+Z262+AB262+AG262+AK262+AM262</f>
        <v>0</v>
      </c>
      <c r="AP262" s="192" t="str">
        <f>IF(SUM(AN262:AN268)-SUM(AO262:AO268)&lt;=0, " ",SUM(AN262:AN268)-SUM(AO262:AO268))</f>
        <v xml:space="preserve"> </v>
      </c>
      <c r="AQ262" s="271" t="str">
        <f>IF(SUM(AN262:AN266)-SUM(AO262:AO266)&gt;=0, " ", SUM(AO262:AO266)-SUM(AN262:AN266))</f>
        <v xml:space="preserve"> </v>
      </c>
      <c r="AR262" s="192"/>
      <c r="AS262" s="271"/>
      <c r="AT262" s="45"/>
      <c r="AU262" s="36"/>
      <c r="AV262" s="36"/>
      <c r="AW262" s="36"/>
      <c r="AX262" s="36"/>
    </row>
    <row r="263" spans="1:50" x14ac:dyDescent="0.2">
      <c r="A263" s="11"/>
      <c r="B263" s="203"/>
      <c r="C263" s="184"/>
      <c r="D263" s="184"/>
      <c r="E263" s="213"/>
      <c r="F263" s="214"/>
      <c r="G263" s="222"/>
      <c r="H263" s="222"/>
      <c r="I263" s="222"/>
      <c r="J263" s="222"/>
      <c r="K263" s="222"/>
      <c r="L263" s="222"/>
      <c r="M263" s="222"/>
      <c r="N263" s="223"/>
      <c r="O263" s="222"/>
      <c r="P263" s="222"/>
      <c r="Q263" s="222"/>
      <c r="R263" s="222"/>
      <c r="S263" s="222"/>
      <c r="T263" s="223"/>
      <c r="U263" s="192">
        <f t="shared" si="55"/>
        <v>0</v>
      </c>
      <c r="V263" s="192">
        <f t="shared" si="56"/>
        <v>0</v>
      </c>
      <c r="W263" s="270">
        <f t="shared" si="57"/>
        <v>0</v>
      </c>
      <c r="X263" s="271">
        <f t="shared" si="57"/>
        <v>0</v>
      </c>
      <c r="Y263" s="307"/>
      <c r="Z263" s="308"/>
      <c r="AA263" s="276"/>
      <c r="AB263" s="186"/>
      <c r="AC263" s="277" t="str">
        <f>'C. Capital Outlay &amp; Donations'!D130</f>
        <v>C.2</v>
      </c>
      <c r="AD263" s="187">
        <f>'C. Capital Outlay &amp; Donations'!K132</f>
        <v>0</v>
      </c>
      <c r="AE263" s="185"/>
      <c r="AF263" s="283" t="str">
        <f>'G.  Other Asset Entries'!$B$90</f>
        <v>G.1</v>
      </c>
      <c r="AG263" s="185">
        <f>'G.  Other Asset Entries'!N94</f>
        <v>0</v>
      </c>
      <c r="AH263" s="278"/>
      <c r="AI263" s="185"/>
      <c r="AJ263" s="277"/>
      <c r="AK263" s="186"/>
      <c r="AL263" s="222"/>
      <c r="AM263" s="222"/>
      <c r="AN263" s="270"/>
      <c r="AO263" s="271">
        <f t="shared" si="66"/>
        <v>0</v>
      </c>
      <c r="AP263" s="192"/>
      <c r="AQ263" s="271"/>
      <c r="AR263" s="192"/>
      <c r="AS263" s="271"/>
      <c r="AT263" s="45"/>
      <c r="AU263" s="36"/>
      <c r="AV263" s="36"/>
      <c r="AW263" s="36"/>
      <c r="AX263" s="36"/>
    </row>
    <row r="264" spans="1:50" x14ac:dyDescent="0.2">
      <c r="A264" s="11"/>
      <c r="B264" s="203"/>
      <c r="C264" s="184"/>
      <c r="D264" s="184"/>
      <c r="E264" s="213"/>
      <c r="F264" s="214"/>
      <c r="G264" s="222"/>
      <c r="H264" s="222"/>
      <c r="I264" s="222"/>
      <c r="J264" s="222"/>
      <c r="K264" s="222"/>
      <c r="L264" s="222"/>
      <c r="M264" s="222"/>
      <c r="N264" s="223"/>
      <c r="O264" s="222"/>
      <c r="P264" s="222"/>
      <c r="Q264" s="222"/>
      <c r="R264" s="222"/>
      <c r="S264" s="222"/>
      <c r="T264" s="223"/>
      <c r="U264" s="192">
        <f t="shared" si="55"/>
        <v>0</v>
      </c>
      <c r="V264" s="192">
        <f t="shared" si="56"/>
        <v>0</v>
      </c>
      <c r="W264" s="270">
        <f t="shared" si="57"/>
        <v>0</v>
      </c>
      <c r="X264" s="271">
        <f t="shared" si="57"/>
        <v>0</v>
      </c>
      <c r="Y264" s="307"/>
      <c r="Z264" s="308"/>
      <c r="AA264" s="276"/>
      <c r="AB264" s="186"/>
      <c r="AC264" s="277" t="s">
        <v>135</v>
      </c>
      <c r="AD264" s="185">
        <f>'D.  Capital Asset Disposal'!M200</f>
        <v>0</v>
      </c>
      <c r="AE264" s="185"/>
      <c r="AF264" s="277" t="str">
        <f>'H. Other Liabilities &amp; Expenses'!$D$235</f>
        <v>H.1</v>
      </c>
      <c r="AG264" s="185">
        <f>'H. Other Liabilities &amp; Expenses'!N235</f>
        <v>0</v>
      </c>
      <c r="AH264" s="278"/>
      <c r="AI264" s="185"/>
      <c r="AJ264" s="277"/>
      <c r="AK264" s="186"/>
      <c r="AL264" s="222"/>
      <c r="AM264" s="222"/>
      <c r="AN264" s="270">
        <f t="shared" ref="AN264:AN268" si="67">W264+Y264+AA264+AD264+AI264+AL264</f>
        <v>0</v>
      </c>
      <c r="AO264" s="271">
        <f t="shared" si="66"/>
        <v>0</v>
      </c>
      <c r="AP264" s="192"/>
      <c r="AQ264" s="271"/>
      <c r="AR264" s="192"/>
      <c r="AS264" s="271"/>
      <c r="AT264" s="45"/>
      <c r="AU264" s="36"/>
      <c r="AV264" s="36"/>
      <c r="AW264" s="36"/>
      <c r="AX264" s="36"/>
    </row>
    <row r="265" spans="1:50" x14ac:dyDescent="0.2">
      <c r="A265" s="11"/>
      <c r="B265" s="203"/>
      <c r="C265" s="184"/>
      <c r="D265" s="184"/>
      <c r="E265" s="213"/>
      <c r="F265" s="214"/>
      <c r="G265" s="222"/>
      <c r="H265" s="222"/>
      <c r="I265" s="222"/>
      <c r="J265" s="222"/>
      <c r="K265" s="222"/>
      <c r="L265" s="222"/>
      <c r="M265" s="222"/>
      <c r="N265" s="223"/>
      <c r="O265" s="222"/>
      <c r="P265" s="222"/>
      <c r="Q265" s="222"/>
      <c r="R265" s="222"/>
      <c r="S265" s="222"/>
      <c r="T265" s="223"/>
      <c r="U265" s="192">
        <f t="shared" si="55"/>
        <v>0</v>
      </c>
      <c r="V265" s="192">
        <f t="shared" si="56"/>
        <v>0</v>
      </c>
      <c r="W265" s="270">
        <f t="shared" si="57"/>
        <v>0</v>
      </c>
      <c r="X265" s="271">
        <f t="shared" si="57"/>
        <v>0</v>
      </c>
      <c r="Y265" s="307"/>
      <c r="Z265" s="308"/>
      <c r="AA265" s="276"/>
      <c r="AB265" s="186"/>
      <c r="AC265" s="277" t="str">
        <f>'H. Other Liabilities &amp; Expenses'!D235</f>
        <v>H.1</v>
      </c>
      <c r="AD265" s="185">
        <f>'H. Other Liabilities &amp; Expenses'!L235</f>
        <v>0</v>
      </c>
      <c r="AE265" s="185"/>
      <c r="AF265" s="277" t="str">
        <f>'E. Debt Service'!$D$81</f>
        <v>E.1</v>
      </c>
      <c r="AG265" s="185">
        <f>'E. Debt Service'!N83</f>
        <v>0</v>
      </c>
      <c r="AH265" s="278"/>
      <c r="AI265" s="185"/>
      <c r="AJ265" s="277"/>
      <c r="AK265" s="186"/>
      <c r="AL265" s="222"/>
      <c r="AM265" s="222"/>
      <c r="AN265" s="270">
        <f t="shared" si="67"/>
        <v>0</v>
      </c>
      <c r="AO265" s="271">
        <f t="shared" si="66"/>
        <v>0</v>
      </c>
      <c r="AP265" s="192"/>
      <c r="AQ265" s="271"/>
      <c r="AR265" s="192"/>
      <c r="AS265" s="271"/>
      <c r="AT265" s="45"/>
      <c r="AU265" s="36"/>
      <c r="AV265" s="36"/>
      <c r="AW265" s="36"/>
      <c r="AX265" s="36"/>
    </row>
    <row r="266" spans="1:50" s="488" customFormat="1" x14ac:dyDescent="0.2">
      <c r="A266" s="489"/>
      <c r="B266" s="203"/>
      <c r="C266" s="184"/>
      <c r="D266" s="184"/>
      <c r="E266" s="213"/>
      <c r="F266" s="214"/>
      <c r="G266" s="222"/>
      <c r="H266" s="222"/>
      <c r="I266" s="222"/>
      <c r="J266" s="222"/>
      <c r="K266" s="222"/>
      <c r="L266" s="222"/>
      <c r="M266" s="222"/>
      <c r="N266" s="223"/>
      <c r="O266" s="222"/>
      <c r="P266" s="222"/>
      <c r="Q266" s="222"/>
      <c r="R266" s="222"/>
      <c r="S266" s="222"/>
      <c r="T266" s="223"/>
      <c r="U266" s="192"/>
      <c r="V266" s="192"/>
      <c r="W266" s="270"/>
      <c r="X266" s="271"/>
      <c r="Y266" s="307"/>
      <c r="Z266" s="308"/>
      <c r="AA266" s="276"/>
      <c r="AB266" s="186"/>
      <c r="AC266" s="277" t="s">
        <v>1096</v>
      </c>
      <c r="AD266" s="185">
        <f>'J. GASB 68 TSERS'!C93</f>
        <v>0</v>
      </c>
      <c r="AE266" s="185"/>
      <c r="AF266" s="277" t="s">
        <v>1096</v>
      </c>
      <c r="AG266" s="185">
        <f>'J. GASB 68 TSERS'!D93</f>
        <v>0</v>
      </c>
      <c r="AH266" s="278"/>
      <c r="AI266" s="185"/>
      <c r="AJ266" s="277"/>
      <c r="AK266" s="186"/>
      <c r="AL266" s="222"/>
      <c r="AM266" s="222"/>
      <c r="AN266" s="270">
        <f t="shared" si="67"/>
        <v>0</v>
      </c>
      <c r="AO266" s="271">
        <f t="shared" si="66"/>
        <v>0</v>
      </c>
      <c r="AP266" s="192"/>
      <c r="AQ266" s="271"/>
      <c r="AR266" s="192"/>
      <c r="AS266" s="271"/>
      <c r="AT266" s="45"/>
      <c r="AU266" s="36"/>
      <c r="AV266" s="36"/>
      <c r="AW266" s="36"/>
      <c r="AX266" s="36"/>
    </row>
    <row r="267" spans="1:50" s="632" customFormat="1" x14ac:dyDescent="0.2">
      <c r="A267" s="634"/>
      <c r="B267" s="203"/>
      <c r="C267" s="184"/>
      <c r="D267" s="184"/>
      <c r="E267" s="213"/>
      <c r="F267" s="214"/>
      <c r="G267" s="222"/>
      <c r="H267" s="222"/>
      <c r="I267" s="222"/>
      <c r="J267" s="222"/>
      <c r="K267" s="222"/>
      <c r="L267" s="222"/>
      <c r="M267" s="222"/>
      <c r="N267" s="223"/>
      <c r="O267" s="222"/>
      <c r="P267" s="222"/>
      <c r="Q267" s="222"/>
      <c r="R267" s="222"/>
      <c r="S267" s="222"/>
      <c r="T267" s="223"/>
      <c r="U267" s="192"/>
      <c r="V267" s="192"/>
      <c r="W267" s="270"/>
      <c r="X267" s="271"/>
      <c r="Y267" s="307"/>
      <c r="Z267" s="308"/>
      <c r="AA267" s="276"/>
      <c r="AB267" s="186"/>
      <c r="AC267" s="691" t="s">
        <v>1534</v>
      </c>
      <c r="AD267" s="185">
        <f>'K. GASB 75 RHBF'!C93+'K. GASB 75 RHBF'!C119</f>
        <v>0</v>
      </c>
      <c r="AE267" s="185"/>
      <c r="AF267" s="277" t="s">
        <v>1533</v>
      </c>
      <c r="AG267" s="185">
        <f>'K. GASB 75 RHBF'!D119+'K. GASB 75 RHBF'!D93</f>
        <v>0</v>
      </c>
      <c r="AH267" s="278"/>
      <c r="AI267" s="185"/>
      <c r="AJ267" s="277"/>
      <c r="AK267" s="186"/>
      <c r="AL267" s="222"/>
      <c r="AM267" s="222"/>
      <c r="AN267" s="270">
        <f t="shared" si="67"/>
        <v>0</v>
      </c>
      <c r="AO267" s="271">
        <f t="shared" si="66"/>
        <v>0</v>
      </c>
      <c r="AP267" s="192"/>
      <c r="AQ267" s="271"/>
      <c r="AR267" s="192"/>
      <c r="AS267" s="271"/>
      <c r="AT267" s="45"/>
      <c r="AU267" s="36"/>
      <c r="AV267" s="36"/>
      <c r="AW267" s="36"/>
      <c r="AX267" s="36"/>
    </row>
    <row r="268" spans="1:50" s="759" customFormat="1" x14ac:dyDescent="0.2">
      <c r="A268" s="760"/>
      <c r="B268" s="203"/>
      <c r="C268" s="184"/>
      <c r="D268" s="184"/>
      <c r="E268" s="213"/>
      <c r="F268" s="214"/>
      <c r="G268" s="222"/>
      <c r="H268" s="222"/>
      <c r="I268" s="222"/>
      <c r="J268" s="222"/>
      <c r="K268" s="222"/>
      <c r="L268" s="222"/>
      <c r="M268" s="222"/>
      <c r="N268" s="223"/>
      <c r="O268" s="222"/>
      <c r="P268" s="222"/>
      <c r="Q268" s="222"/>
      <c r="R268" s="222"/>
      <c r="S268" s="222"/>
      <c r="T268" s="223"/>
      <c r="U268" s="192"/>
      <c r="V268" s="192"/>
      <c r="W268" s="270"/>
      <c r="X268" s="271"/>
      <c r="Y268" s="307"/>
      <c r="Z268" s="308"/>
      <c r="AA268" s="276"/>
      <c r="AB268" s="186"/>
      <c r="AC268" s="691" t="s">
        <v>1646</v>
      </c>
      <c r="AD268" s="185">
        <f>'L. GASB 75 DIPNC'!C93+'L. GASB 75 DIPNC'!C119</f>
        <v>0</v>
      </c>
      <c r="AE268" s="185"/>
      <c r="AF268" s="277" t="s">
        <v>1646</v>
      </c>
      <c r="AG268" s="185">
        <f>'L. GASB 75 DIPNC'!D119+'L. GASB 75 DIPNC'!D93</f>
        <v>0</v>
      </c>
      <c r="AH268" s="278"/>
      <c r="AI268" s="185"/>
      <c r="AJ268" s="277"/>
      <c r="AK268" s="186"/>
      <c r="AL268" s="222"/>
      <c r="AM268" s="222"/>
      <c r="AN268" s="270">
        <f t="shared" si="67"/>
        <v>0</v>
      </c>
      <c r="AO268" s="271">
        <f t="shared" si="66"/>
        <v>0</v>
      </c>
      <c r="AP268" s="192"/>
      <c r="AQ268" s="271"/>
      <c r="AR268" s="192"/>
      <c r="AS268" s="271"/>
      <c r="AT268" s="45"/>
      <c r="AU268" s="36"/>
      <c r="AV268" s="36"/>
      <c r="AW268" s="36"/>
      <c r="AX268" s="36"/>
    </row>
    <row r="269" spans="1:50" x14ac:dyDescent="0.2">
      <c r="A269" s="314"/>
      <c r="B269" s="314"/>
      <c r="C269" s="317"/>
      <c r="D269" s="317"/>
      <c r="E269" s="310"/>
      <c r="F269" s="416"/>
      <c r="G269" s="304"/>
      <c r="H269" s="304"/>
      <c r="I269" s="304"/>
      <c r="J269" s="304"/>
      <c r="K269" s="304"/>
      <c r="L269" s="304"/>
      <c r="M269" s="304"/>
      <c r="N269" s="417"/>
      <c r="O269" s="304"/>
      <c r="P269" s="304"/>
      <c r="Q269" s="304"/>
      <c r="R269" s="304"/>
      <c r="S269" s="304"/>
      <c r="T269" s="417"/>
      <c r="U269" s="192"/>
      <c r="V269" s="192"/>
      <c r="W269" s="270"/>
      <c r="X269" s="271"/>
      <c r="Y269" s="303"/>
      <c r="Z269" s="304"/>
      <c r="AA269" s="269"/>
      <c r="AB269" s="137"/>
      <c r="AC269" s="284"/>
      <c r="AE269" s="45"/>
      <c r="AF269" s="265"/>
      <c r="AG269" s="45"/>
      <c r="AH269" s="264"/>
      <c r="AI269" s="45"/>
      <c r="AJ269" s="265"/>
      <c r="AK269" s="137"/>
      <c r="AL269" s="218"/>
      <c r="AM269" s="218"/>
      <c r="AN269" s="270"/>
      <c r="AO269" s="271"/>
      <c r="AP269" s="192"/>
      <c r="AQ269" s="271"/>
      <c r="AR269" s="192"/>
      <c r="AS269" s="271"/>
      <c r="AT269" s="45"/>
      <c r="AU269" s="36"/>
      <c r="AV269" s="36"/>
      <c r="AW269" s="36"/>
      <c r="AX269" s="36"/>
    </row>
    <row r="270" spans="1:50" x14ac:dyDescent="0.2">
      <c r="A270" s="11"/>
      <c r="B270" s="203" t="s">
        <v>509</v>
      </c>
      <c r="C270" s="184"/>
      <c r="D270" s="184"/>
      <c r="E270" s="213"/>
      <c r="F270" s="214"/>
      <c r="G270" s="222"/>
      <c r="H270" s="222"/>
      <c r="I270" s="222"/>
      <c r="J270" s="222"/>
      <c r="K270" s="222"/>
      <c r="L270" s="222"/>
      <c r="M270" s="222"/>
      <c r="N270" s="223"/>
      <c r="O270" s="222"/>
      <c r="P270" s="222"/>
      <c r="Q270" s="222"/>
      <c r="R270" s="222"/>
      <c r="S270" s="222"/>
      <c r="T270" s="223"/>
      <c r="U270" s="192">
        <f t="shared" si="55"/>
        <v>0</v>
      </c>
      <c r="V270" s="192">
        <f t="shared" si="56"/>
        <v>0</v>
      </c>
      <c r="W270" s="270">
        <f t="shared" si="57"/>
        <v>0</v>
      </c>
      <c r="X270" s="271">
        <f t="shared" si="57"/>
        <v>0</v>
      </c>
      <c r="Y270" s="307"/>
      <c r="Z270" s="308"/>
      <c r="AA270" s="276"/>
      <c r="AB270" s="186"/>
      <c r="AC270" s="277" t="str">
        <f>'B. Depreciation'!A54</f>
        <v>B.1</v>
      </c>
      <c r="AD270" s="185">
        <f>'B. Depreciation'!J55</f>
        <v>0</v>
      </c>
      <c r="AE270" s="185"/>
      <c r="AF270" s="277" t="str">
        <f>'C. Capital Outlay &amp; Donations'!$D$100</f>
        <v>C.1</v>
      </c>
      <c r="AG270" s="185">
        <f>'C. Capital Outlay &amp; Donations'!M109</f>
        <v>0</v>
      </c>
      <c r="AH270" s="278" t="str">
        <f>'I. Eliminations-Consolidations'!A250</f>
        <v>I.7</v>
      </c>
      <c r="AI270" s="185">
        <f>'I. Eliminations-Consolidations'!J251</f>
        <v>0</v>
      </c>
      <c r="AJ270" s="277"/>
      <c r="AK270" s="186"/>
      <c r="AL270" s="222"/>
      <c r="AM270" s="222"/>
      <c r="AN270" s="270">
        <f t="shared" ref="AN270:AN275" si="68">W270+Y270+AA270+AD270+AI270+AL270</f>
        <v>0</v>
      </c>
      <c r="AO270" s="271">
        <f t="shared" ref="AO270:AO275" si="69">X270+Z270+AB270+AG270+AK270+AM270</f>
        <v>0</v>
      </c>
      <c r="AP270" s="192" t="str">
        <f>IF(SUM(AN270:AN275)-SUM(AO270:AO275)&lt;=0, " ",SUM(AN270:AN275)-SUM(AO270:AO275))</f>
        <v xml:space="preserve"> </v>
      </c>
      <c r="AQ270" s="271" t="str">
        <f>IF(SUM(AN270:AN274)-SUM(AO270:AO274)&gt;=0, " ", SUM(AO270:AO274)-SUM(AN270:AN274))</f>
        <v xml:space="preserve"> </v>
      </c>
      <c r="AR270" s="192"/>
      <c r="AS270" s="271"/>
      <c r="AT270" s="45"/>
      <c r="AU270" s="36"/>
      <c r="AV270" s="36"/>
      <c r="AW270" s="36"/>
      <c r="AX270" s="36"/>
    </row>
    <row r="271" spans="1:50" x14ac:dyDescent="0.2">
      <c r="A271" s="11"/>
      <c r="B271" s="203"/>
      <c r="C271" s="184"/>
      <c r="D271" s="184"/>
      <c r="E271" s="213"/>
      <c r="F271" s="214"/>
      <c r="G271" s="222"/>
      <c r="H271" s="222"/>
      <c r="I271" s="222"/>
      <c r="J271" s="222"/>
      <c r="K271" s="222"/>
      <c r="L271" s="222"/>
      <c r="M271" s="222"/>
      <c r="N271" s="223"/>
      <c r="O271" s="222"/>
      <c r="P271" s="222"/>
      <c r="Q271" s="222"/>
      <c r="R271" s="222"/>
      <c r="S271" s="222"/>
      <c r="T271" s="223"/>
      <c r="U271" s="192">
        <f t="shared" si="55"/>
        <v>0</v>
      </c>
      <c r="V271" s="192">
        <f t="shared" si="56"/>
        <v>0</v>
      </c>
      <c r="W271" s="270">
        <f t="shared" si="57"/>
        <v>0</v>
      </c>
      <c r="X271" s="271">
        <f t="shared" si="57"/>
        <v>0</v>
      </c>
      <c r="Y271" s="307"/>
      <c r="Z271" s="308"/>
      <c r="AA271" s="276"/>
      <c r="AB271" s="186"/>
      <c r="AC271" s="277" t="str">
        <f>'H. Other Liabilities &amp; Expenses'!D235</f>
        <v>H.1</v>
      </c>
      <c r="AD271" s="185">
        <f>'H. Other Liabilities &amp; Expenses'!L236</f>
        <v>0</v>
      </c>
      <c r="AE271" s="185"/>
      <c r="AF271" s="283" t="str">
        <f>'G.  Other Asset Entries'!$B$90</f>
        <v>G.1</v>
      </c>
      <c r="AG271" s="185">
        <f>'G.  Other Asset Entries'!N95</f>
        <v>0</v>
      </c>
      <c r="AH271" s="278"/>
      <c r="AI271" s="185"/>
      <c r="AJ271" s="277"/>
      <c r="AK271" s="186"/>
      <c r="AL271" s="222"/>
      <c r="AM271" s="222"/>
      <c r="AN271" s="270">
        <f t="shared" si="68"/>
        <v>0</v>
      </c>
      <c r="AO271" s="271">
        <f t="shared" si="69"/>
        <v>0</v>
      </c>
      <c r="AP271" s="192"/>
      <c r="AQ271" s="271"/>
      <c r="AR271" s="192"/>
      <c r="AS271" s="271"/>
      <c r="AT271" s="45"/>
      <c r="AU271" s="36"/>
      <c r="AV271" s="36"/>
      <c r="AW271" s="36"/>
      <c r="AX271" s="36"/>
    </row>
    <row r="272" spans="1:50" x14ac:dyDescent="0.2">
      <c r="A272" s="11"/>
      <c r="B272" s="203"/>
      <c r="C272" s="184"/>
      <c r="D272" s="184"/>
      <c r="E272" s="213"/>
      <c r="F272" s="214"/>
      <c r="G272" s="222"/>
      <c r="H272" s="222"/>
      <c r="I272" s="222"/>
      <c r="J272" s="222"/>
      <c r="K272" s="222"/>
      <c r="L272" s="222"/>
      <c r="M272" s="222"/>
      <c r="N272" s="223"/>
      <c r="O272" s="222"/>
      <c r="P272" s="222"/>
      <c r="Q272" s="222"/>
      <c r="R272" s="222"/>
      <c r="S272" s="222"/>
      <c r="T272" s="223"/>
      <c r="U272" s="192">
        <f t="shared" si="55"/>
        <v>0</v>
      </c>
      <c r="V272" s="192">
        <f t="shared" si="56"/>
        <v>0</v>
      </c>
      <c r="W272" s="270">
        <f t="shared" si="57"/>
        <v>0</v>
      </c>
      <c r="X272" s="271">
        <f t="shared" si="57"/>
        <v>0</v>
      </c>
      <c r="Y272" s="307"/>
      <c r="Z272" s="308"/>
      <c r="AA272" s="276"/>
      <c r="AB272" s="186"/>
      <c r="AC272" s="277" t="str">
        <f>'C. Capital Outlay &amp; Donations'!D130</f>
        <v>C.2</v>
      </c>
      <c r="AD272" s="187">
        <f>'C. Capital Outlay &amp; Donations'!K133</f>
        <v>0</v>
      </c>
      <c r="AE272" s="185"/>
      <c r="AF272" s="277" t="str">
        <f>'H. Other Liabilities &amp; Expenses'!$D$235</f>
        <v>H.1</v>
      </c>
      <c r="AG272" s="185">
        <f>'H. Other Liabilities &amp; Expenses'!N236</f>
        <v>0</v>
      </c>
      <c r="AH272" s="278"/>
      <c r="AI272" s="185"/>
      <c r="AJ272" s="277"/>
      <c r="AK272" s="186"/>
      <c r="AL272" s="222"/>
      <c r="AM272" s="222"/>
      <c r="AN272" s="270">
        <f t="shared" si="68"/>
        <v>0</v>
      </c>
      <c r="AO272" s="271">
        <f t="shared" si="69"/>
        <v>0</v>
      </c>
      <c r="AP272" s="192"/>
      <c r="AQ272" s="271"/>
      <c r="AR272" s="192"/>
      <c r="AS272" s="271"/>
      <c r="AT272" s="45"/>
      <c r="AU272" s="36"/>
      <c r="AV272" s="36"/>
      <c r="AW272" s="36"/>
      <c r="AX272" s="36"/>
    </row>
    <row r="273" spans="1:50" x14ac:dyDescent="0.2">
      <c r="A273" s="11"/>
      <c r="B273" s="203"/>
      <c r="C273" s="184"/>
      <c r="D273" s="184"/>
      <c r="E273" s="213"/>
      <c r="F273" s="214"/>
      <c r="G273" s="222"/>
      <c r="H273" s="222"/>
      <c r="I273" s="222"/>
      <c r="J273" s="222"/>
      <c r="K273" s="222"/>
      <c r="L273" s="222"/>
      <c r="M273" s="222"/>
      <c r="N273" s="223"/>
      <c r="O273" s="222"/>
      <c r="P273" s="222"/>
      <c r="Q273" s="222"/>
      <c r="R273" s="222"/>
      <c r="S273" s="222"/>
      <c r="T273" s="223"/>
      <c r="U273" s="192">
        <f t="shared" si="55"/>
        <v>0</v>
      </c>
      <c r="V273" s="192">
        <f t="shared" si="56"/>
        <v>0</v>
      </c>
      <c r="W273" s="270">
        <f t="shared" si="57"/>
        <v>0</v>
      </c>
      <c r="X273" s="271">
        <f t="shared" si="57"/>
        <v>0</v>
      </c>
      <c r="Y273" s="307"/>
      <c r="Z273" s="308"/>
      <c r="AA273" s="276"/>
      <c r="AB273" s="186"/>
      <c r="AC273" s="277" t="s">
        <v>135</v>
      </c>
      <c r="AD273" s="185">
        <f>'D.  Capital Asset Disposal'!M201</f>
        <v>0</v>
      </c>
      <c r="AE273" s="185"/>
      <c r="AF273" s="277" t="str">
        <f>'E. Debt Service'!$D$81</f>
        <v>E.1</v>
      </c>
      <c r="AG273" s="185">
        <f>'E. Debt Service'!N84</f>
        <v>0</v>
      </c>
      <c r="AH273" s="278"/>
      <c r="AI273" s="185"/>
      <c r="AJ273" s="277"/>
      <c r="AK273" s="186"/>
      <c r="AL273" s="222"/>
      <c r="AM273" s="222"/>
      <c r="AN273" s="270">
        <f t="shared" si="68"/>
        <v>0</v>
      </c>
      <c r="AO273" s="271">
        <f t="shared" si="69"/>
        <v>0</v>
      </c>
      <c r="AP273" s="192"/>
      <c r="AQ273" s="271"/>
      <c r="AR273" s="192"/>
      <c r="AS273" s="271"/>
      <c r="AT273" s="45"/>
      <c r="AU273" s="36"/>
      <c r="AV273" s="36"/>
      <c r="AW273" s="36"/>
      <c r="AX273" s="36"/>
    </row>
    <row r="274" spans="1:50" s="493" customFormat="1" x14ac:dyDescent="0.2">
      <c r="A274" s="498"/>
      <c r="B274" s="203"/>
      <c r="C274" s="184"/>
      <c r="D274" s="184"/>
      <c r="E274" s="213"/>
      <c r="F274" s="214"/>
      <c r="G274" s="222"/>
      <c r="H274" s="222"/>
      <c r="I274" s="222"/>
      <c r="J274" s="222"/>
      <c r="K274" s="222"/>
      <c r="L274" s="222"/>
      <c r="M274" s="222"/>
      <c r="N274" s="223"/>
      <c r="O274" s="222"/>
      <c r="P274" s="222"/>
      <c r="Q274" s="222"/>
      <c r="R274" s="222"/>
      <c r="S274" s="222"/>
      <c r="T274" s="223"/>
      <c r="U274" s="192"/>
      <c r="V274" s="192"/>
      <c r="W274" s="270"/>
      <c r="X274" s="271"/>
      <c r="Y274" s="307"/>
      <c r="Z274" s="308"/>
      <c r="AA274" s="276"/>
      <c r="AB274" s="186"/>
      <c r="AC274" s="277" t="s">
        <v>1096</v>
      </c>
      <c r="AD274" s="185">
        <f>'J. GASB 68 TSERS'!C94</f>
        <v>0</v>
      </c>
      <c r="AE274" s="185"/>
      <c r="AF274" s="277" t="s">
        <v>1096</v>
      </c>
      <c r="AG274" s="185">
        <f>'J. GASB 68 TSERS'!D94</f>
        <v>0</v>
      </c>
      <c r="AH274" s="278"/>
      <c r="AI274" s="185"/>
      <c r="AJ274" s="277"/>
      <c r="AK274" s="186"/>
      <c r="AL274" s="222"/>
      <c r="AM274" s="222"/>
      <c r="AN274" s="270">
        <f t="shared" si="68"/>
        <v>0</v>
      </c>
      <c r="AO274" s="271">
        <f t="shared" si="69"/>
        <v>0</v>
      </c>
      <c r="AP274" s="192"/>
      <c r="AQ274" s="271"/>
      <c r="AR274" s="192"/>
      <c r="AS274" s="271"/>
      <c r="AT274" s="45"/>
      <c r="AU274" s="36"/>
      <c r="AV274" s="36"/>
      <c r="AW274" s="36"/>
      <c r="AX274" s="36"/>
    </row>
    <row r="275" spans="1:50" s="632" customFormat="1" x14ac:dyDescent="0.2">
      <c r="A275" s="634"/>
      <c r="B275" s="203"/>
      <c r="C275" s="184"/>
      <c r="D275" s="184"/>
      <c r="E275" s="213"/>
      <c r="F275" s="214"/>
      <c r="G275" s="222"/>
      <c r="H275" s="222"/>
      <c r="I275" s="222"/>
      <c r="J275" s="222"/>
      <c r="K275" s="222"/>
      <c r="L275" s="222"/>
      <c r="M275" s="222"/>
      <c r="N275" s="223"/>
      <c r="O275" s="222"/>
      <c r="P275" s="222"/>
      <c r="Q275" s="222"/>
      <c r="R275" s="222"/>
      <c r="S275" s="222"/>
      <c r="T275" s="223"/>
      <c r="U275" s="192"/>
      <c r="V275" s="192"/>
      <c r="W275" s="270"/>
      <c r="X275" s="271"/>
      <c r="Y275" s="307"/>
      <c r="Z275" s="308"/>
      <c r="AA275" s="276"/>
      <c r="AB275" s="186"/>
      <c r="AC275" s="691" t="s">
        <v>1534</v>
      </c>
      <c r="AD275" s="185">
        <f>'K. GASB 75 RHBF'!C94</f>
        <v>0</v>
      </c>
      <c r="AE275" s="185"/>
      <c r="AF275" s="277"/>
      <c r="AG275" s="185"/>
      <c r="AH275" s="278"/>
      <c r="AI275" s="185"/>
      <c r="AJ275" s="277"/>
      <c r="AK275" s="186"/>
      <c r="AL275" s="222"/>
      <c r="AM275" s="222"/>
      <c r="AN275" s="270">
        <f t="shared" si="68"/>
        <v>0</v>
      </c>
      <c r="AO275" s="271">
        <f t="shared" si="69"/>
        <v>0</v>
      </c>
      <c r="AP275" s="192"/>
      <c r="AQ275" s="271"/>
      <c r="AR275" s="192"/>
      <c r="AS275" s="271"/>
      <c r="AT275" s="45"/>
      <c r="AU275" s="36"/>
      <c r="AV275" s="36"/>
      <c r="AW275" s="36"/>
      <c r="AX275" s="36"/>
    </row>
    <row r="276" spans="1:50" ht="3.75" customHeight="1" x14ac:dyDescent="0.2">
      <c r="A276" s="322"/>
      <c r="B276" s="419"/>
      <c r="C276" s="322"/>
      <c r="D276" s="322"/>
      <c r="E276" s="420"/>
      <c r="F276" s="318"/>
      <c r="G276" s="306"/>
      <c r="H276" s="306"/>
      <c r="I276" s="306"/>
      <c r="J276" s="306"/>
      <c r="K276" s="306"/>
      <c r="L276" s="306"/>
      <c r="M276" s="306"/>
      <c r="N276" s="421"/>
      <c r="O276" s="306"/>
      <c r="P276" s="306"/>
      <c r="Q276" s="306"/>
      <c r="R276" s="306"/>
      <c r="S276" s="306"/>
      <c r="T276" s="421"/>
      <c r="U276" s="192"/>
      <c r="V276" s="192"/>
      <c r="W276" s="270"/>
      <c r="X276" s="271"/>
      <c r="Y276" s="305"/>
      <c r="Z276" s="306"/>
      <c r="AA276" s="273"/>
      <c r="AB276" s="138"/>
      <c r="AC276" s="274"/>
      <c r="AD276" s="44"/>
      <c r="AE276" s="44"/>
      <c r="AF276" s="279"/>
      <c r="AG276" s="44"/>
      <c r="AH276" s="275"/>
      <c r="AI276" s="44"/>
      <c r="AJ276" s="274"/>
      <c r="AK276" s="138"/>
      <c r="AL276" s="220"/>
      <c r="AM276" s="220"/>
      <c r="AN276" s="270"/>
      <c r="AO276" s="271"/>
      <c r="AP276" s="192"/>
      <c r="AQ276" s="271"/>
      <c r="AR276" s="192"/>
      <c r="AS276" s="271"/>
      <c r="AT276" s="45"/>
      <c r="AU276" s="36"/>
      <c r="AV276" s="36"/>
      <c r="AW276" s="36"/>
      <c r="AX276" s="36"/>
    </row>
    <row r="277" spans="1:50" x14ac:dyDescent="0.2">
      <c r="A277" s="11"/>
      <c r="B277" s="203" t="s">
        <v>236</v>
      </c>
      <c r="C277" s="184"/>
      <c r="D277" s="184"/>
      <c r="E277" s="213"/>
      <c r="F277" s="214"/>
      <c r="G277" s="222"/>
      <c r="H277" s="222"/>
      <c r="I277" s="222"/>
      <c r="J277" s="222"/>
      <c r="K277" s="222"/>
      <c r="L277" s="222"/>
      <c r="M277" s="222"/>
      <c r="N277" s="223"/>
      <c r="O277" s="222"/>
      <c r="P277" s="222"/>
      <c r="Q277" s="222"/>
      <c r="R277" s="222"/>
      <c r="S277" s="222"/>
      <c r="T277" s="223"/>
      <c r="U277" s="192">
        <f t="shared" si="55"/>
        <v>0</v>
      </c>
      <c r="V277" s="192">
        <f t="shared" si="56"/>
        <v>0</v>
      </c>
      <c r="W277" s="270">
        <f t="shared" si="57"/>
        <v>0</v>
      </c>
      <c r="X277" s="271">
        <f t="shared" si="57"/>
        <v>0</v>
      </c>
      <c r="Y277" s="307"/>
      <c r="Z277" s="308"/>
      <c r="AA277" s="276"/>
      <c r="AB277" s="186"/>
      <c r="AC277" s="277" t="str">
        <f>'B. Depreciation'!A54</f>
        <v>B.1</v>
      </c>
      <c r="AD277" s="185">
        <f>'B. Depreciation'!J56</f>
        <v>0</v>
      </c>
      <c r="AE277" s="185"/>
      <c r="AF277" s="277" t="str">
        <f>'C. Capital Outlay &amp; Donations'!$D$100</f>
        <v>C.1</v>
      </c>
      <c r="AG277" s="185">
        <f>'C. Capital Outlay &amp; Donations'!M110</f>
        <v>0</v>
      </c>
      <c r="AH277" s="278" t="str">
        <f>'I. Eliminations-Consolidations'!A250</f>
        <v>I.7</v>
      </c>
      <c r="AI277" s="185">
        <f>'I. Eliminations-Consolidations'!J252</f>
        <v>0</v>
      </c>
      <c r="AJ277" s="277"/>
      <c r="AK277" s="186"/>
      <c r="AL277" s="222"/>
      <c r="AM277" s="222"/>
      <c r="AN277" s="270">
        <f t="shared" ref="AN277:AN282" si="70">W277+Y277+AA277+AD277+AI277+AL277</f>
        <v>0</v>
      </c>
      <c r="AO277" s="271">
        <f t="shared" ref="AO277:AO282" si="71">X277+Z277+AB277+AG277+AK277+AM277</f>
        <v>0</v>
      </c>
      <c r="AP277" s="192" t="str">
        <f>IF(SUM(AN277:AN282)-SUM(AO277:AO282)&lt;=0, " ",SUM(AN277:AN282)-SUM(AO277:AO282))</f>
        <v xml:space="preserve"> </v>
      </c>
      <c r="AQ277" s="271" t="str">
        <f>IF(SUM(AN277:AN281)-SUM(AO277:AO281)&gt;=0, " ", SUM(AO277:AO281)-SUM(AN277:AN281))</f>
        <v xml:space="preserve"> </v>
      </c>
      <c r="AR277" s="192"/>
      <c r="AS277" s="271"/>
      <c r="AT277" s="45"/>
      <c r="AU277" s="36"/>
      <c r="AV277" s="36"/>
      <c r="AW277" s="36"/>
      <c r="AX277" s="36"/>
    </row>
    <row r="278" spans="1:50" x14ac:dyDescent="0.2">
      <c r="A278" s="11"/>
      <c r="B278" s="203"/>
      <c r="C278" s="184"/>
      <c r="D278" s="184"/>
      <c r="E278" s="213"/>
      <c r="F278" s="214"/>
      <c r="G278" s="222"/>
      <c r="H278" s="222"/>
      <c r="I278" s="222"/>
      <c r="J278" s="222"/>
      <c r="K278" s="222"/>
      <c r="L278" s="222"/>
      <c r="M278" s="222"/>
      <c r="N278" s="223"/>
      <c r="O278" s="222"/>
      <c r="P278" s="222"/>
      <c r="Q278" s="222"/>
      <c r="R278" s="222"/>
      <c r="S278" s="222"/>
      <c r="T278" s="223"/>
      <c r="U278" s="192">
        <f t="shared" si="55"/>
        <v>0</v>
      </c>
      <c r="V278" s="192">
        <f t="shared" si="56"/>
        <v>0</v>
      </c>
      <c r="W278" s="270">
        <f t="shared" si="57"/>
        <v>0</v>
      </c>
      <c r="X278" s="271">
        <f t="shared" si="57"/>
        <v>0</v>
      </c>
      <c r="Y278" s="307"/>
      <c r="Z278" s="308"/>
      <c r="AA278" s="276"/>
      <c r="AB278" s="186"/>
      <c r="AC278" s="277" t="str">
        <f>'H. Other Liabilities &amp; Expenses'!D235</f>
        <v>H.1</v>
      </c>
      <c r="AD278" s="185">
        <f>'H. Other Liabilities &amp; Expenses'!L237</f>
        <v>0</v>
      </c>
      <c r="AE278" s="185"/>
      <c r="AF278" s="283" t="str">
        <f>'G.  Other Asset Entries'!$B$90</f>
        <v>G.1</v>
      </c>
      <c r="AG278" s="185">
        <f>'G.  Other Asset Entries'!N96</f>
        <v>0</v>
      </c>
      <c r="AH278" s="278"/>
      <c r="AI278" s="185"/>
      <c r="AJ278" s="277"/>
      <c r="AK278" s="186"/>
      <c r="AL278" s="222"/>
      <c r="AM278" s="222"/>
      <c r="AN278" s="270">
        <f t="shared" si="70"/>
        <v>0</v>
      </c>
      <c r="AO278" s="271">
        <f t="shared" si="71"/>
        <v>0</v>
      </c>
      <c r="AP278" s="192"/>
      <c r="AQ278" s="271"/>
      <c r="AR278" s="192"/>
      <c r="AS278" s="271"/>
      <c r="AT278" s="45"/>
      <c r="AU278" s="36"/>
      <c r="AV278" s="36"/>
      <c r="AW278" s="36"/>
      <c r="AX278" s="36"/>
    </row>
    <row r="279" spans="1:50" x14ac:dyDescent="0.2">
      <c r="A279" s="11"/>
      <c r="B279" s="203"/>
      <c r="C279" s="184"/>
      <c r="D279" s="184"/>
      <c r="E279" s="213"/>
      <c r="F279" s="214"/>
      <c r="G279" s="222"/>
      <c r="H279" s="222"/>
      <c r="I279" s="222"/>
      <c r="J279" s="222"/>
      <c r="K279" s="222"/>
      <c r="L279" s="222"/>
      <c r="M279" s="222"/>
      <c r="N279" s="223"/>
      <c r="O279" s="222"/>
      <c r="P279" s="222"/>
      <c r="Q279" s="222"/>
      <c r="R279" s="222"/>
      <c r="S279" s="222"/>
      <c r="T279" s="223"/>
      <c r="U279" s="192">
        <f t="shared" si="55"/>
        <v>0</v>
      </c>
      <c r="V279" s="192">
        <f t="shared" si="56"/>
        <v>0</v>
      </c>
      <c r="W279" s="270">
        <f t="shared" si="57"/>
        <v>0</v>
      </c>
      <c r="X279" s="271">
        <f t="shared" si="57"/>
        <v>0</v>
      </c>
      <c r="Y279" s="307"/>
      <c r="Z279" s="308"/>
      <c r="AA279" s="276"/>
      <c r="AB279" s="186"/>
      <c r="AC279" s="277" t="str">
        <f>'C. Capital Outlay &amp; Donations'!D130</f>
        <v>C.2</v>
      </c>
      <c r="AD279" s="187">
        <f>'C. Capital Outlay &amp; Donations'!K134</f>
        <v>0</v>
      </c>
      <c r="AE279" s="185"/>
      <c r="AF279" s="277" t="str">
        <f>'H. Other Liabilities &amp; Expenses'!$D$235</f>
        <v>H.1</v>
      </c>
      <c r="AG279" s="185">
        <f>'H. Other Liabilities &amp; Expenses'!N237</f>
        <v>0</v>
      </c>
      <c r="AH279" s="278"/>
      <c r="AI279" s="185"/>
      <c r="AJ279" s="277"/>
      <c r="AK279" s="186"/>
      <c r="AL279" s="222"/>
      <c r="AM279" s="222"/>
      <c r="AN279" s="270">
        <f t="shared" si="70"/>
        <v>0</v>
      </c>
      <c r="AO279" s="271">
        <f t="shared" si="71"/>
        <v>0</v>
      </c>
      <c r="AP279" s="192"/>
      <c r="AQ279" s="271"/>
      <c r="AR279" s="192"/>
      <c r="AS279" s="271"/>
      <c r="AT279" s="45"/>
      <c r="AU279" s="36"/>
      <c r="AV279" s="36"/>
      <c r="AW279" s="36"/>
      <c r="AX279" s="36"/>
    </row>
    <row r="280" spans="1:50" x14ac:dyDescent="0.2">
      <c r="A280" s="11"/>
      <c r="B280" s="203"/>
      <c r="C280" s="184"/>
      <c r="D280" s="184"/>
      <c r="E280" s="213"/>
      <c r="F280" s="214"/>
      <c r="G280" s="222"/>
      <c r="H280" s="222"/>
      <c r="I280" s="222"/>
      <c r="J280" s="222"/>
      <c r="K280" s="222"/>
      <c r="L280" s="222"/>
      <c r="M280" s="222"/>
      <c r="N280" s="223"/>
      <c r="O280" s="222"/>
      <c r="P280" s="222"/>
      <c r="Q280" s="222"/>
      <c r="R280" s="222"/>
      <c r="S280" s="222"/>
      <c r="T280" s="223"/>
      <c r="U280" s="192">
        <f>O280+Q280+S280</f>
        <v>0</v>
      </c>
      <c r="V280" s="192">
        <f>P280+R280+T280</f>
        <v>0</v>
      </c>
      <c r="W280" s="270">
        <f>E280+G280+I280+K280+M280+U280</f>
        <v>0</v>
      </c>
      <c r="X280" s="271">
        <f>F280+H280+J280+L280+N280+V280</f>
        <v>0</v>
      </c>
      <c r="Y280" s="307"/>
      <c r="Z280" s="308"/>
      <c r="AA280" s="276"/>
      <c r="AB280" s="186"/>
      <c r="AC280" s="277" t="s">
        <v>135</v>
      </c>
      <c r="AD280" s="187">
        <f>'D.  Capital Asset Disposal'!M202</f>
        <v>0</v>
      </c>
      <c r="AE280" s="185"/>
      <c r="AF280" s="277" t="str">
        <f>'E. Debt Service'!$D$81</f>
        <v>E.1</v>
      </c>
      <c r="AG280" s="185">
        <f>'E. Debt Service'!N85</f>
        <v>0</v>
      </c>
      <c r="AH280" s="278"/>
      <c r="AI280" s="185"/>
      <c r="AJ280" s="277"/>
      <c r="AK280" s="186"/>
      <c r="AL280" s="222"/>
      <c r="AM280" s="222"/>
      <c r="AN280" s="270">
        <f t="shared" si="70"/>
        <v>0</v>
      </c>
      <c r="AO280" s="271">
        <f t="shared" si="71"/>
        <v>0</v>
      </c>
      <c r="AP280" s="192"/>
      <c r="AQ280" s="271"/>
      <c r="AR280" s="192"/>
      <c r="AS280" s="271"/>
      <c r="AT280" s="45"/>
      <c r="AU280" s="36"/>
      <c r="AV280" s="36"/>
      <c r="AW280" s="36"/>
      <c r="AX280" s="36"/>
    </row>
    <row r="281" spans="1:50" s="493" customFormat="1" x14ac:dyDescent="0.2">
      <c r="A281" s="498"/>
      <c r="B281" s="203"/>
      <c r="C281" s="184"/>
      <c r="D281" s="184"/>
      <c r="E281" s="213"/>
      <c r="F281" s="214"/>
      <c r="G281" s="222"/>
      <c r="H281" s="222"/>
      <c r="I281" s="222"/>
      <c r="J281" s="222"/>
      <c r="K281" s="222"/>
      <c r="L281" s="222"/>
      <c r="M281" s="222"/>
      <c r="N281" s="223"/>
      <c r="O281" s="222"/>
      <c r="P281" s="222"/>
      <c r="Q281" s="222"/>
      <c r="R281" s="222"/>
      <c r="S281" s="222"/>
      <c r="T281" s="223"/>
      <c r="U281" s="192"/>
      <c r="V281" s="192"/>
      <c r="W281" s="270"/>
      <c r="X281" s="271"/>
      <c r="Y281" s="307"/>
      <c r="Z281" s="308"/>
      <c r="AA281" s="276"/>
      <c r="AB281" s="186"/>
      <c r="AC281" s="277" t="s">
        <v>1096</v>
      </c>
      <c r="AD281" s="187">
        <f>'J. GASB 68 TSERS'!C95</f>
        <v>0</v>
      </c>
      <c r="AE281" s="185"/>
      <c r="AF281" s="277" t="s">
        <v>1096</v>
      </c>
      <c r="AG281" s="185">
        <f>'J. GASB 68 TSERS'!D95</f>
        <v>0</v>
      </c>
      <c r="AH281" s="278"/>
      <c r="AI281" s="185"/>
      <c r="AJ281" s="277"/>
      <c r="AK281" s="186"/>
      <c r="AL281" s="222"/>
      <c r="AM281" s="222"/>
      <c r="AN281" s="270">
        <f t="shared" si="70"/>
        <v>0</v>
      </c>
      <c r="AO281" s="271">
        <f t="shared" si="71"/>
        <v>0</v>
      </c>
      <c r="AP281" s="192"/>
      <c r="AQ281" s="271"/>
      <c r="AR281" s="192"/>
      <c r="AS281" s="271"/>
      <c r="AT281" s="45"/>
      <c r="AU281" s="36"/>
      <c r="AV281" s="36"/>
      <c r="AW281" s="36"/>
      <c r="AX281" s="36"/>
    </row>
    <row r="282" spans="1:50" s="632" customFormat="1" x14ac:dyDescent="0.2">
      <c r="A282" s="634"/>
      <c r="B282" s="203"/>
      <c r="C282" s="184"/>
      <c r="D282" s="184"/>
      <c r="E282" s="213"/>
      <c r="F282" s="214"/>
      <c r="G282" s="222"/>
      <c r="H282" s="222"/>
      <c r="I282" s="222"/>
      <c r="J282" s="222"/>
      <c r="K282" s="222"/>
      <c r="L282" s="222"/>
      <c r="M282" s="222"/>
      <c r="N282" s="223"/>
      <c r="O282" s="222"/>
      <c r="P282" s="222"/>
      <c r="Q282" s="222"/>
      <c r="R282" s="222"/>
      <c r="S282" s="222"/>
      <c r="T282" s="223"/>
      <c r="U282" s="192"/>
      <c r="V282" s="192"/>
      <c r="W282" s="270"/>
      <c r="X282" s="271"/>
      <c r="Y282" s="307"/>
      <c r="Z282" s="308"/>
      <c r="AA282" s="276"/>
      <c r="AB282" s="186"/>
      <c r="AC282" s="691" t="s">
        <v>1534</v>
      </c>
      <c r="AD282" s="185">
        <f>'K. GASB 75 RHBF'!C95</f>
        <v>0</v>
      </c>
      <c r="AE282" s="185"/>
      <c r="AF282" s="277"/>
      <c r="AG282" s="185"/>
      <c r="AH282" s="278"/>
      <c r="AI282" s="185"/>
      <c r="AJ282" s="277"/>
      <c r="AK282" s="186"/>
      <c r="AL282" s="222"/>
      <c r="AM282" s="222"/>
      <c r="AN282" s="270">
        <f t="shared" si="70"/>
        <v>0</v>
      </c>
      <c r="AO282" s="271">
        <f t="shared" si="71"/>
        <v>0</v>
      </c>
      <c r="AP282" s="192"/>
      <c r="AQ282" s="271"/>
      <c r="AR282" s="192"/>
      <c r="AS282" s="271"/>
      <c r="AT282" s="45"/>
      <c r="AU282" s="36"/>
      <c r="AV282" s="36"/>
      <c r="AW282" s="36"/>
      <c r="AX282" s="36"/>
    </row>
    <row r="283" spans="1:50" ht="3.75" customHeight="1" x14ac:dyDescent="0.2">
      <c r="A283" s="322"/>
      <c r="B283" s="314"/>
      <c r="C283" s="314"/>
      <c r="D283" s="314"/>
      <c r="E283" s="310"/>
      <c r="F283" s="416"/>
      <c r="G283" s="304"/>
      <c r="H283" s="304"/>
      <c r="I283" s="304"/>
      <c r="J283" s="304"/>
      <c r="K283" s="304"/>
      <c r="L283" s="304"/>
      <c r="M283" s="304"/>
      <c r="N283" s="417"/>
      <c r="O283" s="304"/>
      <c r="P283" s="304"/>
      <c r="Q283" s="304"/>
      <c r="R283" s="304"/>
      <c r="S283" s="304"/>
      <c r="T283" s="417"/>
      <c r="U283" s="192"/>
      <c r="V283" s="192"/>
      <c r="W283" s="270"/>
      <c r="X283" s="271"/>
      <c r="Y283" s="303"/>
      <c r="Z283" s="304"/>
      <c r="AA283" s="269"/>
      <c r="AB283" s="137"/>
      <c r="AC283" s="284"/>
      <c r="AE283" s="45"/>
      <c r="AF283" s="265"/>
      <c r="AG283" s="45"/>
      <c r="AH283" s="264"/>
      <c r="AI283" s="45"/>
      <c r="AJ283" s="265"/>
      <c r="AK283" s="137"/>
      <c r="AL283" s="218"/>
      <c r="AM283" s="218"/>
      <c r="AN283" s="270"/>
      <c r="AO283" s="271"/>
      <c r="AP283" s="192"/>
      <c r="AQ283" s="271"/>
      <c r="AR283" s="192"/>
      <c r="AS283" s="271"/>
      <c r="AT283" s="45"/>
      <c r="AU283" s="36"/>
      <c r="AV283" s="36"/>
      <c r="AW283" s="36"/>
      <c r="AX283" s="36"/>
    </row>
    <row r="284" spans="1:50" x14ac:dyDescent="0.2">
      <c r="A284" s="11"/>
      <c r="B284" s="203" t="s">
        <v>237</v>
      </c>
      <c r="C284" s="184"/>
      <c r="D284" s="184"/>
      <c r="E284" s="213"/>
      <c r="F284" s="214"/>
      <c r="G284" s="222"/>
      <c r="H284" s="222"/>
      <c r="I284" s="222"/>
      <c r="J284" s="222"/>
      <c r="K284" s="222"/>
      <c r="L284" s="222"/>
      <c r="M284" s="222"/>
      <c r="N284" s="223"/>
      <c r="O284" s="222"/>
      <c r="P284" s="222"/>
      <c r="Q284" s="222"/>
      <c r="R284" s="222"/>
      <c r="S284" s="222"/>
      <c r="T284" s="223"/>
      <c r="U284" s="192">
        <f t="shared" si="55"/>
        <v>0</v>
      </c>
      <c r="V284" s="192">
        <f t="shared" si="56"/>
        <v>0</v>
      </c>
      <c r="W284" s="270">
        <f t="shared" si="57"/>
        <v>0</v>
      </c>
      <c r="X284" s="271">
        <f t="shared" si="57"/>
        <v>0</v>
      </c>
      <c r="Y284" s="307"/>
      <c r="Z284" s="308"/>
      <c r="AA284" s="276"/>
      <c r="AB284" s="186"/>
      <c r="AC284" s="277" t="str">
        <f>'B. Depreciation'!A54</f>
        <v>B.1</v>
      </c>
      <c r="AD284" s="185">
        <f>'B. Depreciation'!J57</f>
        <v>0</v>
      </c>
      <c r="AE284" s="185"/>
      <c r="AF284" s="277" t="str">
        <f>'C. Capital Outlay &amp; Donations'!$D$100</f>
        <v>C.1</v>
      </c>
      <c r="AG284" s="185">
        <f>'C. Capital Outlay &amp; Donations'!M111</f>
        <v>0</v>
      </c>
      <c r="AH284" s="278" t="str">
        <f>'I. Eliminations-Consolidations'!A250</f>
        <v>I.7</v>
      </c>
      <c r="AI284" s="185">
        <f>'I. Eliminations-Consolidations'!J253</f>
        <v>0</v>
      </c>
      <c r="AJ284" s="277"/>
      <c r="AK284" s="186"/>
      <c r="AL284" s="222"/>
      <c r="AM284" s="222"/>
      <c r="AN284" s="270">
        <f t="shared" ref="AN284:AN289" si="72">W284+Y284+AA284+AD284+AI284+AL284</f>
        <v>0</v>
      </c>
      <c r="AO284" s="271">
        <f t="shared" ref="AO284:AO289" si="73">X284+Z284+AB284+AG284+AK284+AM284</f>
        <v>0</v>
      </c>
      <c r="AP284" s="192" t="str">
        <f>IF(SUM(AN284:AN289)-SUM(AO284:AO289)&lt;=0, " ",SUM(AN284:AN289)-SUM(AO284:AO289))</f>
        <v xml:space="preserve"> </v>
      </c>
      <c r="AQ284" s="271" t="str">
        <f>IF(SUM(AN284:AN288)-SUM(AO284:AO288)&gt;=0, " ", SUM(AO284:AO288)-SUM(AN284:AN288))</f>
        <v xml:space="preserve"> </v>
      </c>
      <c r="AR284" s="192"/>
      <c r="AS284" s="271"/>
      <c r="AT284" s="45"/>
      <c r="AU284" s="36"/>
      <c r="AV284" s="36"/>
      <c r="AW284" s="36"/>
      <c r="AX284" s="36"/>
    </row>
    <row r="285" spans="1:50" x14ac:dyDescent="0.2">
      <c r="A285" s="11"/>
      <c r="B285" s="203"/>
      <c r="C285" s="184"/>
      <c r="D285" s="184"/>
      <c r="E285" s="213"/>
      <c r="F285" s="214"/>
      <c r="G285" s="222"/>
      <c r="H285" s="222"/>
      <c r="I285" s="222"/>
      <c r="J285" s="222"/>
      <c r="K285" s="222"/>
      <c r="L285" s="222"/>
      <c r="M285" s="222"/>
      <c r="N285" s="223"/>
      <c r="O285" s="222"/>
      <c r="P285" s="222"/>
      <c r="Q285" s="222"/>
      <c r="R285" s="222"/>
      <c r="S285" s="222"/>
      <c r="T285" s="223"/>
      <c r="U285" s="192">
        <f t="shared" si="55"/>
        <v>0</v>
      </c>
      <c r="V285" s="192">
        <f t="shared" si="56"/>
        <v>0</v>
      </c>
      <c r="W285" s="270">
        <f t="shared" si="57"/>
        <v>0</v>
      </c>
      <c r="X285" s="271">
        <f t="shared" si="57"/>
        <v>0</v>
      </c>
      <c r="Y285" s="307"/>
      <c r="Z285" s="308"/>
      <c r="AA285" s="276"/>
      <c r="AB285" s="186"/>
      <c r="AC285" s="277" t="str">
        <f>'H. Other Liabilities &amp; Expenses'!D235</f>
        <v>H.1</v>
      </c>
      <c r="AD285" s="185">
        <f>'H. Other Liabilities &amp; Expenses'!L238</f>
        <v>0</v>
      </c>
      <c r="AE285" s="185"/>
      <c r="AF285" s="283" t="str">
        <f>'G.  Other Asset Entries'!$B$90</f>
        <v>G.1</v>
      </c>
      <c r="AG285" s="185">
        <f>'G.  Other Asset Entries'!N97</f>
        <v>0</v>
      </c>
      <c r="AH285" s="278"/>
      <c r="AI285" s="185"/>
      <c r="AJ285" s="277"/>
      <c r="AK285" s="186"/>
      <c r="AL285" s="222"/>
      <c r="AM285" s="222"/>
      <c r="AN285" s="270">
        <f t="shared" si="72"/>
        <v>0</v>
      </c>
      <c r="AO285" s="271">
        <f t="shared" si="73"/>
        <v>0</v>
      </c>
      <c r="AP285" s="192"/>
      <c r="AQ285" s="271"/>
      <c r="AR285" s="192"/>
      <c r="AS285" s="271"/>
      <c r="AT285" s="45"/>
      <c r="AU285" s="36"/>
      <c r="AV285" s="36"/>
      <c r="AW285" s="36"/>
      <c r="AX285" s="36"/>
    </row>
    <row r="286" spans="1:50" x14ac:dyDescent="0.2">
      <c r="A286" s="11"/>
      <c r="B286" s="203"/>
      <c r="C286" s="184"/>
      <c r="D286" s="184"/>
      <c r="E286" s="213"/>
      <c r="F286" s="214"/>
      <c r="G286" s="222"/>
      <c r="H286" s="222"/>
      <c r="I286" s="222"/>
      <c r="J286" s="222"/>
      <c r="K286" s="222"/>
      <c r="L286" s="222"/>
      <c r="M286" s="222"/>
      <c r="N286" s="223"/>
      <c r="O286" s="222"/>
      <c r="P286" s="222"/>
      <c r="Q286" s="222"/>
      <c r="R286" s="222"/>
      <c r="S286" s="222"/>
      <c r="T286" s="223"/>
      <c r="U286" s="192">
        <f t="shared" si="55"/>
        <v>0</v>
      </c>
      <c r="V286" s="192">
        <f t="shared" si="56"/>
        <v>0</v>
      </c>
      <c r="W286" s="270">
        <f t="shared" si="57"/>
        <v>0</v>
      </c>
      <c r="X286" s="271">
        <f t="shared" si="57"/>
        <v>0</v>
      </c>
      <c r="Y286" s="307"/>
      <c r="Z286" s="308"/>
      <c r="AA286" s="276"/>
      <c r="AB286" s="186"/>
      <c r="AC286" s="277" t="str">
        <f>'C. Capital Outlay &amp; Donations'!D130</f>
        <v>C.2</v>
      </c>
      <c r="AD286" s="187">
        <f>'C. Capital Outlay &amp; Donations'!K135</f>
        <v>0</v>
      </c>
      <c r="AE286" s="185"/>
      <c r="AF286" s="277" t="str">
        <f>'H. Other Liabilities &amp; Expenses'!$D$235</f>
        <v>H.1</v>
      </c>
      <c r="AG286" s="185">
        <f>'H. Other Liabilities &amp; Expenses'!N238</f>
        <v>0</v>
      </c>
      <c r="AH286" s="278"/>
      <c r="AI286" s="185"/>
      <c r="AJ286" s="277"/>
      <c r="AK286" s="186"/>
      <c r="AL286" s="222"/>
      <c r="AM286" s="222"/>
      <c r="AN286" s="270">
        <f t="shared" si="72"/>
        <v>0</v>
      </c>
      <c r="AO286" s="271">
        <f t="shared" si="73"/>
        <v>0</v>
      </c>
      <c r="AP286" s="192"/>
      <c r="AQ286" s="271"/>
      <c r="AR286" s="192"/>
      <c r="AS286" s="271"/>
      <c r="AT286" s="45"/>
      <c r="AU286" s="36"/>
      <c r="AV286" s="36"/>
      <c r="AW286" s="36"/>
      <c r="AX286" s="36"/>
    </row>
    <row r="287" spans="1:50" x14ac:dyDescent="0.2">
      <c r="A287" s="11"/>
      <c r="B287" s="203"/>
      <c r="C287" s="184"/>
      <c r="D287" s="184"/>
      <c r="E287" s="213"/>
      <c r="F287" s="214"/>
      <c r="G287" s="222"/>
      <c r="H287" s="222"/>
      <c r="I287" s="222"/>
      <c r="J287" s="222"/>
      <c r="K287" s="222"/>
      <c r="L287" s="222"/>
      <c r="M287" s="222"/>
      <c r="N287" s="223"/>
      <c r="O287" s="222"/>
      <c r="P287" s="222"/>
      <c r="Q287" s="222"/>
      <c r="R287" s="222"/>
      <c r="S287" s="222"/>
      <c r="T287" s="223"/>
      <c r="U287" s="192">
        <f t="shared" si="55"/>
        <v>0</v>
      </c>
      <c r="V287" s="192">
        <f t="shared" si="56"/>
        <v>0</v>
      </c>
      <c r="W287" s="270">
        <f t="shared" si="57"/>
        <v>0</v>
      </c>
      <c r="X287" s="271">
        <f t="shared" si="57"/>
        <v>0</v>
      </c>
      <c r="Y287" s="307"/>
      <c r="Z287" s="308"/>
      <c r="AA287" s="276"/>
      <c r="AB287" s="186"/>
      <c r="AC287" s="277" t="s">
        <v>135</v>
      </c>
      <c r="AD287" s="185">
        <f>'D.  Capital Asset Disposal'!M203</f>
        <v>0</v>
      </c>
      <c r="AE287" s="185"/>
      <c r="AF287" s="277" t="str">
        <f>'E. Debt Service'!$D$81</f>
        <v>E.1</v>
      </c>
      <c r="AG287" s="185">
        <f>'E. Debt Service'!N86</f>
        <v>0</v>
      </c>
      <c r="AH287" s="278"/>
      <c r="AI287" s="185"/>
      <c r="AJ287" s="277"/>
      <c r="AK287" s="186"/>
      <c r="AL287" s="222"/>
      <c r="AM287" s="222"/>
      <c r="AN287" s="270">
        <f t="shared" si="72"/>
        <v>0</v>
      </c>
      <c r="AO287" s="271">
        <f t="shared" si="73"/>
        <v>0</v>
      </c>
      <c r="AP287" s="192"/>
      <c r="AQ287" s="271"/>
      <c r="AR287" s="192"/>
      <c r="AS287" s="271"/>
      <c r="AT287" s="45"/>
      <c r="AU287" s="36"/>
      <c r="AV287" s="36"/>
      <c r="AW287" s="36"/>
      <c r="AX287" s="36"/>
    </row>
    <row r="288" spans="1:50" s="493" customFormat="1" x14ac:dyDescent="0.2">
      <c r="A288" s="498"/>
      <c r="B288" s="203"/>
      <c r="C288" s="184"/>
      <c r="D288" s="184"/>
      <c r="E288" s="213"/>
      <c r="F288" s="214"/>
      <c r="G288" s="222"/>
      <c r="H288" s="222"/>
      <c r="I288" s="222"/>
      <c r="J288" s="222"/>
      <c r="K288" s="222"/>
      <c r="L288" s="222"/>
      <c r="M288" s="222"/>
      <c r="N288" s="223"/>
      <c r="O288" s="222"/>
      <c r="P288" s="222"/>
      <c r="Q288" s="222"/>
      <c r="R288" s="222"/>
      <c r="S288" s="222"/>
      <c r="T288" s="223"/>
      <c r="U288" s="192"/>
      <c r="V288" s="192"/>
      <c r="W288" s="270"/>
      <c r="X288" s="271"/>
      <c r="Y288" s="307"/>
      <c r="Z288" s="308"/>
      <c r="AA288" s="276"/>
      <c r="AB288" s="186"/>
      <c r="AC288" s="277" t="s">
        <v>1096</v>
      </c>
      <c r="AD288" s="185">
        <f>'J. GASB 68 TSERS'!C96</f>
        <v>0</v>
      </c>
      <c r="AE288" s="185"/>
      <c r="AF288" s="277" t="s">
        <v>1096</v>
      </c>
      <c r="AG288" s="185">
        <f>'J. GASB 68 TSERS'!D96</f>
        <v>0</v>
      </c>
      <c r="AH288" s="278"/>
      <c r="AI288" s="185"/>
      <c r="AJ288" s="277"/>
      <c r="AK288" s="186"/>
      <c r="AL288" s="222"/>
      <c r="AM288" s="222"/>
      <c r="AN288" s="270">
        <f t="shared" si="72"/>
        <v>0</v>
      </c>
      <c r="AO288" s="271">
        <f t="shared" si="73"/>
        <v>0</v>
      </c>
      <c r="AP288" s="192"/>
      <c r="AQ288" s="271"/>
      <c r="AR288" s="192"/>
      <c r="AS288" s="271"/>
      <c r="AT288" s="45"/>
      <c r="AU288" s="36"/>
      <c r="AV288" s="36"/>
      <c r="AW288" s="36"/>
      <c r="AX288" s="36"/>
    </row>
    <row r="289" spans="1:50" s="632" customFormat="1" x14ac:dyDescent="0.2">
      <c r="A289" s="634"/>
      <c r="B289" s="203"/>
      <c r="C289" s="184"/>
      <c r="D289" s="184"/>
      <c r="E289" s="213"/>
      <c r="F289" s="214"/>
      <c r="G289" s="222"/>
      <c r="H289" s="222"/>
      <c r="I289" s="222"/>
      <c r="J289" s="222"/>
      <c r="K289" s="222"/>
      <c r="L289" s="222"/>
      <c r="M289" s="222"/>
      <c r="N289" s="223"/>
      <c r="O289" s="222"/>
      <c r="P289" s="222"/>
      <c r="Q289" s="222"/>
      <c r="R289" s="222"/>
      <c r="S289" s="222"/>
      <c r="T289" s="223"/>
      <c r="U289" s="192"/>
      <c r="V289" s="192"/>
      <c r="W289" s="270"/>
      <c r="X289" s="271"/>
      <c r="Y289" s="307"/>
      <c r="Z289" s="308"/>
      <c r="AA289" s="276"/>
      <c r="AB289" s="186"/>
      <c r="AC289" s="691" t="s">
        <v>1534</v>
      </c>
      <c r="AD289" s="185">
        <f>'K. GASB 75 RHBF'!C96</f>
        <v>0</v>
      </c>
      <c r="AE289" s="185"/>
      <c r="AF289" s="277"/>
      <c r="AG289" s="185"/>
      <c r="AH289" s="278"/>
      <c r="AI289" s="185"/>
      <c r="AJ289" s="277"/>
      <c r="AK289" s="186"/>
      <c r="AL289" s="222"/>
      <c r="AM289" s="222"/>
      <c r="AN289" s="270">
        <f t="shared" si="72"/>
        <v>0</v>
      </c>
      <c r="AO289" s="271">
        <f t="shared" si="73"/>
        <v>0</v>
      </c>
      <c r="AP289" s="192"/>
      <c r="AQ289" s="271"/>
      <c r="AR289" s="192"/>
      <c r="AS289" s="271"/>
      <c r="AT289" s="45"/>
      <c r="AU289" s="36"/>
      <c r="AV289" s="36"/>
      <c r="AW289" s="36"/>
      <c r="AX289" s="36"/>
    </row>
    <row r="290" spans="1:50" ht="4.5" customHeight="1" x14ac:dyDescent="0.2">
      <c r="A290" s="322"/>
      <c r="B290" s="314"/>
      <c r="C290" s="314"/>
      <c r="D290" s="314"/>
      <c r="E290" s="310"/>
      <c r="F290" s="416"/>
      <c r="G290" s="304"/>
      <c r="H290" s="304"/>
      <c r="I290" s="304"/>
      <c r="J290" s="304"/>
      <c r="K290" s="304"/>
      <c r="L290" s="304"/>
      <c r="M290" s="304"/>
      <c r="N290" s="417"/>
      <c r="O290" s="304"/>
      <c r="P290" s="304"/>
      <c r="Q290" s="304"/>
      <c r="R290" s="304"/>
      <c r="S290" s="304"/>
      <c r="T290" s="417"/>
      <c r="U290" s="192"/>
      <c r="V290" s="192"/>
      <c r="W290" s="270"/>
      <c r="X290" s="271"/>
      <c r="Y290" s="303"/>
      <c r="Z290" s="304"/>
      <c r="AA290" s="269"/>
      <c r="AB290" s="137"/>
      <c r="AC290" s="284"/>
      <c r="AE290" s="45"/>
      <c r="AF290" s="265"/>
      <c r="AG290" s="45"/>
      <c r="AH290" s="264"/>
      <c r="AI290" s="45"/>
      <c r="AJ290" s="265"/>
      <c r="AK290" s="137"/>
      <c r="AL290" s="218"/>
      <c r="AM290" s="218"/>
      <c r="AN290" s="270"/>
      <c r="AO290" s="271"/>
      <c r="AP290" s="192"/>
      <c r="AQ290" s="271"/>
      <c r="AR290" s="192"/>
      <c r="AS290" s="271"/>
      <c r="AT290" s="45"/>
      <c r="AU290" s="36"/>
      <c r="AV290" s="36"/>
      <c r="AW290" s="36"/>
      <c r="AX290" s="36"/>
    </row>
    <row r="291" spans="1:50" x14ac:dyDescent="0.2">
      <c r="A291" s="11"/>
      <c r="B291" s="203" t="s">
        <v>238</v>
      </c>
      <c r="C291" s="184"/>
      <c r="D291" s="184"/>
      <c r="E291" s="213"/>
      <c r="F291" s="214"/>
      <c r="G291" s="222"/>
      <c r="H291" s="222"/>
      <c r="I291" s="222"/>
      <c r="J291" s="222"/>
      <c r="K291" s="222"/>
      <c r="L291" s="222"/>
      <c r="M291" s="222"/>
      <c r="N291" s="223"/>
      <c r="O291" s="222"/>
      <c r="P291" s="222"/>
      <c r="Q291" s="222"/>
      <c r="R291" s="222"/>
      <c r="S291" s="222"/>
      <c r="T291" s="223"/>
      <c r="U291" s="192">
        <f t="shared" si="55"/>
        <v>0</v>
      </c>
      <c r="V291" s="192">
        <f t="shared" si="56"/>
        <v>0</v>
      </c>
      <c r="W291" s="270">
        <f t="shared" si="57"/>
        <v>0</v>
      </c>
      <c r="X291" s="271">
        <f t="shared" si="57"/>
        <v>0</v>
      </c>
      <c r="Y291" s="307"/>
      <c r="Z291" s="308"/>
      <c r="AA291" s="276"/>
      <c r="AB291" s="186"/>
      <c r="AC291" s="281" t="str">
        <f>'B. Depreciation'!A54</f>
        <v>B.1</v>
      </c>
      <c r="AD291" s="187">
        <f>'B. Depreciation'!J58</f>
        <v>0</v>
      </c>
      <c r="AE291" s="185"/>
      <c r="AF291" s="277" t="str">
        <f>'C. Capital Outlay &amp; Donations'!$D$100</f>
        <v>C.1</v>
      </c>
      <c r="AG291" s="185">
        <f>'C. Capital Outlay &amp; Donations'!M112</f>
        <v>0</v>
      </c>
      <c r="AH291" s="278" t="str">
        <f>'I. Eliminations-Consolidations'!A250</f>
        <v>I.7</v>
      </c>
      <c r="AI291" s="185">
        <f>'I. Eliminations-Consolidations'!J254</f>
        <v>0</v>
      </c>
      <c r="AJ291" s="277"/>
      <c r="AK291" s="186"/>
      <c r="AL291" s="222"/>
      <c r="AM291" s="222"/>
      <c r="AN291" s="270">
        <f t="shared" ref="AN291:AN296" si="74">W291+Y291+AA291+AD291+AI291+AL291</f>
        <v>0</v>
      </c>
      <c r="AO291" s="271">
        <f t="shared" ref="AO291:AO296" si="75">X291+Z291+AB291+AG291+AK291+AM291</f>
        <v>0</v>
      </c>
      <c r="AP291" s="192" t="str">
        <f>IF(SUM(AN291:AN296)-SUM(AO291:AO296)&lt;=0, " ",SUM(AN291:AN296)-SUM(AO291:AO296))</f>
        <v xml:space="preserve"> </v>
      </c>
      <c r="AQ291" s="271" t="str">
        <f>IF(SUM(AN291:AN295)-SUM(AO291:AO295)&gt;=0, " ", SUM(AO291:AO295)-SUM(AN291:AN295))</f>
        <v xml:space="preserve"> </v>
      </c>
      <c r="AR291" s="192"/>
      <c r="AS291" s="271"/>
      <c r="AT291" s="45"/>
      <c r="AU291" s="36"/>
      <c r="AV291" s="36"/>
      <c r="AW291" s="36"/>
      <c r="AX291" s="36"/>
    </row>
    <row r="292" spans="1:50" x14ac:dyDescent="0.2">
      <c r="A292" s="11"/>
      <c r="B292" s="184"/>
      <c r="C292" s="184"/>
      <c r="D292" s="184"/>
      <c r="E292" s="213"/>
      <c r="F292" s="214"/>
      <c r="G292" s="222"/>
      <c r="H292" s="222"/>
      <c r="I292" s="222"/>
      <c r="J292" s="222"/>
      <c r="K292" s="222"/>
      <c r="L292" s="222"/>
      <c r="M292" s="222"/>
      <c r="N292" s="223"/>
      <c r="O292" s="222"/>
      <c r="P292" s="222"/>
      <c r="Q292" s="222"/>
      <c r="R292" s="222"/>
      <c r="S292" s="222"/>
      <c r="T292" s="223"/>
      <c r="U292" s="192">
        <f t="shared" si="55"/>
        <v>0</v>
      </c>
      <c r="V292" s="192">
        <f t="shared" si="56"/>
        <v>0</v>
      </c>
      <c r="W292" s="270">
        <f t="shared" si="57"/>
        <v>0</v>
      </c>
      <c r="X292" s="271">
        <f t="shared" si="57"/>
        <v>0</v>
      </c>
      <c r="Y292" s="307"/>
      <c r="Z292" s="308"/>
      <c r="AA292" s="276"/>
      <c r="AB292" s="186"/>
      <c r="AC292" s="281" t="str">
        <f>'H. Other Liabilities &amp; Expenses'!D235</f>
        <v>H.1</v>
      </c>
      <c r="AD292" s="187">
        <f>'H. Other Liabilities &amp; Expenses'!L239</f>
        <v>0</v>
      </c>
      <c r="AE292" s="185"/>
      <c r="AF292" s="283" t="str">
        <f>'G.  Other Asset Entries'!$B$90</f>
        <v>G.1</v>
      </c>
      <c r="AG292" s="185">
        <f>'G.  Other Asset Entries'!N98</f>
        <v>0</v>
      </c>
      <c r="AH292" s="278"/>
      <c r="AI292" s="185"/>
      <c r="AJ292" s="277"/>
      <c r="AK292" s="186"/>
      <c r="AL292" s="222"/>
      <c r="AM292" s="222"/>
      <c r="AN292" s="270">
        <f t="shared" si="74"/>
        <v>0</v>
      </c>
      <c r="AO292" s="271">
        <f t="shared" si="75"/>
        <v>0</v>
      </c>
      <c r="AP292" s="192"/>
      <c r="AQ292" s="271"/>
      <c r="AR292" s="192"/>
      <c r="AS292" s="271"/>
      <c r="AT292" s="45"/>
      <c r="AU292" s="36"/>
      <c r="AV292" s="36"/>
      <c r="AW292" s="36"/>
      <c r="AX292" s="36"/>
    </row>
    <row r="293" spans="1:50" x14ac:dyDescent="0.2">
      <c r="A293" s="11"/>
      <c r="B293" s="184"/>
      <c r="C293" s="184"/>
      <c r="D293" s="184"/>
      <c r="E293" s="213"/>
      <c r="F293" s="214"/>
      <c r="G293" s="222"/>
      <c r="H293" s="222"/>
      <c r="I293" s="222"/>
      <c r="J293" s="222"/>
      <c r="K293" s="222"/>
      <c r="L293" s="222"/>
      <c r="M293" s="222"/>
      <c r="N293" s="223"/>
      <c r="O293" s="222"/>
      <c r="P293" s="222"/>
      <c r="Q293" s="222"/>
      <c r="R293" s="222"/>
      <c r="S293" s="222"/>
      <c r="T293" s="223"/>
      <c r="U293" s="192">
        <f t="shared" si="55"/>
        <v>0</v>
      </c>
      <c r="V293" s="192">
        <f t="shared" si="56"/>
        <v>0</v>
      </c>
      <c r="W293" s="270">
        <f t="shared" si="57"/>
        <v>0</v>
      </c>
      <c r="X293" s="271">
        <f t="shared" si="57"/>
        <v>0</v>
      </c>
      <c r="Y293" s="307"/>
      <c r="Z293" s="308"/>
      <c r="AA293" s="276"/>
      <c r="AB293" s="186"/>
      <c r="AC293" s="277" t="str">
        <f>'C. Capital Outlay &amp; Donations'!D130</f>
        <v>C.2</v>
      </c>
      <c r="AD293" s="187">
        <f>'C. Capital Outlay &amp; Donations'!K136</f>
        <v>0</v>
      </c>
      <c r="AE293" s="185"/>
      <c r="AF293" s="277" t="str">
        <f>'H. Other Liabilities &amp; Expenses'!$D$235</f>
        <v>H.1</v>
      </c>
      <c r="AG293" s="185">
        <f>'H. Other Liabilities &amp; Expenses'!N239</f>
        <v>0</v>
      </c>
      <c r="AH293" s="278"/>
      <c r="AI293" s="185"/>
      <c r="AJ293" s="277"/>
      <c r="AK293" s="186"/>
      <c r="AL293" s="222"/>
      <c r="AM293" s="222"/>
      <c r="AN293" s="270">
        <f t="shared" si="74"/>
        <v>0</v>
      </c>
      <c r="AO293" s="271">
        <f t="shared" si="75"/>
        <v>0</v>
      </c>
      <c r="AP293" s="192"/>
      <c r="AQ293" s="271"/>
      <c r="AR293" s="192"/>
      <c r="AS293" s="271"/>
      <c r="AT293" s="45"/>
      <c r="AU293" s="36"/>
      <c r="AV293" s="36"/>
      <c r="AW293" s="36"/>
      <c r="AX293" s="36"/>
    </row>
    <row r="294" spans="1:50" x14ac:dyDescent="0.2">
      <c r="A294" s="11"/>
      <c r="B294" s="184"/>
      <c r="C294" s="184"/>
      <c r="D294" s="184"/>
      <c r="E294" s="213"/>
      <c r="F294" s="214"/>
      <c r="G294" s="222"/>
      <c r="H294" s="222"/>
      <c r="I294" s="222"/>
      <c r="J294" s="222"/>
      <c r="K294" s="222"/>
      <c r="L294" s="222"/>
      <c r="M294" s="222"/>
      <c r="N294" s="223"/>
      <c r="O294" s="222"/>
      <c r="P294" s="222"/>
      <c r="Q294" s="222"/>
      <c r="R294" s="222"/>
      <c r="S294" s="222"/>
      <c r="T294" s="223"/>
      <c r="U294" s="192">
        <f t="shared" si="55"/>
        <v>0</v>
      </c>
      <c r="V294" s="192">
        <f t="shared" si="56"/>
        <v>0</v>
      </c>
      <c r="W294" s="270">
        <f t="shared" si="57"/>
        <v>0</v>
      </c>
      <c r="X294" s="271">
        <f t="shared" si="57"/>
        <v>0</v>
      </c>
      <c r="Y294" s="307"/>
      <c r="Z294" s="308"/>
      <c r="AA294" s="276"/>
      <c r="AB294" s="186"/>
      <c r="AC294" s="281" t="s">
        <v>135</v>
      </c>
      <c r="AD294" s="187">
        <f>'D.  Capital Asset Disposal'!M204</f>
        <v>0</v>
      </c>
      <c r="AE294" s="185"/>
      <c r="AF294" s="277" t="str">
        <f>'E. Debt Service'!$D$81</f>
        <v>E.1</v>
      </c>
      <c r="AG294" s="185">
        <f>'E. Debt Service'!N87</f>
        <v>0</v>
      </c>
      <c r="AH294" s="278"/>
      <c r="AI294" s="185"/>
      <c r="AJ294" s="277"/>
      <c r="AK294" s="186"/>
      <c r="AL294" s="222"/>
      <c r="AM294" s="222"/>
      <c r="AN294" s="270">
        <f t="shared" si="74"/>
        <v>0</v>
      </c>
      <c r="AO294" s="271">
        <f t="shared" si="75"/>
        <v>0</v>
      </c>
      <c r="AP294" s="192"/>
      <c r="AQ294" s="271"/>
      <c r="AR294" s="192"/>
      <c r="AS294" s="271"/>
      <c r="AT294" s="45"/>
      <c r="AU294" s="36"/>
      <c r="AV294" s="36"/>
      <c r="AW294" s="36"/>
      <c r="AX294" s="36"/>
    </row>
    <row r="295" spans="1:50" s="493" customFormat="1" x14ac:dyDescent="0.2">
      <c r="A295" s="498"/>
      <c r="B295" s="184"/>
      <c r="C295" s="184"/>
      <c r="D295" s="184"/>
      <c r="E295" s="213"/>
      <c r="F295" s="214"/>
      <c r="G295" s="222"/>
      <c r="H295" s="222"/>
      <c r="I295" s="222"/>
      <c r="J295" s="222"/>
      <c r="K295" s="222"/>
      <c r="L295" s="222"/>
      <c r="M295" s="222"/>
      <c r="N295" s="223"/>
      <c r="O295" s="222"/>
      <c r="P295" s="222"/>
      <c r="Q295" s="222"/>
      <c r="R295" s="222"/>
      <c r="S295" s="222"/>
      <c r="T295" s="223"/>
      <c r="U295" s="192"/>
      <c r="V295" s="192"/>
      <c r="W295" s="270"/>
      <c r="X295" s="271"/>
      <c r="Y295" s="307"/>
      <c r="Z295" s="308"/>
      <c r="AA295" s="276"/>
      <c r="AB295" s="186"/>
      <c r="AC295" s="281" t="s">
        <v>1096</v>
      </c>
      <c r="AD295" s="187">
        <f>'J. GASB 68 TSERS'!C97</f>
        <v>0</v>
      </c>
      <c r="AE295" s="185"/>
      <c r="AF295" s="277" t="s">
        <v>1096</v>
      </c>
      <c r="AG295" s="185">
        <f>'J. GASB 68 TSERS'!D97</f>
        <v>0</v>
      </c>
      <c r="AH295" s="278"/>
      <c r="AI295" s="185"/>
      <c r="AJ295" s="277"/>
      <c r="AK295" s="186"/>
      <c r="AL295" s="222"/>
      <c r="AM295" s="222"/>
      <c r="AN295" s="270">
        <f t="shared" si="74"/>
        <v>0</v>
      </c>
      <c r="AO295" s="271">
        <f t="shared" si="75"/>
        <v>0</v>
      </c>
      <c r="AP295" s="192"/>
      <c r="AQ295" s="271"/>
      <c r="AR295" s="192"/>
      <c r="AS295" s="271"/>
      <c r="AT295" s="45"/>
      <c r="AU295" s="36"/>
      <c r="AV295" s="36"/>
      <c r="AW295" s="36"/>
      <c r="AX295" s="36"/>
    </row>
    <row r="296" spans="1:50" s="632" customFormat="1" x14ac:dyDescent="0.2">
      <c r="A296" s="634"/>
      <c r="B296" s="184"/>
      <c r="C296" s="184"/>
      <c r="D296" s="184"/>
      <c r="E296" s="213"/>
      <c r="F296" s="214"/>
      <c r="G296" s="222"/>
      <c r="H296" s="222"/>
      <c r="I296" s="222"/>
      <c r="J296" s="222"/>
      <c r="K296" s="222"/>
      <c r="L296" s="222"/>
      <c r="M296" s="222"/>
      <c r="N296" s="223"/>
      <c r="O296" s="222"/>
      <c r="P296" s="222"/>
      <c r="Q296" s="222"/>
      <c r="R296" s="222"/>
      <c r="S296" s="222"/>
      <c r="T296" s="223"/>
      <c r="U296" s="192"/>
      <c r="V296" s="192"/>
      <c r="W296" s="270"/>
      <c r="X296" s="271"/>
      <c r="Y296" s="307"/>
      <c r="Z296" s="308"/>
      <c r="AA296" s="276"/>
      <c r="AB296" s="186"/>
      <c r="AC296" s="691" t="s">
        <v>1534</v>
      </c>
      <c r="AD296" s="692">
        <f>'K. GASB 75 RHBF'!C97</f>
        <v>0</v>
      </c>
      <c r="AE296" s="185"/>
      <c r="AF296" s="277"/>
      <c r="AG296" s="185"/>
      <c r="AH296" s="278"/>
      <c r="AI296" s="185"/>
      <c r="AJ296" s="277"/>
      <c r="AK296" s="186"/>
      <c r="AL296" s="222"/>
      <c r="AM296" s="222"/>
      <c r="AN296" s="270">
        <f t="shared" si="74"/>
        <v>0</v>
      </c>
      <c r="AO296" s="271">
        <f t="shared" si="75"/>
        <v>0</v>
      </c>
      <c r="AP296" s="192"/>
      <c r="AQ296" s="271"/>
      <c r="AR296" s="192"/>
      <c r="AS296" s="271"/>
      <c r="AT296" s="45"/>
      <c r="AU296" s="36"/>
      <c r="AV296" s="36"/>
      <c r="AW296" s="36"/>
      <c r="AX296" s="36"/>
    </row>
    <row r="297" spans="1:50" ht="4.5" customHeight="1" x14ac:dyDescent="0.2">
      <c r="A297" s="322"/>
      <c r="B297" s="314"/>
      <c r="C297" s="314"/>
      <c r="D297" s="314"/>
      <c r="E297" s="310"/>
      <c r="F297" s="416"/>
      <c r="G297" s="304"/>
      <c r="H297" s="304"/>
      <c r="I297" s="304"/>
      <c r="J297" s="304"/>
      <c r="K297" s="304"/>
      <c r="L297" s="304"/>
      <c r="M297" s="304"/>
      <c r="N297" s="417"/>
      <c r="O297" s="304"/>
      <c r="P297" s="304"/>
      <c r="Q297" s="304"/>
      <c r="R297" s="304"/>
      <c r="S297" s="304"/>
      <c r="T297" s="417"/>
      <c r="U297" s="192"/>
      <c r="V297" s="192"/>
      <c r="W297" s="270"/>
      <c r="X297" s="271"/>
      <c r="Y297" s="303"/>
      <c r="Z297" s="304"/>
      <c r="AA297" s="269"/>
      <c r="AB297" s="137"/>
      <c r="AC297" s="284"/>
      <c r="AE297" s="45"/>
      <c r="AF297" s="265"/>
      <c r="AG297" s="45"/>
      <c r="AH297" s="264"/>
      <c r="AI297" s="45"/>
      <c r="AJ297" s="265"/>
      <c r="AK297" s="137"/>
      <c r="AL297" s="218"/>
      <c r="AM297" s="218"/>
      <c r="AN297" s="270"/>
      <c r="AO297" s="271"/>
      <c r="AP297" s="192"/>
      <c r="AQ297" s="271"/>
      <c r="AR297" s="192"/>
      <c r="AS297" s="271"/>
      <c r="AT297" s="45"/>
      <c r="AU297" s="36"/>
      <c r="AV297" s="36"/>
      <c r="AW297" s="36"/>
      <c r="AX297" s="36"/>
    </row>
    <row r="298" spans="1:50" x14ac:dyDescent="0.2">
      <c r="A298" s="11"/>
      <c r="B298" s="203" t="s">
        <v>510</v>
      </c>
      <c r="C298" s="184"/>
      <c r="D298" s="184"/>
      <c r="E298" s="213"/>
      <c r="F298" s="214"/>
      <c r="G298" s="222"/>
      <c r="H298" s="222"/>
      <c r="I298" s="222"/>
      <c r="J298" s="222"/>
      <c r="K298" s="222"/>
      <c r="L298" s="222"/>
      <c r="M298" s="222"/>
      <c r="N298" s="223"/>
      <c r="O298" s="222"/>
      <c r="P298" s="222"/>
      <c r="Q298" s="222"/>
      <c r="R298" s="222"/>
      <c r="S298" s="222"/>
      <c r="T298" s="223"/>
      <c r="U298" s="192">
        <f t="shared" ref="U298:V301" si="76">O298+Q298+S298</f>
        <v>0</v>
      </c>
      <c r="V298" s="192">
        <f t="shared" si="76"/>
        <v>0</v>
      </c>
      <c r="W298" s="270">
        <f t="shared" ref="W298:X301" si="77">E298+G298+I298+K298+M298+U298</f>
        <v>0</v>
      </c>
      <c r="X298" s="271">
        <f t="shared" si="77"/>
        <v>0</v>
      </c>
      <c r="Y298" s="307"/>
      <c r="Z298" s="308"/>
      <c r="AA298" s="276"/>
      <c r="AB298" s="186"/>
      <c r="AC298" s="277" t="str">
        <f>'B. Depreciation'!A54</f>
        <v>B.1</v>
      </c>
      <c r="AD298" s="185">
        <f>'B. Depreciation'!J59</f>
        <v>0</v>
      </c>
      <c r="AE298" s="185"/>
      <c r="AF298" s="277" t="str">
        <f>'C. Capital Outlay &amp; Donations'!$D$100</f>
        <v>C.1</v>
      </c>
      <c r="AG298" s="185">
        <f>'C. Capital Outlay &amp; Donations'!M113</f>
        <v>0</v>
      </c>
      <c r="AH298" s="278" t="str">
        <f>'I. Eliminations-Consolidations'!A250</f>
        <v>I.7</v>
      </c>
      <c r="AI298" s="185">
        <f>'I. Eliminations-Consolidations'!J255</f>
        <v>0</v>
      </c>
      <c r="AJ298" s="277"/>
      <c r="AK298" s="186"/>
      <c r="AL298" s="222"/>
      <c r="AM298" s="222"/>
      <c r="AN298" s="270">
        <f t="shared" ref="AN298:AN303" si="78">W298+Y298+AA298+AD298+AI298+AL298</f>
        <v>0</v>
      </c>
      <c r="AO298" s="271">
        <f t="shared" ref="AO298:AO303" si="79">X298+Z298+AB298+AG298+AK298+AM298</f>
        <v>0</v>
      </c>
      <c r="AP298" s="192" t="str">
        <f>IF(SUM(AN298:AN303)-SUM(AO298:AO303)&lt;=0, " ",SUM(AN298:AN303)-SUM(AO298:AO303))</f>
        <v xml:space="preserve"> </v>
      </c>
      <c r="AQ298" s="271" t="str">
        <f>IF(SUM(AN298:AN302)-SUM(AO298:AO302)&gt;=0, " ", SUM(AO298:AO302)-SUM(AN298:AN302))</f>
        <v xml:space="preserve"> </v>
      </c>
      <c r="AR298" s="192"/>
      <c r="AS298" s="271"/>
      <c r="AT298" s="45"/>
      <c r="AU298" s="36"/>
      <c r="AV298" s="36"/>
      <c r="AW298" s="36"/>
      <c r="AX298" s="36"/>
    </row>
    <row r="299" spans="1:50" x14ac:dyDescent="0.2">
      <c r="A299" s="11"/>
      <c r="B299" s="203"/>
      <c r="C299" s="184"/>
      <c r="D299" s="184"/>
      <c r="E299" s="213"/>
      <c r="F299" s="214"/>
      <c r="G299" s="222"/>
      <c r="H299" s="222"/>
      <c r="I299" s="222"/>
      <c r="J299" s="222"/>
      <c r="K299" s="222"/>
      <c r="L299" s="222"/>
      <c r="M299" s="222"/>
      <c r="N299" s="223"/>
      <c r="O299" s="222"/>
      <c r="P299" s="222"/>
      <c r="Q299" s="222"/>
      <c r="R299" s="222"/>
      <c r="S299" s="222"/>
      <c r="T299" s="223"/>
      <c r="U299" s="192">
        <f t="shared" si="76"/>
        <v>0</v>
      </c>
      <c r="V299" s="192">
        <f t="shared" si="76"/>
        <v>0</v>
      </c>
      <c r="W299" s="270">
        <f t="shared" si="77"/>
        <v>0</v>
      </c>
      <c r="X299" s="271">
        <f t="shared" si="77"/>
        <v>0</v>
      </c>
      <c r="Y299" s="307"/>
      <c r="Z299" s="308"/>
      <c r="AA299" s="276"/>
      <c r="AB299" s="186"/>
      <c r="AC299" s="277" t="str">
        <f>'H. Other Liabilities &amp; Expenses'!D235</f>
        <v>H.1</v>
      </c>
      <c r="AD299" s="185">
        <f>'H. Other Liabilities &amp; Expenses'!L240</f>
        <v>0</v>
      </c>
      <c r="AE299" s="185"/>
      <c r="AF299" s="283" t="str">
        <f>'G.  Other Asset Entries'!$B$90</f>
        <v>G.1</v>
      </c>
      <c r="AG299" s="185">
        <f>'G.  Other Asset Entries'!N99</f>
        <v>0</v>
      </c>
      <c r="AH299" s="278"/>
      <c r="AI299" s="185"/>
      <c r="AJ299" s="277"/>
      <c r="AK299" s="186"/>
      <c r="AL299" s="222"/>
      <c r="AM299" s="222"/>
      <c r="AN299" s="270">
        <f t="shared" si="78"/>
        <v>0</v>
      </c>
      <c r="AO299" s="271">
        <f t="shared" si="79"/>
        <v>0</v>
      </c>
      <c r="AP299" s="192"/>
      <c r="AQ299" s="271"/>
      <c r="AR299" s="192"/>
      <c r="AS299" s="271"/>
      <c r="AT299" s="45"/>
      <c r="AU299" s="36"/>
      <c r="AV299" s="36"/>
      <c r="AW299" s="36"/>
      <c r="AX299" s="36"/>
    </row>
    <row r="300" spans="1:50" x14ac:dyDescent="0.2">
      <c r="A300" s="11"/>
      <c r="B300" s="203"/>
      <c r="C300" s="184"/>
      <c r="D300" s="184"/>
      <c r="E300" s="213"/>
      <c r="F300" s="214"/>
      <c r="G300" s="222"/>
      <c r="H300" s="222"/>
      <c r="I300" s="222"/>
      <c r="J300" s="222"/>
      <c r="K300" s="222"/>
      <c r="L300" s="222"/>
      <c r="M300" s="222"/>
      <c r="N300" s="223"/>
      <c r="O300" s="222"/>
      <c r="P300" s="222"/>
      <c r="Q300" s="222"/>
      <c r="R300" s="222"/>
      <c r="S300" s="222"/>
      <c r="T300" s="223"/>
      <c r="U300" s="192">
        <f t="shared" si="76"/>
        <v>0</v>
      </c>
      <c r="V300" s="192">
        <f t="shared" si="76"/>
        <v>0</v>
      </c>
      <c r="W300" s="270">
        <f t="shared" si="77"/>
        <v>0</v>
      </c>
      <c r="X300" s="271">
        <f t="shared" si="77"/>
        <v>0</v>
      </c>
      <c r="Y300" s="307"/>
      <c r="Z300" s="308"/>
      <c r="AA300" s="276"/>
      <c r="AB300" s="186"/>
      <c r="AC300" s="277" t="str">
        <f>'C. Capital Outlay &amp; Donations'!D130</f>
        <v>C.2</v>
      </c>
      <c r="AD300" s="187">
        <f>'C. Capital Outlay &amp; Donations'!K137</f>
        <v>0</v>
      </c>
      <c r="AE300" s="185"/>
      <c r="AF300" s="277" t="str">
        <f>'H. Other Liabilities &amp; Expenses'!$D$235</f>
        <v>H.1</v>
      </c>
      <c r="AG300" s="185">
        <f>'H. Other Liabilities &amp; Expenses'!N240</f>
        <v>0</v>
      </c>
      <c r="AH300" s="278"/>
      <c r="AI300" s="185"/>
      <c r="AJ300" s="277"/>
      <c r="AK300" s="186"/>
      <c r="AL300" s="222"/>
      <c r="AM300" s="222"/>
      <c r="AN300" s="270">
        <f t="shared" si="78"/>
        <v>0</v>
      </c>
      <c r="AO300" s="271">
        <f t="shared" si="79"/>
        <v>0</v>
      </c>
      <c r="AP300" s="192"/>
      <c r="AQ300" s="271"/>
      <c r="AR300" s="192"/>
      <c r="AS300" s="271"/>
      <c r="AT300" s="45"/>
      <c r="AU300" s="36"/>
      <c r="AV300" s="36"/>
      <c r="AW300" s="36"/>
      <c r="AX300" s="36"/>
    </row>
    <row r="301" spans="1:50" x14ac:dyDescent="0.2">
      <c r="A301" s="11"/>
      <c r="B301" s="203"/>
      <c r="C301" s="184"/>
      <c r="D301" s="184"/>
      <c r="E301" s="213"/>
      <c r="F301" s="214"/>
      <c r="G301" s="222"/>
      <c r="H301" s="222"/>
      <c r="I301" s="222"/>
      <c r="J301" s="222"/>
      <c r="K301" s="222"/>
      <c r="L301" s="222"/>
      <c r="M301" s="222"/>
      <c r="N301" s="223"/>
      <c r="O301" s="222"/>
      <c r="P301" s="222"/>
      <c r="Q301" s="222"/>
      <c r="R301" s="222"/>
      <c r="S301" s="222"/>
      <c r="T301" s="223"/>
      <c r="U301" s="192">
        <f t="shared" si="76"/>
        <v>0</v>
      </c>
      <c r="V301" s="192">
        <f t="shared" si="76"/>
        <v>0</v>
      </c>
      <c r="W301" s="270">
        <f t="shared" si="77"/>
        <v>0</v>
      </c>
      <c r="X301" s="271">
        <f t="shared" si="77"/>
        <v>0</v>
      </c>
      <c r="Y301" s="307"/>
      <c r="Z301" s="308"/>
      <c r="AA301" s="276"/>
      <c r="AB301" s="186"/>
      <c r="AC301" s="277" t="s">
        <v>135</v>
      </c>
      <c r="AD301" s="185">
        <f>'D.  Capital Asset Disposal'!M205</f>
        <v>0</v>
      </c>
      <c r="AE301" s="185"/>
      <c r="AF301" s="277" t="str">
        <f>'E. Debt Service'!$D$81</f>
        <v>E.1</v>
      </c>
      <c r="AG301" s="185">
        <f>'E. Debt Service'!N88</f>
        <v>0</v>
      </c>
      <c r="AH301" s="278"/>
      <c r="AI301" s="185"/>
      <c r="AJ301" s="277"/>
      <c r="AK301" s="186"/>
      <c r="AL301" s="222"/>
      <c r="AM301" s="222"/>
      <c r="AN301" s="270">
        <f t="shared" si="78"/>
        <v>0</v>
      </c>
      <c r="AO301" s="271">
        <f t="shared" si="79"/>
        <v>0</v>
      </c>
      <c r="AP301" s="192"/>
      <c r="AQ301" s="271"/>
      <c r="AR301" s="192"/>
      <c r="AS301" s="271"/>
      <c r="AT301" s="45"/>
      <c r="AU301" s="36"/>
      <c r="AV301" s="36"/>
      <c r="AW301" s="36"/>
      <c r="AX301" s="36"/>
    </row>
    <row r="302" spans="1:50" s="493" customFormat="1" x14ac:dyDescent="0.2">
      <c r="A302" s="498"/>
      <c r="B302" s="203"/>
      <c r="C302" s="184"/>
      <c r="D302" s="184"/>
      <c r="E302" s="213"/>
      <c r="F302" s="214"/>
      <c r="G302" s="222"/>
      <c r="H302" s="222"/>
      <c r="I302" s="222"/>
      <c r="J302" s="222"/>
      <c r="K302" s="222"/>
      <c r="L302" s="222"/>
      <c r="M302" s="222"/>
      <c r="N302" s="223"/>
      <c r="O302" s="222"/>
      <c r="P302" s="222"/>
      <c r="Q302" s="222"/>
      <c r="R302" s="222"/>
      <c r="S302" s="222"/>
      <c r="T302" s="223"/>
      <c r="U302" s="192"/>
      <c r="V302" s="192"/>
      <c r="W302" s="270"/>
      <c r="X302" s="271"/>
      <c r="Y302" s="307"/>
      <c r="Z302" s="308"/>
      <c r="AA302" s="276"/>
      <c r="AB302" s="186"/>
      <c r="AC302" s="277" t="s">
        <v>1096</v>
      </c>
      <c r="AD302" s="185">
        <f>'J. GASB 68 TSERS'!C98</f>
        <v>0</v>
      </c>
      <c r="AE302" s="185"/>
      <c r="AF302" s="277" t="s">
        <v>1096</v>
      </c>
      <c r="AG302" s="185">
        <f>'J. GASB 68 TSERS'!D98</f>
        <v>0</v>
      </c>
      <c r="AH302" s="278"/>
      <c r="AI302" s="185"/>
      <c r="AJ302" s="277"/>
      <c r="AK302" s="186"/>
      <c r="AL302" s="222"/>
      <c r="AM302" s="222"/>
      <c r="AN302" s="270">
        <f t="shared" si="78"/>
        <v>0</v>
      </c>
      <c r="AO302" s="271">
        <f t="shared" si="79"/>
        <v>0</v>
      </c>
      <c r="AP302" s="192"/>
      <c r="AQ302" s="271"/>
      <c r="AR302" s="192"/>
      <c r="AS302" s="271"/>
      <c r="AT302" s="45"/>
      <c r="AU302" s="36"/>
      <c r="AV302" s="36"/>
      <c r="AW302" s="36"/>
      <c r="AX302" s="36"/>
    </row>
    <row r="303" spans="1:50" s="632" customFormat="1" x14ac:dyDescent="0.2">
      <c r="A303" s="634"/>
      <c r="B303" s="203"/>
      <c r="C303" s="184"/>
      <c r="D303" s="184"/>
      <c r="E303" s="213"/>
      <c r="F303" s="214"/>
      <c r="G303" s="222"/>
      <c r="H303" s="222"/>
      <c r="I303" s="222"/>
      <c r="J303" s="222"/>
      <c r="K303" s="222"/>
      <c r="L303" s="222"/>
      <c r="M303" s="222"/>
      <c r="N303" s="223"/>
      <c r="O303" s="222"/>
      <c r="P303" s="222"/>
      <c r="Q303" s="222"/>
      <c r="R303" s="222"/>
      <c r="S303" s="222"/>
      <c r="T303" s="223"/>
      <c r="U303" s="192"/>
      <c r="V303" s="192"/>
      <c r="W303" s="270"/>
      <c r="X303" s="271"/>
      <c r="Y303" s="307"/>
      <c r="Z303" s="308"/>
      <c r="AA303" s="276"/>
      <c r="AB303" s="186"/>
      <c r="AC303" s="691" t="s">
        <v>1534</v>
      </c>
      <c r="AD303" s="185">
        <f>'K. GASB 75 RHBF'!C98</f>
        <v>0</v>
      </c>
      <c r="AE303" s="185"/>
      <c r="AF303" s="277"/>
      <c r="AG303" s="185"/>
      <c r="AH303" s="278"/>
      <c r="AI303" s="185"/>
      <c r="AJ303" s="277"/>
      <c r="AK303" s="186"/>
      <c r="AL303" s="222"/>
      <c r="AM303" s="222"/>
      <c r="AN303" s="270">
        <f t="shared" si="78"/>
        <v>0</v>
      </c>
      <c r="AO303" s="271">
        <f t="shared" si="79"/>
        <v>0</v>
      </c>
      <c r="AP303" s="192"/>
      <c r="AQ303" s="271"/>
      <c r="AR303" s="192"/>
      <c r="AS303" s="271"/>
      <c r="AT303" s="45"/>
      <c r="AU303" s="36"/>
      <c r="AV303" s="36"/>
      <c r="AW303" s="36"/>
      <c r="AX303" s="36"/>
    </row>
    <row r="304" spans="1:50" ht="4.5" customHeight="1" x14ac:dyDescent="0.2">
      <c r="A304" s="322"/>
      <c r="B304" s="314"/>
      <c r="C304" s="314"/>
      <c r="D304" s="314"/>
      <c r="E304" s="310"/>
      <c r="F304" s="416"/>
      <c r="G304" s="304"/>
      <c r="H304" s="304"/>
      <c r="I304" s="304"/>
      <c r="J304" s="304"/>
      <c r="K304" s="304"/>
      <c r="L304" s="304"/>
      <c r="M304" s="304"/>
      <c r="N304" s="417"/>
      <c r="O304" s="304"/>
      <c r="P304" s="304"/>
      <c r="Q304" s="304"/>
      <c r="R304" s="304"/>
      <c r="S304" s="304"/>
      <c r="T304" s="417"/>
      <c r="U304" s="192"/>
      <c r="V304" s="192"/>
      <c r="W304" s="270"/>
      <c r="X304" s="271"/>
      <c r="Y304" s="303"/>
      <c r="Z304" s="304"/>
      <c r="AA304" s="269"/>
      <c r="AB304" s="137"/>
      <c r="AC304" s="284"/>
      <c r="AE304" s="45"/>
      <c r="AF304" s="265"/>
      <c r="AG304" s="45"/>
      <c r="AH304" s="264"/>
      <c r="AI304" s="45"/>
      <c r="AJ304" s="265"/>
      <c r="AK304" s="137"/>
      <c r="AL304" s="218"/>
      <c r="AM304" s="218"/>
      <c r="AN304" s="270"/>
      <c r="AO304" s="271"/>
      <c r="AP304" s="192"/>
      <c r="AQ304" s="271"/>
      <c r="AR304" s="192"/>
      <c r="AS304" s="271"/>
      <c r="AT304" s="45"/>
      <c r="AU304" s="36"/>
      <c r="AV304" s="36"/>
      <c r="AW304" s="36"/>
      <c r="AX304" s="36"/>
    </row>
    <row r="305" spans="1:50" x14ac:dyDescent="0.2">
      <c r="A305" s="11"/>
      <c r="B305" s="203" t="s">
        <v>511</v>
      </c>
      <c r="C305" s="184"/>
      <c r="D305" s="184"/>
      <c r="E305" s="213"/>
      <c r="F305" s="214"/>
      <c r="G305" s="222"/>
      <c r="H305" s="222"/>
      <c r="I305" s="222"/>
      <c r="J305" s="222"/>
      <c r="K305" s="222"/>
      <c r="L305" s="222"/>
      <c r="M305" s="222"/>
      <c r="N305" s="223"/>
      <c r="O305" s="222"/>
      <c r="P305" s="222"/>
      <c r="Q305" s="222"/>
      <c r="R305" s="222"/>
      <c r="S305" s="222"/>
      <c r="T305" s="223"/>
      <c r="U305" s="192">
        <f t="shared" ref="U305:V308" si="80">O305+Q305+S305</f>
        <v>0</v>
      </c>
      <c r="V305" s="192">
        <f t="shared" si="80"/>
        <v>0</v>
      </c>
      <c r="W305" s="270">
        <f t="shared" ref="W305:X308" si="81">E305+G305+I305+K305+M305+U305</f>
        <v>0</v>
      </c>
      <c r="X305" s="271">
        <f t="shared" si="81"/>
        <v>0</v>
      </c>
      <c r="Y305" s="307"/>
      <c r="Z305" s="308"/>
      <c r="AA305" s="276"/>
      <c r="AB305" s="186"/>
      <c r="AC305" s="281" t="str">
        <f>'B. Depreciation'!A54</f>
        <v>B.1</v>
      </c>
      <c r="AD305" s="187">
        <f>'B. Depreciation'!J60</f>
        <v>0</v>
      </c>
      <c r="AE305" s="185"/>
      <c r="AF305" s="277" t="str">
        <f>'C. Capital Outlay &amp; Donations'!$D$100</f>
        <v>C.1</v>
      </c>
      <c r="AG305" s="185">
        <f>'C. Capital Outlay &amp; Donations'!M114</f>
        <v>0</v>
      </c>
      <c r="AH305" s="278" t="str">
        <f>'I. Eliminations-Consolidations'!A250</f>
        <v>I.7</v>
      </c>
      <c r="AI305" s="185">
        <f>'I. Eliminations-Consolidations'!J256</f>
        <v>0</v>
      </c>
      <c r="AJ305" s="277"/>
      <c r="AK305" s="186"/>
      <c r="AL305" s="222"/>
      <c r="AM305" s="222"/>
      <c r="AN305" s="270">
        <f t="shared" ref="AN305:AN310" si="82">W305+Y305+AA305+AD305+AI305+AL305</f>
        <v>0</v>
      </c>
      <c r="AO305" s="271">
        <f t="shared" ref="AO305:AO310" si="83">X305+Z305+AB305+AG305+AK305+AM305</f>
        <v>0</v>
      </c>
      <c r="AP305" s="192" t="str">
        <f>IF(SUM(AN305:AN310)-SUM(AO305:AO310)&lt;=0, " ",SUM(AN305:AN310)-SUM(AO305:AO310))</f>
        <v xml:space="preserve"> </v>
      </c>
      <c r="AQ305" s="271" t="str">
        <f>IF(SUM(AN305:AN309)-SUM(AO305:AO309)&gt;=0, " ", SUM(AO305:AO309)-SUM(AN305:AN309))</f>
        <v xml:space="preserve"> </v>
      </c>
      <c r="AR305" s="192"/>
      <c r="AS305" s="271"/>
      <c r="AT305" s="45"/>
      <c r="AU305" s="36"/>
      <c r="AV305" s="36"/>
      <c r="AW305" s="36"/>
      <c r="AX305" s="36"/>
    </row>
    <row r="306" spans="1:50" x14ac:dyDescent="0.2">
      <c r="A306" s="11"/>
      <c r="B306" s="203"/>
      <c r="C306" s="184"/>
      <c r="D306" s="184"/>
      <c r="E306" s="213"/>
      <c r="F306" s="214"/>
      <c r="G306" s="222"/>
      <c r="H306" s="222"/>
      <c r="I306" s="222"/>
      <c r="J306" s="222"/>
      <c r="K306" s="222"/>
      <c r="L306" s="222"/>
      <c r="M306" s="222"/>
      <c r="N306" s="223"/>
      <c r="O306" s="222"/>
      <c r="P306" s="222"/>
      <c r="Q306" s="222"/>
      <c r="R306" s="222"/>
      <c r="S306" s="222"/>
      <c r="T306" s="223"/>
      <c r="U306" s="192">
        <f t="shared" si="80"/>
        <v>0</v>
      </c>
      <c r="V306" s="192">
        <f t="shared" si="80"/>
        <v>0</v>
      </c>
      <c r="W306" s="270">
        <f t="shared" si="81"/>
        <v>0</v>
      </c>
      <c r="X306" s="271">
        <f t="shared" si="81"/>
        <v>0</v>
      </c>
      <c r="Y306" s="307"/>
      <c r="Z306" s="308"/>
      <c r="AA306" s="276"/>
      <c r="AB306" s="186"/>
      <c r="AC306" s="281" t="str">
        <f>'H. Other Liabilities &amp; Expenses'!D235</f>
        <v>H.1</v>
      </c>
      <c r="AD306" s="187">
        <f>'H. Other Liabilities &amp; Expenses'!L241</f>
        <v>0</v>
      </c>
      <c r="AE306" s="185"/>
      <c r="AF306" s="283" t="str">
        <f>'G.  Other Asset Entries'!$B$90</f>
        <v>G.1</v>
      </c>
      <c r="AG306" s="185">
        <f>'G.  Other Asset Entries'!N100</f>
        <v>0</v>
      </c>
      <c r="AH306" s="278"/>
      <c r="AI306" s="185"/>
      <c r="AJ306" s="277"/>
      <c r="AK306" s="186"/>
      <c r="AL306" s="222"/>
      <c r="AM306" s="222"/>
      <c r="AN306" s="270">
        <f t="shared" si="82"/>
        <v>0</v>
      </c>
      <c r="AO306" s="271">
        <f t="shared" si="83"/>
        <v>0</v>
      </c>
      <c r="AP306" s="192"/>
      <c r="AQ306" s="271"/>
      <c r="AR306" s="192"/>
      <c r="AS306" s="271"/>
      <c r="AT306" s="45"/>
      <c r="AU306" s="36"/>
      <c r="AV306" s="36"/>
      <c r="AW306" s="36"/>
      <c r="AX306" s="36"/>
    </row>
    <row r="307" spans="1:50" x14ac:dyDescent="0.2">
      <c r="A307" s="11"/>
      <c r="B307" s="203"/>
      <c r="C307" s="184"/>
      <c r="D307" s="184"/>
      <c r="E307" s="213"/>
      <c r="F307" s="214"/>
      <c r="G307" s="222"/>
      <c r="H307" s="222"/>
      <c r="I307" s="222"/>
      <c r="J307" s="222"/>
      <c r="K307" s="222"/>
      <c r="L307" s="222"/>
      <c r="M307" s="222"/>
      <c r="N307" s="223"/>
      <c r="O307" s="222"/>
      <c r="P307" s="222"/>
      <c r="Q307" s="222"/>
      <c r="R307" s="222"/>
      <c r="S307" s="222"/>
      <c r="T307" s="223"/>
      <c r="U307" s="192">
        <f t="shared" si="80"/>
        <v>0</v>
      </c>
      <c r="V307" s="192">
        <f t="shared" si="80"/>
        <v>0</v>
      </c>
      <c r="W307" s="270">
        <f t="shared" si="81"/>
        <v>0</v>
      </c>
      <c r="X307" s="271">
        <f t="shared" si="81"/>
        <v>0</v>
      </c>
      <c r="Y307" s="307"/>
      <c r="Z307" s="308"/>
      <c r="AA307" s="276"/>
      <c r="AB307" s="186"/>
      <c r="AC307" s="277" t="str">
        <f>'C. Capital Outlay &amp; Donations'!D130</f>
        <v>C.2</v>
      </c>
      <c r="AD307" s="187">
        <f>'C. Capital Outlay &amp; Donations'!K138</f>
        <v>0</v>
      </c>
      <c r="AE307" s="185"/>
      <c r="AF307" s="277" t="str">
        <f>'H. Other Liabilities &amp; Expenses'!$D$235</f>
        <v>H.1</v>
      </c>
      <c r="AG307" s="185">
        <f>'H. Other Liabilities &amp; Expenses'!N241</f>
        <v>0</v>
      </c>
      <c r="AH307" s="278"/>
      <c r="AI307" s="185"/>
      <c r="AJ307" s="277"/>
      <c r="AK307" s="186"/>
      <c r="AL307" s="222"/>
      <c r="AM307" s="222"/>
      <c r="AN307" s="270">
        <f t="shared" si="82"/>
        <v>0</v>
      </c>
      <c r="AO307" s="271">
        <f t="shared" si="83"/>
        <v>0</v>
      </c>
      <c r="AP307" s="192"/>
      <c r="AQ307" s="271"/>
      <c r="AR307" s="192"/>
      <c r="AS307" s="271"/>
      <c r="AT307" s="45"/>
      <c r="AU307" s="36"/>
      <c r="AV307" s="36"/>
      <c r="AW307" s="36"/>
      <c r="AX307" s="36"/>
    </row>
    <row r="308" spans="1:50" x14ac:dyDescent="0.2">
      <c r="A308" s="11"/>
      <c r="B308" s="203"/>
      <c r="C308" s="184"/>
      <c r="D308" s="184"/>
      <c r="E308" s="213"/>
      <c r="F308" s="214"/>
      <c r="G308" s="222"/>
      <c r="H308" s="222"/>
      <c r="I308" s="222"/>
      <c r="J308" s="222"/>
      <c r="K308" s="222"/>
      <c r="L308" s="222"/>
      <c r="M308" s="222"/>
      <c r="N308" s="223"/>
      <c r="O308" s="222"/>
      <c r="P308" s="222"/>
      <c r="Q308" s="222"/>
      <c r="R308" s="222"/>
      <c r="S308" s="222"/>
      <c r="T308" s="223"/>
      <c r="U308" s="192">
        <f t="shared" si="80"/>
        <v>0</v>
      </c>
      <c r="V308" s="192">
        <f t="shared" si="80"/>
        <v>0</v>
      </c>
      <c r="W308" s="270">
        <f t="shared" si="81"/>
        <v>0</v>
      </c>
      <c r="X308" s="271">
        <f t="shared" si="81"/>
        <v>0</v>
      </c>
      <c r="Y308" s="307"/>
      <c r="Z308" s="308"/>
      <c r="AA308" s="276"/>
      <c r="AB308" s="186"/>
      <c r="AC308" s="281" t="s">
        <v>135</v>
      </c>
      <c r="AD308" s="187">
        <f>'D.  Capital Asset Disposal'!M206</f>
        <v>0</v>
      </c>
      <c r="AE308" s="185"/>
      <c r="AF308" s="277" t="str">
        <f>'E. Debt Service'!$D$81</f>
        <v>E.1</v>
      </c>
      <c r="AG308" s="185">
        <f>'E. Debt Service'!N89</f>
        <v>0</v>
      </c>
      <c r="AH308" s="278"/>
      <c r="AI308" s="185"/>
      <c r="AJ308" s="277"/>
      <c r="AK308" s="186"/>
      <c r="AL308" s="222"/>
      <c r="AM308" s="222"/>
      <c r="AN308" s="270">
        <f t="shared" si="82"/>
        <v>0</v>
      </c>
      <c r="AO308" s="271">
        <f t="shared" si="83"/>
        <v>0</v>
      </c>
      <c r="AP308" s="192"/>
      <c r="AQ308" s="271"/>
      <c r="AR308" s="192"/>
      <c r="AS308" s="271"/>
      <c r="AT308" s="45"/>
      <c r="AU308" s="36"/>
      <c r="AV308" s="36"/>
      <c r="AW308" s="36"/>
      <c r="AX308" s="36"/>
    </row>
    <row r="309" spans="1:50" s="493" customFormat="1" x14ac:dyDescent="0.2">
      <c r="A309" s="498"/>
      <c r="B309" s="203"/>
      <c r="C309" s="184"/>
      <c r="D309" s="184"/>
      <c r="E309" s="213"/>
      <c r="F309" s="214"/>
      <c r="G309" s="222"/>
      <c r="H309" s="222"/>
      <c r="I309" s="222"/>
      <c r="J309" s="222"/>
      <c r="K309" s="222"/>
      <c r="L309" s="222"/>
      <c r="M309" s="222"/>
      <c r="N309" s="223"/>
      <c r="O309" s="222"/>
      <c r="P309" s="222"/>
      <c r="Q309" s="222"/>
      <c r="R309" s="222"/>
      <c r="S309" s="222"/>
      <c r="T309" s="223"/>
      <c r="U309" s="192"/>
      <c r="V309" s="192"/>
      <c r="W309" s="270"/>
      <c r="X309" s="271"/>
      <c r="Y309" s="307"/>
      <c r="Z309" s="308"/>
      <c r="AA309" s="276"/>
      <c r="AB309" s="186"/>
      <c r="AC309" s="277" t="s">
        <v>1096</v>
      </c>
      <c r="AD309" s="185">
        <f>'J. GASB 68 TSERS'!C99</f>
        <v>0</v>
      </c>
      <c r="AE309" s="185"/>
      <c r="AF309" s="277" t="s">
        <v>1096</v>
      </c>
      <c r="AG309" s="185">
        <f>'J. GASB 68 TSERS'!D99</f>
        <v>0</v>
      </c>
      <c r="AH309" s="278"/>
      <c r="AI309" s="185"/>
      <c r="AJ309" s="277"/>
      <c r="AK309" s="186"/>
      <c r="AL309" s="222"/>
      <c r="AM309" s="222"/>
      <c r="AN309" s="270">
        <f t="shared" si="82"/>
        <v>0</v>
      </c>
      <c r="AO309" s="271">
        <f t="shared" si="83"/>
        <v>0</v>
      </c>
      <c r="AP309" s="192"/>
      <c r="AQ309" s="271"/>
      <c r="AR309" s="192"/>
      <c r="AS309" s="271"/>
      <c r="AT309" s="45"/>
      <c r="AU309" s="36"/>
      <c r="AV309" s="36"/>
      <c r="AW309" s="36"/>
      <c r="AX309" s="36"/>
    </row>
    <row r="310" spans="1:50" s="632" customFormat="1" x14ac:dyDescent="0.2">
      <c r="A310" s="634"/>
      <c r="B310" s="203"/>
      <c r="C310" s="184"/>
      <c r="D310" s="184"/>
      <c r="E310" s="213"/>
      <c r="F310" s="214"/>
      <c r="G310" s="222"/>
      <c r="H310" s="222"/>
      <c r="I310" s="222"/>
      <c r="J310" s="222"/>
      <c r="K310" s="222"/>
      <c r="L310" s="222"/>
      <c r="M310" s="222"/>
      <c r="N310" s="223"/>
      <c r="O310" s="222"/>
      <c r="P310" s="222"/>
      <c r="Q310" s="222"/>
      <c r="R310" s="222"/>
      <c r="S310" s="222"/>
      <c r="T310" s="223"/>
      <c r="U310" s="192"/>
      <c r="V310" s="192"/>
      <c r="W310" s="270"/>
      <c r="X310" s="271"/>
      <c r="Y310" s="307"/>
      <c r="Z310" s="308"/>
      <c r="AA310" s="276"/>
      <c r="AB310" s="186"/>
      <c r="AC310" s="691" t="s">
        <v>1534</v>
      </c>
      <c r="AD310" s="185">
        <f>'K. GASB 75 RHBF'!C99</f>
        <v>0</v>
      </c>
      <c r="AE310" s="185"/>
      <c r="AF310" s="277"/>
      <c r="AG310" s="185"/>
      <c r="AH310" s="278"/>
      <c r="AI310" s="185"/>
      <c r="AJ310" s="277"/>
      <c r="AK310" s="186"/>
      <c r="AL310" s="222"/>
      <c r="AM310" s="222"/>
      <c r="AN310" s="270">
        <f t="shared" si="82"/>
        <v>0</v>
      </c>
      <c r="AO310" s="271">
        <f t="shared" si="83"/>
        <v>0</v>
      </c>
      <c r="AP310" s="192"/>
      <c r="AQ310" s="271"/>
      <c r="AR310" s="192"/>
      <c r="AS310" s="271"/>
      <c r="AT310" s="45"/>
      <c r="AU310" s="36"/>
      <c r="AV310" s="36"/>
      <c r="AW310" s="36"/>
      <c r="AX310" s="36"/>
    </row>
    <row r="311" spans="1:50" ht="3.75" customHeight="1" x14ac:dyDescent="0.2">
      <c r="A311" s="322"/>
      <c r="B311" s="314"/>
      <c r="C311" s="314"/>
      <c r="D311" s="314"/>
      <c r="E311" s="310"/>
      <c r="F311" s="416"/>
      <c r="G311" s="304"/>
      <c r="H311" s="304"/>
      <c r="I311" s="304"/>
      <c r="J311" s="304"/>
      <c r="K311" s="304"/>
      <c r="L311" s="304"/>
      <c r="M311" s="304"/>
      <c r="N311" s="417"/>
      <c r="O311" s="304"/>
      <c r="P311" s="304"/>
      <c r="Q311" s="304"/>
      <c r="R311" s="304"/>
      <c r="S311" s="304"/>
      <c r="T311" s="417"/>
      <c r="U311" s="192"/>
      <c r="V311" s="192"/>
      <c r="W311" s="270"/>
      <c r="X311" s="271"/>
      <c r="Y311" s="303"/>
      <c r="Z311" s="304"/>
      <c r="AA311" s="269"/>
      <c r="AB311" s="137"/>
      <c r="AC311" s="284"/>
      <c r="AE311" s="45"/>
      <c r="AF311" s="265"/>
      <c r="AG311" s="45"/>
      <c r="AH311" s="264"/>
      <c r="AI311" s="45"/>
      <c r="AJ311" s="265"/>
      <c r="AK311" s="137"/>
      <c r="AL311" s="218"/>
      <c r="AM311" s="218"/>
      <c r="AN311" s="270"/>
      <c r="AO311" s="271"/>
      <c r="AP311" s="192"/>
      <c r="AQ311" s="271"/>
      <c r="AR311" s="192"/>
      <c r="AS311" s="271"/>
      <c r="AT311" s="45"/>
      <c r="AU311" s="36"/>
      <c r="AV311" s="36"/>
      <c r="AW311" s="36"/>
      <c r="AX311" s="36"/>
    </row>
    <row r="312" spans="1:50" x14ac:dyDescent="0.2">
      <c r="A312" s="11"/>
      <c r="B312" s="203" t="s">
        <v>520</v>
      </c>
      <c r="C312" s="184"/>
      <c r="D312" s="184"/>
      <c r="E312" s="213"/>
      <c r="F312" s="214"/>
      <c r="G312" s="222"/>
      <c r="H312" s="222"/>
      <c r="I312" s="222"/>
      <c r="J312" s="222"/>
      <c r="K312" s="222"/>
      <c r="L312" s="222"/>
      <c r="M312" s="222"/>
      <c r="N312" s="223"/>
      <c r="O312" s="222"/>
      <c r="P312" s="222"/>
      <c r="Q312" s="222"/>
      <c r="R312" s="222"/>
      <c r="S312" s="222"/>
      <c r="T312" s="223"/>
      <c r="U312" s="192">
        <f t="shared" ref="U312:V315" si="84">O312+Q312+S312</f>
        <v>0</v>
      </c>
      <c r="V312" s="192">
        <f t="shared" si="84"/>
        <v>0</v>
      </c>
      <c r="W312" s="270">
        <f t="shared" ref="W312:X315" si="85">E312+G312+I312+K312+M312+U312</f>
        <v>0</v>
      </c>
      <c r="X312" s="271">
        <f t="shared" si="85"/>
        <v>0</v>
      </c>
      <c r="Y312" s="307"/>
      <c r="Z312" s="308"/>
      <c r="AA312" s="276"/>
      <c r="AB312" s="186"/>
      <c r="AC312" s="277" t="str">
        <f>'B. Depreciation'!A54</f>
        <v>B.1</v>
      </c>
      <c r="AD312" s="185">
        <f>'B. Depreciation'!J61</f>
        <v>0</v>
      </c>
      <c r="AE312" s="185"/>
      <c r="AF312" s="277" t="str">
        <f>'C. Capital Outlay &amp; Donations'!$D$100</f>
        <v>C.1</v>
      </c>
      <c r="AG312" s="185">
        <f>'C. Capital Outlay &amp; Donations'!M115</f>
        <v>0</v>
      </c>
      <c r="AH312" s="278" t="str">
        <f>'I. Eliminations-Consolidations'!A250</f>
        <v>I.7</v>
      </c>
      <c r="AI312" s="185">
        <f>'I. Eliminations-Consolidations'!J257</f>
        <v>0</v>
      </c>
      <c r="AJ312" s="277"/>
      <c r="AK312" s="186"/>
      <c r="AL312" s="222"/>
      <c r="AM312" s="222"/>
      <c r="AN312" s="270">
        <f t="shared" ref="AN312:AN317" si="86">W312+Y312+AA312+AD312+AI312+AL312</f>
        <v>0</v>
      </c>
      <c r="AO312" s="271">
        <f t="shared" ref="AO312:AO317" si="87">X312+Z312+AB312+AG312+AK312+AM312</f>
        <v>0</v>
      </c>
      <c r="AP312" s="192" t="str">
        <f>IF(SUM(AN312:AN317)-SUM(AO312:AO317)&lt;=0, " ",SUM(AN312:AN317)-SUM(AO312:AO317))</f>
        <v xml:space="preserve"> </v>
      </c>
      <c r="AQ312" s="271" t="str">
        <f>IF(SUM(AN312:AN316)-SUM(AO312:AO316)&gt;=0, " ", SUM(AO312:AO316)-SUM(AN312:AN316))</f>
        <v xml:space="preserve"> </v>
      </c>
      <c r="AR312" s="192"/>
      <c r="AS312" s="271"/>
      <c r="AT312" s="45"/>
      <c r="AU312" s="36"/>
      <c r="AV312" s="36"/>
      <c r="AW312" s="36"/>
      <c r="AX312" s="36"/>
    </row>
    <row r="313" spans="1:50" x14ac:dyDescent="0.2">
      <c r="A313" s="11"/>
      <c r="B313" s="203"/>
      <c r="C313" s="184"/>
      <c r="D313" s="184"/>
      <c r="E313" s="213"/>
      <c r="F313" s="214"/>
      <c r="G313" s="222"/>
      <c r="H313" s="222"/>
      <c r="I313" s="222"/>
      <c r="J313" s="222"/>
      <c r="K313" s="222"/>
      <c r="L313" s="222"/>
      <c r="M313" s="222"/>
      <c r="N313" s="223"/>
      <c r="O313" s="222"/>
      <c r="P313" s="222"/>
      <c r="Q313" s="222"/>
      <c r="R313" s="222"/>
      <c r="S313" s="222"/>
      <c r="T313" s="223"/>
      <c r="U313" s="192">
        <f t="shared" si="84"/>
        <v>0</v>
      </c>
      <c r="V313" s="192">
        <f t="shared" si="84"/>
        <v>0</v>
      </c>
      <c r="W313" s="270">
        <f t="shared" si="85"/>
        <v>0</v>
      </c>
      <c r="X313" s="271">
        <f t="shared" si="85"/>
        <v>0</v>
      </c>
      <c r="Y313" s="307"/>
      <c r="Z313" s="308"/>
      <c r="AA313" s="276"/>
      <c r="AB313" s="186"/>
      <c r="AC313" s="277" t="str">
        <f>'H. Other Liabilities &amp; Expenses'!$D$235</f>
        <v>H.1</v>
      </c>
      <c r="AD313" s="185">
        <f>'H. Other Liabilities &amp; Expenses'!L242</f>
        <v>0</v>
      </c>
      <c r="AE313" s="185"/>
      <c r="AF313" s="283" t="str">
        <f>'G.  Other Asset Entries'!$B$90</f>
        <v>G.1</v>
      </c>
      <c r="AG313" s="185">
        <f>'G.  Other Asset Entries'!N101</f>
        <v>0</v>
      </c>
      <c r="AH313" s="278"/>
      <c r="AI313" s="185"/>
      <c r="AJ313" s="277"/>
      <c r="AK313" s="186"/>
      <c r="AL313" s="222"/>
      <c r="AM313" s="222"/>
      <c r="AN313" s="270">
        <f t="shared" si="86"/>
        <v>0</v>
      </c>
      <c r="AO313" s="271">
        <f t="shared" si="87"/>
        <v>0</v>
      </c>
      <c r="AP313" s="192"/>
      <c r="AQ313" s="271"/>
      <c r="AR313" s="192"/>
      <c r="AS313" s="271"/>
      <c r="AT313" s="45"/>
      <c r="AU313" s="36"/>
      <c r="AV313" s="36"/>
      <c r="AW313" s="36"/>
      <c r="AX313" s="36"/>
    </row>
    <row r="314" spans="1:50" x14ac:dyDescent="0.2">
      <c r="A314" s="11"/>
      <c r="B314" s="203"/>
      <c r="C314" s="184"/>
      <c r="D314" s="184"/>
      <c r="E314" s="213"/>
      <c r="F314" s="214"/>
      <c r="G314" s="222"/>
      <c r="H314" s="222"/>
      <c r="I314" s="222"/>
      <c r="J314" s="222"/>
      <c r="K314" s="222"/>
      <c r="L314" s="222"/>
      <c r="M314" s="222"/>
      <c r="N314" s="223"/>
      <c r="O314" s="222"/>
      <c r="P314" s="222"/>
      <c r="Q314" s="222"/>
      <c r="R314" s="222"/>
      <c r="S314" s="222"/>
      <c r="T314" s="223"/>
      <c r="U314" s="192">
        <f t="shared" si="84"/>
        <v>0</v>
      </c>
      <c r="V314" s="192">
        <f t="shared" si="84"/>
        <v>0</v>
      </c>
      <c r="W314" s="270">
        <f t="shared" si="85"/>
        <v>0</v>
      </c>
      <c r="X314" s="271">
        <f t="shared" si="85"/>
        <v>0</v>
      </c>
      <c r="Y314" s="307"/>
      <c r="Z314" s="308"/>
      <c r="AA314" s="276"/>
      <c r="AB314" s="186"/>
      <c r="AC314" s="277" t="str">
        <f>'C. Capital Outlay &amp; Donations'!D130</f>
        <v>C.2</v>
      </c>
      <c r="AD314" s="187">
        <f>'C. Capital Outlay &amp; Donations'!K139</f>
        <v>0</v>
      </c>
      <c r="AE314" s="185"/>
      <c r="AF314" s="277" t="str">
        <f>'H. Other Liabilities &amp; Expenses'!$D$235</f>
        <v>H.1</v>
      </c>
      <c r="AG314" s="185">
        <f>'H. Other Liabilities &amp; Expenses'!N242</f>
        <v>0</v>
      </c>
      <c r="AH314" s="278"/>
      <c r="AI314" s="185"/>
      <c r="AJ314" s="277"/>
      <c r="AK314" s="186"/>
      <c r="AL314" s="222"/>
      <c r="AM314" s="222"/>
      <c r="AN314" s="270">
        <f t="shared" si="86"/>
        <v>0</v>
      </c>
      <c r="AO314" s="271">
        <f t="shared" si="87"/>
        <v>0</v>
      </c>
      <c r="AP314" s="192"/>
      <c r="AQ314" s="271"/>
      <c r="AR314" s="192"/>
      <c r="AS314" s="271"/>
      <c r="AT314" s="45"/>
      <c r="AU314" s="36"/>
      <c r="AV314" s="36"/>
      <c r="AW314" s="36"/>
      <c r="AX314" s="36"/>
    </row>
    <row r="315" spans="1:50" x14ac:dyDescent="0.2">
      <c r="A315" s="11"/>
      <c r="B315" s="203"/>
      <c r="C315" s="184"/>
      <c r="D315" s="184"/>
      <c r="E315" s="213"/>
      <c r="F315" s="214"/>
      <c r="G315" s="222"/>
      <c r="H315" s="222"/>
      <c r="I315" s="222"/>
      <c r="J315" s="222"/>
      <c r="K315" s="222"/>
      <c r="L315" s="222"/>
      <c r="M315" s="222"/>
      <c r="N315" s="223"/>
      <c r="O315" s="222"/>
      <c r="P315" s="222"/>
      <c r="Q315" s="222"/>
      <c r="R315" s="222"/>
      <c r="S315" s="222"/>
      <c r="T315" s="223"/>
      <c r="U315" s="192">
        <f t="shared" si="84"/>
        <v>0</v>
      </c>
      <c r="V315" s="192">
        <f t="shared" si="84"/>
        <v>0</v>
      </c>
      <c r="W315" s="270">
        <f t="shared" si="85"/>
        <v>0</v>
      </c>
      <c r="X315" s="271">
        <f t="shared" si="85"/>
        <v>0</v>
      </c>
      <c r="Y315" s="307"/>
      <c r="Z315" s="308"/>
      <c r="AA315" s="276"/>
      <c r="AB315" s="186"/>
      <c r="AC315" s="277" t="s">
        <v>135</v>
      </c>
      <c r="AD315" s="185">
        <f>'D.  Capital Asset Disposal'!M207</f>
        <v>0</v>
      </c>
      <c r="AE315" s="185"/>
      <c r="AF315" s="277" t="str">
        <f>'E. Debt Service'!$D$81</f>
        <v>E.1</v>
      </c>
      <c r="AG315" s="185">
        <f>'E. Debt Service'!N90</f>
        <v>0</v>
      </c>
      <c r="AH315" s="278"/>
      <c r="AI315" s="185"/>
      <c r="AJ315" s="277"/>
      <c r="AK315" s="186"/>
      <c r="AL315" s="222"/>
      <c r="AM315" s="222"/>
      <c r="AN315" s="270">
        <f t="shared" si="86"/>
        <v>0</v>
      </c>
      <c r="AO315" s="271">
        <f t="shared" si="87"/>
        <v>0</v>
      </c>
      <c r="AP315" s="192"/>
      <c r="AQ315" s="271"/>
      <c r="AR315" s="192"/>
      <c r="AS315" s="271"/>
      <c r="AT315" s="45"/>
      <c r="AU315" s="36"/>
      <c r="AV315" s="36"/>
      <c r="AW315" s="36"/>
      <c r="AX315" s="36"/>
    </row>
    <row r="316" spans="1:50" s="493" customFormat="1" x14ac:dyDescent="0.2">
      <c r="A316" s="498"/>
      <c r="B316" s="203"/>
      <c r="C316" s="184"/>
      <c r="D316" s="184"/>
      <c r="E316" s="213"/>
      <c r="F316" s="214"/>
      <c r="G316" s="222"/>
      <c r="H316" s="222"/>
      <c r="I316" s="222"/>
      <c r="J316" s="222"/>
      <c r="K316" s="222"/>
      <c r="L316" s="222"/>
      <c r="M316" s="222"/>
      <c r="N316" s="223"/>
      <c r="O316" s="222"/>
      <c r="P316" s="222"/>
      <c r="Q316" s="222"/>
      <c r="R316" s="222"/>
      <c r="S316" s="222"/>
      <c r="T316" s="223"/>
      <c r="U316" s="192"/>
      <c r="V316" s="192"/>
      <c r="W316" s="270"/>
      <c r="X316" s="271"/>
      <c r="Y316" s="307"/>
      <c r="Z316" s="308"/>
      <c r="AA316" s="276"/>
      <c r="AB316" s="186"/>
      <c r="AC316" s="277" t="s">
        <v>1096</v>
      </c>
      <c r="AD316" s="185">
        <f>'J. GASB 68 TSERS'!C100</f>
        <v>0</v>
      </c>
      <c r="AE316" s="185"/>
      <c r="AF316" s="277" t="s">
        <v>1096</v>
      </c>
      <c r="AG316" s="185">
        <f>'J. GASB 68 TSERS'!D100</f>
        <v>0</v>
      </c>
      <c r="AH316" s="278"/>
      <c r="AI316" s="185"/>
      <c r="AJ316" s="277"/>
      <c r="AK316" s="186"/>
      <c r="AL316" s="222"/>
      <c r="AM316" s="222"/>
      <c r="AN316" s="270">
        <f t="shared" si="86"/>
        <v>0</v>
      </c>
      <c r="AO316" s="271">
        <f t="shared" si="87"/>
        <v>0</v>
      </c>
      <c r="AP316" s="192"/>
      <c r="AQ316" s="271"/>
      <c r="AR316" s="192"/>
      <c r="AS316" s="271"/>
      <c r="AT316" s="45"/>
      <c r="AU316" s="36"/>
      <c r="AV316" s="36"/>
      <c r="AW316" s="36"/>
      <c r="AX316" s="36"/>
    </row>
    <row r="317" spans="1:50" s="632" customFormat="1" x14ac:dyDescent="0.2">
      <c r="A317" s="634"/>
      <c r="B317" s="203"/>
      <c r="C317" s="184"/>
      <c r="D317" s="184"/>
      <c r="E317" s="213"/>
      <c r="F317" s="214"/>
      <c r="G317" s="222"/>
      <c r="H317" s="222"/>
      <c r="I317" s="222"/>
      <c r="J317" s="222"/>
      <c r="K317" s="222"/>
      <c r="L317" s="222"/>
      <c r="M317" s="222"/>
      <c r="N317" s="223"/>
      <c r="O317" s="222"/>
      <c r="P317" s="222"/>
      <c r="Q317" s="222"/>
      <c r="R317" s="222"/>
      <c r="S317" s="222"/>
      <c r="T317" s="223"/>
      <c r="U317" s="192"/>
      <c r="V317" s="192"/>
      <c r="W317" s="270"/>
      <c r="X317" s="271"/>
      <c r="Y317" s="307"/>
      <c r="Z317" s="308"/>
      <c r="AA317" s="276"/>
      <c r="AB317" s="186"/>
      <c r="AC317" s="691" t="s">
        <v>1534</v>
      </c>
      <c r="AD317" s="185">
        <f>'K. GASB 75 RHBF'!C100</f>
        <v>0</v>
      </c>
      <c r="AE317" s="185"/>
      <c r="AF317" s="277"/>
      <c r="AG317" s="185"/>
      <c r="AH317" s="278"/>
      <c r="AI317" s="185"/>
      <c r="AJ317" s="277"/>
      <c r="AK317" s="186"/>
      <c r="AL317" s="222"/>
      <c r="AM317" s="222"/>
      <c r="AN317" s="270">
        <f t="shared" si="86"/>
        <v>0</v>
      </c>
      <c r="AO317" s="271">
        <f t="shared" si="87"/>
        <v>0</v>
      </c>
      <c r="AP317" s="192"/>
      <c r="AQ317" s="271"/>
      <c r="AR317" s="192"/>
      <c r="AS317" s="271"/>
      <c r="AT317" s="45"/>
      <c r="AU317" s="36"/>
      <c r="AV317" s="36"/>
      <c r="AW317" s="36"/>
      <c r="AX317" s="36"/>
    </row>
    <row r="318" spans="1:50" ht="3.75" customHeight="1" x14ac:dyDescent="0.2">
      <c r="A318" s="314"/>
      <c r="B318" s="314"/>
      <c r="C318" s="314"/>
      <c r="D318" s="314"/>
      <c r="E318" s="310"/>
      <c r="F318" s="416"/>
      <c r="G318" s="304"/>
      <c r="H318" s="304"/>
      <c r="I318" s="304"/>
      <c r="J318" s="304"/>
      <c r="K318" s="304"/>
      <c r="L318" s="304"/>
      <c r="M318" s="304"/>
      <c r="N318" s="417"/>
      <c r="O318" s="304"/>
      <c r="P318" s="304"/>
      <c r="Q318" s="304"/>
      <c r="R318" s="304"/>
      <c r="S318" s="304"/>
      <c r="T318" s="417"/>
      <c r="U318" s="192"/>
      <c r="V318" s="192"/>
      <c r="W318" s="270"/>
      <c r="X318" s="271"/>
      <c r="Y318" s="303"/>
      <c r="Z318" s="304"/>
      <c r="AA318" s="269"/>
      <c r="AB318" s="137"/>
      <c r="AC318" s="284"/>
      <c r="AE318" s="45"/>
      <c r="AF318" s="265"/>
      <c r="AG318" s="45"/>
      <c r="AH318" s="264"/>
      <c r="AI318" s="45"/>
      <c r="AJ318" s="265"/>
      <c r="AK318" s="137"/>
      <c r="AL318" s="218"/>
      <c r="AM318" s="218"/>
      <c r="AN318" s="270"/>
      <c r="AO318" s="271"/>
      <c r="AP318" s="192"/>
      <c r="AQ318" s="271"/>
      <c r="AR318" s="192"/>
      <c r="AS318" s="271"/>
      <c r="AT318" s="45"/>
      <c r="AU318" s="36"/>
      <c r="AV318" s="36"/>
      <c r="AW318" s="36"/>
      <c r="AX318" s="36"/>
    </row>
    <row r="319" spans="1:50" x14ac:dyDescent="0.2">
      <c r="B319" s="203" t="s">
        <v>521</v>
      </c>
      <c r="C319" s="184"/>
      <c r="D319" s="184"/>
      <c r="E319" s="213"/>
      <c r="F319" s="214"/>
      <c r="G319" s="222"/>
      <c r="H319" s="222"/>
      <c r="I319" s="222"/>
      <c r="J319" s="222"/>
      <c r="K319" s="222"/>
      <c r="L319" s="222"/>
      <c r="M319" s="222"/>
      <c r="N319" s="223"/>
      <c r="O319" s="222"/>
      <c r="P319" s="222"/>
      <c r="Q319" s="222"/>
      <c r="R319" s="222"/>
      <c r="S319" s="222"/>
      <c r="T319" s="223"/>
      <c r="U319" s="192">
        <f t="shared" ref="U319:V322" si="88">O319+Q319+S319</f>
        <v>0</v>
      </c>
      <c r="V319" s="192">
        <f t="shared" si="88"/>
        <v>0</v>
      </c>
      <c r="W319" s="270">
        <f t="shared" ref="W319:X322" si="89">E319+G319+I319+K319+M319+U319</f>
        <v>0</v>
      </c>
      <c r="X319" s="271">
        <f t="shared" si="89"/>
        <v>0</v>
      </c>
      <c r="Y319" s="307"/>
      <c r="Z319" s="308"/>
      <c r="AA319" s="276"/>
      <c r="AB319" s="186"/>
      <c r="AC319" s="281" t="str">
        <f>'B. Depreciation'!A54</f>
        <v>B.1</v>
      </c>
      <c r="AD319" s="187">
        <f>'B. Depreciation'!J62</f>
        <v>0</v>
      </c>
      <c r="AE319" s="185"/>
      <c r="AF319" s="277" t="str">
        <f>'C. Capital Outlay &amp; Donations'!$D$100</f>
        <v>C.1</v>
      </c>
      <c r="AG319" s="185">
        <f>'C. Capital Outlay &amp; Donations'!M116</f>
        <v>0</v>
      </c>
      <c r="AH319" s="278" t="str">
        <f>'I. Eliminations-Consolidations'!A250</f>
        <v>I.7</v>
      </c>
      <c r="AI319" s="185">
        <f>'I. Eliminations-Consolidations'!J258</f>
        <v>0</v>
      </c>
      <c r="AJ319" s="277"/>
      <c r="AK319" s="186"/>
      <c r="AL319" s="222"/>
      <c r="AM319" s="222"/>
      <c r="AN319" s="270">
        <f t="shared" ref="AN319:AN324" si="90">W319+Y319+AA319+AD319+AI319+AL319</f>
        <v>0</v>
      </c>
      <c r="AO319" s="271">
        <f t="shared" ref="AO319:AO324" si="91">X319+Z319+AB319+AG319+AK319+AM319</f>
        <v>0</v>
      </c>
      <c r="AP319" s="192" t="str">
        <f>IF(SUM(AN319:AN324)-SUM(AO319:AO324)&lt;=0, " ",SUM(AN319:AN324)-SUM(AO319:AO324))</f>
        <v xml:space="preserve"> </v>
      </c>
      <c r="AQ319" s="271" t="str">
        <f>IF(SUM(AN319:AN323)-SUM(AO319:AO323)&gt;=0, " ", SUM(AO319:AO323)-SUM(AN319:AN323))</f>
        <v xml:space="preserve"> </v>
      </c>
      <c r="AR319" s="192"/>
      <c r="AS319" s="271"/>
      <c r="AT319" s="45"/>
      <c r="AU319" s="36"/>
      <c r="AV319" s="36"/>
      <c r="AW319" s="36"/>
      <c r="AX319" s="36"/>
    </row>
    <row r="320" spans="1:50" x14ac:dyDescent="0.2">
      <c r="B320" s="184"/>
      <c r="C320" s="184"/>
      <c r="D320" s="184"/>
      <c r="E320" s="213"/>
      <c r="F320" s="214"/>
      <c r="G320" s="222"/>
      <c r="H320" s="222"/>
      <c r="I320" s="222"/>
      <c r="J320" s="222"/>
      <c r="K320" s="222"/>
      <c r="L320" s="222"/>
      <c r="M320" s="222"/>
      <c r="N320" s="223"/>
      <c r="O320" s="222"/>
      <c r="P320" s="222"/>
      <c r="Q320" s="222"/>
      <c r="R320" s="222"/>
      <c r="S320" s="222"/>
      <c r="T320" s="223"/>
      <c r="U320" s="192">
        <f t="shared" si="88"/>
        <v>0</v>
      </c>
      <c r="V320" s="192">
        <f t="shared" si="88"/>
        <v>0</v>
      </c>
      <c r="W320" s="270">
        <f t="shared" si="89"/>
        <v>0</v>
      </c>
      <c r="X320" s="271">
        <f t="shared" si="89"/>
        <v>0</v>
      </c>
      <c r="Y320" s="307"/>
      <c r="Z320" s="308"/>
      <c r="AA320" s="276"/>
      <c r="AB320" s="186"/>
      <c r="AC320" s="277" t="str">
        <f>'H. Other Liabilities &amp; Expenses'!$D$235</f>
        <v>H.1</v>
      </c>
      <c r="AD320" s="187">
        <f>'H. Other Liabilities &amp; Expenses'!L243</f>
        <v>0</v>
      </c>
      <c r="AE320" s="185"/>
      <c r="AF320" s="283" t="str">
        <f>'G.  Other Asset Entries'!$B$90</f>
        <v>G.1</v>
      </c>
      <c r="AG320" s="185">
        <f>'G.  Other Asset Entries'!N102</f>
        <v>0</v>
      </c>
      <c r="AH320" s="278"/>
      <c r="AI320" s="185"/>
      <c r="AJ320" s="277"/>
      <c r="AK320" s="186"/>
      <c r="AL320" s="222"/>
      <c r="AM320" s="222"/>
      <c r="AN320" s="270">
        <f t="shared" si="90"/>
        <v>0</v>
      </c>
      <c r="AO320" s="271">
        <f t="shared" si="91"/>
        <v>0</v>
      </c>
      <c r="AP320" s="192"/>
      <c r="AQ320" s="271"/>
      <c r="AR320" s="192"/>
      <c r="AS320" s="271"/>
      <c r="AT320" s="45"/>
      <c r="AU320" s="36"/>
      <c r="AV320" s="36"/>
      <c r="AW320" s="36"/>
      <c r="AX320" s="36"/>
    </row>
    <row r="321" spans="1:50" x14ac:dyDescent="0.2">
      <c r="B321" s="184"/>
      <c r="C321" s="184"/>
      <c r="D321" s="184"/>
      <c r="E321" s="213"/>
      <c r="F321" s="214"/>
      <c r="G321" s="222"/>
      <c r="H321" s="222"/>
      <c r="I321" s="222"/>
      <c r="J321" s="222"/>
      <c r="K321" s="222"/>
      <c r="L321" s="222"/>
      <c r="M321" s="222"/>
      <c r="N321" s="223"/>
      <c r="O321" s="222"/>
      <c r="P321" s="222"/>
      <c r="Q321" s="222"/>
      <c r="R321" s="222"/>
      <c r="S321" s="222"/>
      <c r="T321" s="223"/>
      <c r="U321" s="192">
        <f t="shared" si="88"/>
        <v>0</v>
      </c>
      <c r="V321" s="192">
        <f t="shared" si="88"/>
        <v>0</v>
      </c>
      <c r="W321" s="270">
        <f t="shared" si="89"/>
        <v>0</v>
      </c>
      <c r="X321" s="271">
        <f t="shared" si="89"/>
        <v>0</v>
      </c>
      <c r="Y321" s="307"/>
      <c r="Z321" s="308"/>
      <c r="AA321" s="276"/>
      <c r="AB321" s="186"/>
      <c r="AC321" s="277" t="str">
        <f>'C. Capital Outlay &amp; Donations'!D130</f>
        <v>C.2</v>
      </c>
      <c r="AD321" s="187">
        <f>'C. Capital Outlay &amp; Donations'!K140</f>
        <v>0</v>
      </c>
      <c r="AE321" s="185"/>
      <c r="AF321" s="277" t="str">
        <f>'H. Other Liabilities &amp; Expenses'!$D$235</f>
        <v>H.1</v>
      </c>
      <c r="AG321" s="185">
        <f>'H. Other Liabilities &amp; Expenses'!N243</f>
        <v>0</v>
      </c>
      <c r="AH321" s="278"/>
      <c r="AI321" s="185"/>
      <c r="AJ321" s="277"/>
      <c r="AK321" s="186"/>
      <c r="AL321" s="222"/>
      <c r="AM321" s="222"/>
      <c r="AN321" s="270">
        <f t="shared" si="90"/>
        <v>0</v>
      </c>
      <c r="AO321" s="271">
        <f t="shared" si="91"/>
        <v>0</v>
      </c>
      <c r="AP321" s="192"/>
      <c r="AQ321" s="271"/>
      <c r="AR321" s="192"/>
      <c r="AS321" s="271"/>
      <c r="AT321" s="45"/>
      <c r="AU321" s="36"/>
      <c r="AV321" s="36"/>
      <c r="AW321" s="36"/>
      <c r="AX321" s="36"/>
    </row>
    <row r="322" spans="1:50" x14ac:dyDescent="0.2">
      <c r="B322" s="184"/>
      <c r="C322" s="184"/>
      <c r="D322" s="184"/>
      <c r="E322" s="213"/>
      <c r="F322" s="214"/>
      <c r="G322" s="222"/>
      <c r="H322" s="222"/>
      <c r="I322" s="222"/>
      <c r="J322" s="222"/>
      <c r="K322" s="222"/>
      <c r="L322" s="222"/>
      <c r="M322" s="222"/>
      <c r="N322" s="223"/>
      <c r="O322" s="222"/>
      <c r="P322" s="222"/>
      <c r="Q322" s="222"/>
      <c r="R322" s="222"/>
      <c r="S322" s="222"/>
      <c r="T322" s="223"/>
      <c r="U322" s="192">
        <f t="shared" si="88"/>
        <v>0</v>
      </c>
      <c r="V322" s="192">
        <f t="shared" si="88"/>
        <v>0</v>
      </c>
      <c r="W322" s="270">
        <f t="shared" si="89"/>
        <v>0</v>
      </c>
      <c r="X322" s="271">
        <f t="shared" si="89"/>
        <v>0</v>
      </c>
      <c r="Y322" s="307"/>
      <c r="Z322" s="308"/>
      <c r="AA322" s="276"/>
      <c r="AB322" s="186"/>
      <c r="AC322" s="281" t="s">
        <v>135</v>
      </c>
      <c r="AD322" s="187">
        <f>'D.  Capital Asset Disposal'!M208</f>
        <v>0</v>
      </c>
      <c r="AE322" s="185"/>
      <c r="AF322" s="277" t="str">
        <f>'E. Debt Service'!$D$81</f>
        <v>E.1</v>
      </c>
      <c r="AG322" s="185">
        <f>'E. Debt Service'!N91</f>
        <v>0</v>
      </c>
      <c r="AH322" s="278"/>
      <c r="AI322" s="185"/>
      <c r="AJ322" s="277"/>
      <c r="AK322" s="186"/>
      <c r="AL322" s="222"/>
      <c r="AM322" s="222"/>
      <c r="AN322" s="270">
        <f t="shared" si="90"/>
        <v>0</v>
      </c>
      <c r="AO322" s="271">
        <f t="shared" si="91"/>
        <v>0</v>
      </c>
      <c r="AP322" s="192"/>
      <c r="AQ322" s="271"/>
      <c r="AR322" s="192"/>
      <c r="AS322" s="271"/>
      <c r="AT322" s="45"/>
      <c r="AU322" s="36"/>
      <c r="AV322" s="36"/>
      <c r="AW322" s="36"/>
      <c r="AX322" s="36"/>
    </row>
    <row r="323" spans="1:50" s="493" customFormat="1" x14ac:dyDescent="0.2">
      <c r="B323" s="184"/>
      <c r="C323" s="184"/>
      <c r="D323" s="184"/>
      <c r="E323" s="213"/>
      <c r="F323" s="214"/>
      <c r="G323" s="222"/>
      <c r="H323" s="222"/>
      <c r="I323" s="222"/>
      <c r="J323" s="222"/>
      <c r="K323" s="222"/>
      <c r="L323" s="222"/>
      <c r="M323" s="222"/>
      <c r="N323" s="223"/>
      <c r="O323" s="222"/>
      <c r="P323" s="222"/>
      <c r="Q323" s="222"/>
      <c r="R323" s="222"/>
      <c r="S323" s="222"/>
      <c r="T323" s="223"/>
      <c r="U323" s="192"/>
      <c r="V323" s="192"/>
      <c r="W323" s="270"/>
      <c r="X323" s="271"/>
      <c r="Y323" s="307"/>
      <c r="Z323" s="308"/>
      <c r="AA323" s="276"/>
      <c r="AB323" s="186"/>
      <c r="AC323" s="277" t="s">
        <v>1096</v>
      </c>
      <c r="AD323" s="185">
        <f>'J. GASB 68 TSERS'!C101</f>
        <v>0</v>
      </c>
      <c r="AE323" s="185"/>
      <c r="AF323" s="277" t="s">
        <v>1096</v>
      </c>
      <c r="AG323" s="185">
        <f>'J. GASB 68 TSERS'!D101</f>
        <v>0</v>
      </c>
      <c r="AH323" s="278"/>
      <c r="AI323" s="185"/>
      <c r="AJ323" s="277"/>
      <c r="AK323" s="186"/>
      <c r="AL323" s="222"/>
      <c r="AM323" s="222"/>
      <c r="AN323" s="270">
        <f t="shared" si="90"/>
        <v>0</v>
      </c>
      <c r="AO323" s="271">
        <f t="shared" si="91"/>
        <v>0</v>
      </c>
      <c r="AP323" s="192"/>
      <c r="AQ323" s="271"/>
      <c r="AR323" s="192"/>
      <c r="AS323" s="271"/>
      <c r="AT323" s="45"/>
      <c r="AU323" s="36"/>
      <c r="AV323" s="36"/>
      <c r="AW323" s="36"/>
      <c r="AX323" s="36"/>
    </row>
    <row r="324" spans="1:50" s="632" customFormat="1" x14ac:dyDescent="0.2">
      <c r="B324" s="184"/>
      <c r="C324" s="184"/>
      <c r="D324" s="184"/>
      <c r="E324" s="213"/>
      <c r="F324" s="214"/>
      <c r="G324" s="222"/>
      <c r="H324" s="222"/>
      <c r="I324" s="222"/>
      <c r="J324" s="222"/>
      <c r="K324" s="222"/>
      <c r="L324" s="222"/>
      <c r="M324" s="222"/>
      <c r="N324" s="223"/>
      <c r="O324" s="222"/>
      <c r="P324" s="222"/>
      <c r="Q324" s="222"/>
      <c r="R324" s="222"/>
      <c r="S324" s="222"/>
      <c r="T324" s="223"/>
      <c r="U324" s="192"/>
      <c r="V324" s="192"/>
      <c r="W324" s="270"/>
      <c r="X324" s="271"/>
      <c r="Y324" s="307"/>
      <c r="Z324" s="308"/>
      <c r="AA324" s="276"/>
      <c r="AB324" s="186"/>
      <c r="AC324" s="691" t="s">
        <v>1534</v>
      </c>
      <c r="AD324" s="185">
        <f>'K. GASB 75 RHBF'!C101</f>
        <v>0</v>
      </c>
      <c r="AE324" s="185"/>
      <c r="AF324" s="277"/>
      <c r="AG324" s="185"/>
      <c r="AH324" s="278"/>
      <c r="AI324" s="185"/>
      <c r="AJ324" s="277"/>
      <c r="AK324" s="186"/>
      <c r="AL324" s="222"/>
      <c r="AM324" s="222"/>
      <c r="AN324" s="270">
        <f t="shared" si="90"/>
        <v>0</v>
      </c>
      <c r="AO324" s="271">
        <f t="shared" si="91"/>
        <v>0</v>
      </c>
      <c r="AP324" s="192"/>
      <c r="AQ324" s="271"/>
      <c r="AR324" s="192"/>
      <c r="AS324" s="271"/>
      <c r="AT324" s="45"/>
      <c r="AU324" s="36"/>
      <c r="AV324" s="36"/>
      <c r="AW324" s="36"/>
      <c r="AX324" s="36"/>
    </row>
    <row r="325" spans="1:50" ht="4.5" customHeight="1" x14ac:dyDescent="0.2">
      <c r="A325" s="314"/>
      <c r="B325" s="314"/>
      <c r="C325" s="314"/>
      <c r="D325" s="314"/>
      <c r="E325" s="310"/>
      <c r="F325" s="416"/>
      <c r="G325" s="304"/>
      <c r="H325" s="304"/>
      <c r="I325" s="304"/>
      <c r="J325" s="304"/>
      <c r="K325" s="304"/>
      <c r="L325" s="304"/>
      <c r="M325" s="304"/>
      <c r="N325" s="417"/>
      <c r="O325" s="304"/>
      <c r="P325" s="304"/>
      <c r="Q325" s="304"/>
      <c r="R325" s="304"/>
      <c r="S325" s="304"/>
      <c r="T325" s="417"/>
      <c r="U325" s="192"/>
      <c r="V325" s="192"/>
      <c r="W325" s="270"/>
      <c r="X325" s="271"/>
      <c r="Y325" s="303"/>
      <c r="Z325" s="304"/>
      <c r="AA325" s="269"/>
      <c r="AB325" s="137"/>
      <c r="AC325" s="284"/>
      <c r="AE325" s="45"/>
      <c r="AF325" s="265"/>
      <c r="AG325" s="45"/>
      <c r="AH325" s="264"/>
      <c r="AI325" s="45"/>
      <c r="AJ325" s="265"/>
      <c r="AK325" s="137"/>
      <c r="AL325" s="218"/>
      <c r="AM325" s="218"/>
      <c r="AN325" s="270"/>
      <c r="AO325" s="271"/>
      <c r="AP325" s="192"/>
      <c r="AQ325" s="271"/>
      <c r="AR325" s="192"/>
      <c r="AS325" s="271"/>
      <c r="AT325" s="45"/>
      <c r="AU325" s="36"/>
      <c r="AV325" s="36"/>
      <c r="AW325" s="36"/>
      <c r="AX325" s="36"/>
    </row>
    <row r="326" spans="1:50" x14ac:dyDescent="0.2">
      <c r="B326" s="203" t="s">
        <v>514</v>
      </c>
      <c r="C326" s="184"/>
      <c r="D326" s="184"/>
      <c r="E326" s="213"/>
      <c r="F326" s="214"/>
      <c r="G326" s="222"/>
      <c r="H326" s="222"/>
      <c r="I326" s="222"/>
      <c r="J326" s="222"/>
      <c r="K326" s="222"/>
      <c r="L326" s="222"/>
      <c r="M326" s="222"/>
      <c r="N326" s="223"/>
      <c r="O326" s="222"/>
      <c r="P326" s="222"/>
      <c r="Q326" s="222"/>
      <c r="R326" s="222"/>
      <c r="S326" s="222"/>
      <c r="T326" s="223"/>
      <c r="U326" s="192">
        <f t="shared" ref="U326:V329" si="92">O326+Q326+S326</f>
        <v>0</v>
      </c>
      <c r="V326" s="192">
        <f t="shared" si="92"/>
        <v>0</v>
      </c>
      <c r="W326" s="270">
        <f t="shared" ref="W326:X329" si="93">E326+G326+I326+K326+M326+U326</f>
        <v>0</v>
      </c>
      <c r="X326" s="271">
        <f t="shared" si="93"/>
        <v>0</v>
      </c>
      <c r="Y326" s="307"/>
      <c r="Z326" s="308"/>
      <c r="AA326" s="276"/>
      <c r="AB326" s="186"/>
      <c r="AC326" s="281" t="str">
        <f>'B. Depreciation'!A54</f>
        <v>B.1</v>
      </c>
      <c r="AD326" s="187">
        <f>'B. Depreciation'!J63</f>
        <v>0</v>
      </c>
      <c r="AE326" s="185"/>
      <c r="AF326" s="277" t="str">
        <f>'C. Capital Outlay &amp; Donations'!$D$100</f>
        <v>C.1</v>
      </c>
      <c r="AG326" s="185">
        <f>'C. Capital Outlay &amp; Donations'!M117</f>
        <v>0</v>
      </c>
      <c r="AH326" s="278" t="str">
        <f>'I. Eliminations-Consolidations'!A250</f>
        <v>I.7</v>
      </c>
      <c r="AI326" s="185">
        <f>'I. Eliminations-Consolidations'!J259</f>
        <v>0</v>
      </c>
      <c r="AJ326" s="277"/>
      <c r="AK326" s="186"/>
      <c r="AL326" s="222"/>
      <c r="AM326" s="222"/>
      <c r="AN326" s="270">
        <f t="shared" ref="AN326:AN331" si="94">W326+Y326+AA326+AD326+AI326+AL326</f>
        <v>0</v>
      </c>
      <c r="AO326" s="271">
        <f t="shared" ref="AO326:AO331" si="95">X326+Z326+AB326+AG326+AK326+AM326</f>
        <v>0</v>
      </c>
      <c r="AP326" s="192" t="str">
        <f>IF(SUM(AN326:AN331)-SUM(AO326:AO331)&lt;=0, " ",SUM(AN326:AN331)-SUM(AO326:AO331))</f>
        <v xml:space="preserve"> </v>
      </c>
      <c r="AQ326" s="271" t="str">
        <f>IF(SUM(AN326:AN330)-SUM(AO326:AO330)&gt;=0, " ", SUM(AO326:AO330)-SUM(AN326:AN330))</f>
        <v xml:space="preserve"> </v>
      </c>
      <c r="AR326" s="192"/>
      <c r="AS326" s="271"/>
      <c r="AT326" s="45"/>
      <c r="AU326" s="36"/>
      <c r="AV326" s="36"/>
      <c r="AW326" s="36"/>
      <c r="AX326" s="36"/>
    </row>
    <row r="327" spans="1:50" x14ac:dyDescent="0.2">
      <c r="B327" s="184"/>
      <c r="C327" s="184"/>
      <c r="D327" s="184"/>
      <c r="E327" s="213"/>
      <c r="F327" s="214"/>
      <c r="G327" s="222"/>
      <c r="H327" s="222"/>
      <c r="I327" s="222"/>
      <c r="J327" s="222"/>
      <c r="K327" s="222"/>
      <c r="L327" s="222"/>
      <c r="M327" s="222"/>
      <c r="N327" s="223"/>
      <c r="O327" s="222"/>
      <c r="P327" s="222"/>
      <c r="Q327" s="222"/>
      <c r="R327" s="222"/>
      <c r="S327" s="222"/>
      <c r="T327" s="223"/>
      <c r="U327" s="192">
        <f t="shared" si="92"/>
        <v>0</v>
      </c>
      <c r="V327" s="192">
        <f t="shared" si="92"/>
        <v>0</v>
      </c>
      <c r="W327" s="270">
        <f t="shared" si="93"/>
        <v>0</v>
      </c>
      <c r="X327" s="271">
        <f t="shared" si="93"/>
        <v>0</v>
      </c>
      <c r="Y327" s="307"/>
      <c r="Z327" s="308"/>
      <c r="AA327" s="276"/>
      <c r="AB327" s="186"/>
      <c r="AC327" s="281" t="str">
        <f>'H. Other Liabilities &amp; Expenses'!D235</f>
        <v>H.1</v>
      </c>
      <c r="AD327" s="187">
        <f>'H. Other Liabilities &amp; Expenses'!L244</f>
        <v>0</v>
      </c>
      <c r="AE327" s="185"/>
      <c r="AF327" s="283" t="str">
        <f>'G.  Other Asset Entries'!$B$90</f>
        <v>G.1</v>
      </c>
      <c r="AG327" s="185">
        <f>'G.  Other Asset Entries'!N103</f>
        <v>0</v>
      </c>
      <c r="AH327" s="278"/>
      <c r="AI327" s="185"/>
      <c r="AJ327" s="277"/>
      <c r="AK327" s="186"/>
      <c r="AL327" s="222"/>
      <c r="AM327" s="222"/>
      <c r="AN327" s="270">
        <f t="shared" si="94"/>
        <v>0</v>
      </c>
      <c r="AO327" s="271">
        <f t="shared" si="95"/>
        <v>0</v>
      </c>
      <c r="AP327" s="192"/>
      <c r="AQ327" s="271"/>
      <c r="AR327" s="192"/>
      <c r="AS327" s="271"/>
      <c r="AT327" s="45"/>
      <c r="AU327" s="36"/>
      <c r="AV327" s="36"/>
      <c r="AW327" s="36"/>
      <c r="AX327" s="36"/>
    </row>
    <row r="328" spans="1:50" x14ac:dyDescent="0.2">
      <c r="B328" s="184"/>
      <c r="C328" s="184"/>
      <c r="D328" s="184"/>
      <c r="E328" s="213"/>
      <c r="F328" s="214"/>
      <c r="G328" s="222"/>
      <c r="H328" s="222"/>
      <c r="I328" s="222"/>
      <c r="J328" s="222"/>
      <c r="K328" s="222"/>
      <c r="L328" s="222"/>
      <c r="M328" s="222"/>
      <c r="N328" s="223"/>
      <c r="O328" s="222"/>
      <c r="P328" s="222"/>
      <c r="Q328" s="222"/>
      <c r="R328" s="222"/>
      <c r="S328" s="222"/>
      <c r="T328" s="223"/>
      <c r="U328" s="192">
        <f t="shared" si="92"/>
        <v>0</v>
      </c>
      <c r="V328" s="192">
        <f t="shared" si="92"/>
        <v>0</v>
      </c>
      <c r="W328" s="270">
        <f t="shared" si="93"/>
        <v>0</v>
      </c>
      <c r="X328" s="271">
        <f t="shared" si="93"/>
        <v>0</v>
      </c>
      <c r="Y328" s="307"/>
      <c r="Z328" s="308"/>
      <c r="AA328" s="276"/>
      <c r="AB328" s="186"/>
      <c r="AC328" s="277" t="str">
        <f>'C. Capital Outlay &amp; Donations'!D130</f>
        <v>C.2</v>
      </c>
      <c r="AD328" s="187">
        <f>'C. Capital Outlay &amp; Donations'!K141</f>
        <v>0</v>
      </c>
      <c r="AE328" s="185"/>
      <c r="AF328" s="277" t="str">
        <f>'H. Other Liabilities &amp; Expenses'!$D$235</f>
        <v>H.1</v>
      </c>
      <c r="AG328" s="185">
        <f>'H. Other Liabilities &amp; Expenses'!N244</f>
        <v>0</v>
      </c>
      <c r="AH328" s="278"/>
      <c r="AI328" s="185"/>
      <c r="AJ328" s="277"/>
      <c r="AK328" s="186"/>
      <c r="AL328" s="222"/>
      <c r="AM328" s="222"/>
      <c r="AN328" s="270">
        <f t="shared" si="94"/>
        <v>0</v>
      </c>
      <c r="AO328" s="271">
        <f t="shared" si="95"/>
        <v>0</v>
      </c>
      <c r="AP328" s="192"/>
      <c r="AQ328" s="271"/>
      <c r="AR328" s="192"/>
      <c r="AS328" s="271"/>
      <c r="AT328" s="45"/>
      <c r="AU328" s="36"/>
      <c r="AV328" s="36"/>
      <c r="AW328" s="36"/>
      <c r="AX328" s="36"/>
    </row>
    <row r="329" spans="1:50" x14ac:dyDescent="0.2">
      <c r="B329" s="184"/>
      <c r="C329" s="184"/>
      <c r="D329" s="184"/>
      <c r="E329" s="213"/>
      <c r="F329" s="214"/>
      <c r="G329" s="222"/>
      <c r="H329" s="222"/>
      <c r="I329" s="222"/>
      <c r="J329" s="222"/>
      <c r="K329" s="222"/>
      <c r="L329" s="222"/>
      <c r="M329" s="222"/>
      <c r="N329" s="223"/>
      <c r="O329" s="222"/>
      <c r="P329" s="222"/>
      <c r="Q329" s="222"/>
      <c r="R329" s="222"/>
      <c r="S329" s="222"/>
      <c r="T329" s="223"/>
      <c r="U329" s="192">
        <f t="shared" si="92"/>
        <v>0</v>
      </c>
      <c r="V329" s="192">
        <f t="shared" si="92"/>
        <v>0</v>
      </c>
      <c r="W329" s="270">
        <f t="shared" si="93"/>
        <v>0</v>
      </c>
      <c r="X329" s="271">
        <f t="shared" si="93"/>
        <v>0</v>
      </c>
      <c r="Y329" s="307"/>
      <c r="Z329" s="308"/>
      <c r="AA329" s="276"/>
      <c r="AB329" s="186"/>
      <c r="AC329" s="281" t="s">
        <v>135</v>
      </c>
      <c r="AD329" s="187">
        <f>'D.  Capital Asset Disposal'!M209</f>
        <v>0</v>
      </c>
      <c r="AE329" s="185"/>
      <c r="AF329" s="277" t="str">
        <f>'E. Debt Service'!$D$81</f>
        <v>E.1</v>
      </c>
      <c r="AG329" s="185">
        <f>'E. Debt Service'!N92</f>
        <v>0</v>
      </c>
      <c r="AH329" s="278"/>
      <c r="AI329" s="185"/>
      <c r="AJ329" s="277"/>
      <c r="AK329" s="186"/>
      <c r="AL329" s="222"/>
      <c r="AM329" s="222"/>
      <c r="AN329" s="270">
        <f t="shared" si="94"/>
        <v>0</v>
      </c>
      <c r="AO329" s="271">
        <f t="shared" si="95"/>
        <v>0</v>
      </c>
      <c r="AP329" s="192"/>
      <c r="AQ329" s="271"/>
      <c r="AR329" s="192"/>
      <c r="AS329" s="271"/>
      <c r="AT329" s="45"/>
      <c r="AU329" s="36"/>
      <c r="AV329" s="36"/>
      <c r="AW329" s="36"/>
      <c r="AX329" s="36"/>
    </row>
    <row r="330" spans="1:50" s="493" customFormat="1" x14ac:dyDescent="0.2">
      <c r="B330" s="184"/>
      <c r="C330" s="184"/>
      <c r="D330" s="184"/>
      <c r="E330" s="213"/>
      <c r="F330" s="214"/>
      <c r="G330" s="222"/>
      <c r="H330" s="222"/>
      <c r="I330" s="222"/>
      <c r="J330" s="222"/>
      <c r="K330" s="222"/>
      <c r="L330" s="222"/>
      <c r="M330" s="222"/>
      <c r="N330" s="223"/>
      <c r="O330" s="222"/>
      <c r="P330" s="222"/>
      <c r="Q330" s="222"/>
      <c r="R330" s="222"/>
      <c r="S330" s="222"/>
      <c r="T330" s="223"/>
      <c r="U330" s="192"/>
      <c r="V330" s="192"/>
      <c r="W330" s="270"/>
      <c r="X330" s="271"/>
      <c r="Y330" s="307"/>
      <c r="Z330" s="308"/>
      <c r="AA330" s="276"/>
      <c r="AB330" s="186"/>
      <c r="AC330" s="277" t="s">
        <v>1096</v>
      </c>
      <c r="AD330" s="185">
        <f>'J. GASB 68 TSERS'!C102</f>
        <v>0</v>
      </c>
      <c r="AE330" s="185"/>
      <c r="AF330" s="277" t="s">
        <v>1096</v>
      </c>
      <c r="AG330" s="185">
        <f>'J. GASB 68 TSERS'!D102</f>
        <v>0</v>
      </c>
      <c r="AH330" s="278"/>
      <c r="AI330" s="185"/>
      <c r="AJ330" s="277"/>
      <c r="AK330" s="186"/>
      <c r="AL330" s="222"/>
      <c r="AM330" s="222"/>
      <c r="AN330" s="270">
        <f t="shared" si="94"/>
        <v>0</v>
      </c>
      <c r="AO330" s="271">
        <f t="shared" si="95"/>
        <v>0</v>
      </c>
      <c r="AP330" s="192"/>
      <c r="AQ330" s="271"/>
      <c r="AR330" s="192"/>
      <c r="AS330" s="271"/>
      <c r="AT330" s="45"/>
      <c r="AU330" s="36"/>
      <c r="AV330" s="36"/>
      <c r="AW330" s="36"/>
      <c r="AX330" s="36"/>
    </row>
    <row r="331" spans="1:50" s="632" customFormat="1" x14ac:dyDescent="0.2">
      <c r="B331" s="184"/>
      <c r="C331" s="184"/>
      <c r="D331" s="184"/>
      <c r="E331" s="213"/>
      <c r="F331" s="214"/>
      <c r="G331" s="222"/>
      <c r="H331" s="222"/>
      <c r="I331" s="222"/>
      <c r="J331" s="222"/>
      <c r="K331" s="222"/>
      <c r="L331" s="222"/>
      <c r="M331" s="222"/>
      <c r="N331" s="223"/>
      <c r="O331" s="222"/>
      <c r="P331" s="222"/>
      <c r="Q331" s="222"/>
      <c r="R331" s="222"/>
      <c r="S331" s="222"/>
      <c r="T331" s="223"/>
      <c r="U331" s="192"/>
      <c r="V331" s="192"/>
      <c r="W331" s="270"/>
      <c r="X331" s="271"/>
      <c r="Y331" s="307"/>
      <c r="Z331" s="308"/>
      <c r="AA331" s="276"/>
      <c r="AB331" s="186"/>
      <c r="AC331" s="691" t="s">
        <v>1534</v>
      </c>
      <c r="AD331" s="185">
        <f>'K. GASB 75 RHBF'!C102</f>
        <v>0</v>
      </c>
      <c r="AE331" s="185"/>
      <c r="AF331" s="277"/>
      <c r="AG331" s="185"/>
      <c r="AH331" s="278"/>
      <c r="AI331" s="185"/>
      <c r="AJ331" s="277"/>
      <c r="AK331" s="186"/>
      <c r="AL331" s="222"/>
      <c r="AM331" s="222"/>
      <c r="AN331" s="270">
        <f t="shared" si="94"/>
        <v>0</v>
      </c>
      <c r="AO331" s="271">
        <f t="shared" si="95"/>
        <v>0</v>
      </c>
      <c r="AP331" s="192"/>
      <c r="AQ331" s="271"/>
      <c r="AR331" s="192"/>
      <c r="AS331" s="271"/>
      <c r="AT331" s="45"/>
      <c r="AU331" s="36"/>
      <c r="AV331" s="36"/>
      <c r="AW331" s="36"/>
      <c r="AX331" s="36"/>
    </row>
    <row r="332" spans="1:50" ht="4.5" customHeight="1" x14ac:dyDescent="0.2">
      <c r="A332" s="314"/>
      <c r="B332" s="314"/>
      <c r="C332" s="314"/>
      <c r="D332" s="314"/>
      <c r="E332" s="310"/>
      <c r="F332" s="416"/>
      <c r="G332" s="304"/>
      <c r="H332" s="304"/>
      <c r="I332" s="304"/>
      <c r="J332" s="304"/>
      <c r="K332" s="304"/>
      <c r="L332" s="304"/>
      <c r="M332" s="304"/>
      <c r="N332" s="417"/>
      <c r="O332" s="304"/>
      <c r="P332" s="304"/>
      <c r="Q332" s="304"/>
      <c r="R332" s="304"/>
      <c r="S332" s="304"/>
      <c r="T332" s="417"/>
      <c r="U332" s="192"/>
      <c r="V332" s="192"/>
      <c r="W332" s="270"/>
      <c r="X332" s="271"/>
      <c r="Y332" s="303"/>
      <c r="Z332" s="304"/>
      <c r="AA332" s="269"/>
      <c r="AB332" s="137"/>
      <c r="AC332" s="284"/>
      <c r="AE332" s="45"/>
      <c r="AF332" s="265"/>
      <c r="AG332" s="45"/>
      <c r="AH332" s="264"/>
      <c r="AI332" s="45"/>
      <c r="AJ332" s="265"/>
      <c r="AK332" s="137"/>
      <c r="AL332" s="218"/>
      <c r="AM332" s="218"/>
      <c r="AN332" s="270"/>
      <c r="AO332" s="271"/>
      <c r="AP332" s="192"/>
      <c r="AQ332" s="271"/>
      <c r="AR332" s="192"/>
      <c r="AS332" s="271"/>
      <c r="AT332" s="45"/>
      <c r="AU332" s="36"/>
      <c r="AV332" s="36"/>
      <c r="AW332" s="36"/>
      <c r="AX332" s="36"/>
    </row>
    <row r="333" spans="1:50" x14ac:dyDescent="0.2">
      <c r="A333" s="11"/>
      <c r="B333" s="203" t="s">
        <v>515</v>
      </c>
      <c r="C333" s="184"/>
      <c r="D333" s="184"/>
      <c r="E333" s="213"/>
      <c r="F333" s="214"/>
      <c r="G333" s="222"/>
      <c r="H333" s="222"/>
      <c r="I333" s="222"/>
      <c r="J333" s="222"/>
      <c r="K333" s="222"/>
      <c r="L333" s="222"/>
      <c r="M333" s="222"/>
      <c r="N333" s="223"/>
      <c r="O333" s="222"/>
      <c r="P333" s="222"/>
      <c r="Q333" s="222"/>
      <c r="R333" s="222"/>
      <c r="S333" s="222"/>
      <c r="T333" s="223"/>
      <c r="U333" s="192">
        <f t="shared" ref="U333:V336" si="96">O333+Q333+S333</f>
        <v>0</v>
      </c>
      <c r="V333" s="192">
        <f t="shared" si="96"/>
        <v>0</v>
      </c>
      <c r="W333" s="270">
        <f t="shared" ref="W333:X336" si="97">E333+G333+I333+K333+M333+U333</f>
        <v>0</v>
      </c>
      <c r="X333" s="271">
        <f t="shared" si="97"/>
        <v>0</v>
      </c>
      <c r="Y333" s="307"/>
      <c r="Z333" s="308"/>
      <c r="AA333" s="276"/>
      <c r="AB333" s="186"/>
      <c r="AC333" s="277" t="str">
        <f>'B. Depreciation'!$A$54</f>
        <v>B.1</v>
      </c>
      <c r="AD333" s="185">
        <f>'B. Depreciation'!J64</f>
        <v>0</v>
      </c>
      <c r="AE333" s="185"/>
      <c r="AF333" s="277" t="str">
        <f>'C. Capital Outlay &amp; Donations'!$D$100</f>
        <v>C.1</v>
      </c>
      <c r="AG333" s="185">
        <f>'C. Capital Outlay &amp; Donations'!M118</f>
        <v>0</v>
      </c>
      <c r="AH333" s="278" t="str">
        <f>'I. Eliminations-Consolidations'!$A$250</f>
        <v>I.7</v>
      </c>
      <c r="AI333" s="185">
        <f>'I. Eliminations-Consolidations'!J260</f>
        <v>0</v>
      </c>
      <c r="AJ333" s="277" t="str">
        <f>'I. Eliminations-Consolidations'!A229</f>
        <v>I.5</v>
      </c>
      <c r="AK333" s="186">
        <f>'I. Eliminations-Consolidations'!L231</f>
        <v>0</v>
      </c>
      <c r="AL333" s="222"/>
      <c r="AM333" s="222"/>
      <c r="AN333" s="270">
        <f>W333+Y333+AA333+AD333+AI333+AL333</f>
        <v>0</v>
      </c>
      <c r="AO333" s="271">
        <f t="shared" ref="AO333:AO338" si="98">X333+Z333+AB333+AG333+AK333+AM333</f>
        <v>0</v>
      </c>
      <c r="AP333" s="192" t="str">
        <f>IF(SUM(AN333:AN338)-SUM(AO333:AO338)&lt;=0, " ",SUM(AN333:AN338)-SUM(AO333:AO338))</f>
        <v xml:space="preserve"> </v>
      </c>
      <c r="AQ333" s="271" t="str">
        <f>IF(SUM(AN333:AN337)-SUM(AO333:AO337)&gt;=0, " ", SUM(AO333:AO337)-SUM(AN333:AN337))</f>
        <v xml:space="preserve"> </v>
      </c>
      <c r="AR333" s="192"/>
      <c r="AS333" s="271"/>
      <c r="AT333" s="45"/>
      <c r="AU333" s="36"/>
      <c r="AV333" s="36"/>
      <c r="AW333" s="36"/>
      <c r="AX333" s="36"/>
    </row>
    <row r="334" spans="1:50" x14ac:dyDescent="0.2">
      <c r="A334" s="11"/>
      <c r="B334" s="203"/>
      <c r="C334" s="184"/>
      <c r="D334" s="184"/>
      <c r="E334" s="213"/>
      <c r="F334" s="214"/>
      <c r="G334" s="222"/>
      <c r="H334" s="222"/>
      <c r="I334" s="222"/>
      <c r="J334" s="222"/>
      <c r="K334" s="222"/>
      <c r="L334" s="222"/>
      <c r="M334" s="222"/>
      <c r="N334" s="223"/>
      <c r="O334" s="222"/>
      <c r="P334" s="222"/>
      <c r="Q334" s="222"/>
      <c r="R334" s="222"/>
      <c r="S334" s="222"/>
      <c r="T334" s="223"/>
      <c r="U334" s="192">
        <f t="shared" si="96"/>
        <v>0</v>
      </c>
      <c r="V334" s="192">
        <f t="shared" si="96"/>
        <v>0</v>
      </c>
      <c r="W334" s="270">
        <f t="shared" si="97"/>
        <v>0</v>
      </c>
      <c r="X334" s="271">
        <f t="shared" si="97"/>
        <v>0</v>
      </c>
      <c r="Y334" s="307"/>
      <c r="Z334" s="308"/>
      <c r="AA334" s="276"/>
      <c r="AB334" s="186"/>
      <c r="AC334" s="277" t="str">
        <f>'C. Capital Outlay &amp; Donations'!$D$130</f>
        <v>C.2</v>
      </c>
      <c r="AD334" s="187">
        <f>'C. Capital Outlay &amp; Donations'!K142</f>
        <v>0</v>
      </c>
      <c r="AE334" s="185"/>
      <c r="AF334" s="283" t="str">
        <f>'G.  Other Asset Entries'!$B$90</f>
        <v>G.1</v>
      </c>
      <c r="AG334" s="185">
        <f>'G.  Other Asset Entries'!N104</f>
        <v>0</v>
      </c>
      <c r="AH334" s="278" t="str">
        <f>'I. Eliminations-Consolidations'!A305</f>
        <v>I.8</v>
      </c>
      <c r="AI334" s="185">
        <f>'I. Eliminations-Consolidations'!J305</f>
        <v>0</v>
      </c>
      <c r="AJ334" s="277"/>
      <c r="AK334" s="186"/>
      <c r="AL334" s="222"/>
      <c r="AM334" s="222"/>
      <c r="AN334" s="270">
        <f t="shared" ref="AN334:AN338" si="99">W334+Y334+AA334+AD334+AI334+AL334</f>
        <v>0</v>
      </c>
      <c r="AO334" s="271">
        <f t="shared" si="98"/>
        <v>0</v>
      </c>
      <c r="AP334" s="192"/>
      <c r="AQ334" s="271"/>
      <c r="AR334" s="192"/>
      <c r="AS334" s="271"/>
      <c r="AT334" s="45"/>
      <c r="AU334" s="36"/>
      <c r="AV334" s="36"/>
      <c r="AW334" s="36"/>
      <c r="AX334" s="36"/>
    </row>
    <row r="335" spans="1:50" x14ac:dyDescent="0.2">
      <c r="A335" s="11"/>
      <c r="B335" s="203"/>
      <c r="C335" s="184"/>
      <c r="D335" s="184"/>
      <c r="E335" s="213"/>
      <c r="F335" s="214"/>
      <c r="G335" s="222"/>
      <c r="H335" s="222"/>
      <c r="I335" s="222"/>
      <c r="J335" s="222"/>
      <c r="K335" s="222"/>
      <c r="L335" s="222"/>
      <c r="M335" s="222"/>
      <c r="N335" s="223"/>
      <c r="O335" s="222"/>
      <c r="P335" s="222"/>
      <c r="Q335" s="222"/>
      <c r="R335" s="222"/>
      <c r="S335" s="222"/>
      <c r="T335" s="223"/>
      <c r="U335" s="192">
        <f t="shared" si="96"/>
        <v>0</v>
      </c>
      <c r="V335" s="192">
        <f t="shared" si="96"/>
        <v>0</v>
      </c>
      <c r="W335" s="270">
        <f t="shared" si="97"/>
        <v>0</v>
      </c>
      <c r="X335" s="271">
        <f t="shared" si="97"/>
        <v>0</v>
      </c>
      <c r="Y335" s="307"/>
      <c r="Z335" s="308"/>
      <c r="AA335" s="276"/>
      <c r="AB335" s="186"/>
      <c r="AC335" s="281" t="str">
        <f>'D.  Capital Asset Disposal'!$D$189</f>
        <v>D.1</v>
      </c>
      <c r="AD335" s="187">
        <f>'D.  Capital Asset Disposal'!M210+'D.  Capital Asset Disposal'!M197</f>
        <v>0</v>
      </c>
      <c r="AE335" s="185"/>
      <c r="AF335" s="277" t="str">
        <f>'H. Other Liabilities &amp; Expenses'!$D$235</f>
        <v>H.1</v>
      </c>
      <c r="AG335" s="185">
        <f>'H. Other Liabilities &amp; Expenses'!N245</f>
        <v>0</v>
      </c>
      <c r="AH335" s="278"/>
      <c r="AI335" s="185"/>
      <c r="AJ335" s="277"/>
      <c r="AK335" s="186"/>
      <c r="AL335" s="222"/>
      <c r="AM335" s="222"/>
      <c r="AN335" s="270">
        <f t="shared" si="99"/>
        <v>0</v>
      </c>
      <c r="AO335" s="271">
        <f t="shared" si="98"/>
        <v>0</v>
      </c>
      <c r="AP335" s="192"/>
      <c r="AQ335" s="271"/>
      <c r="AR335" s="192"/>
      <c r="AS335" s="271"/>
      <c r="AT335" s="45"/>
      <c r="AU335" s="36"/>
      <c r="AV335" s="36"/>
      <c r="AW335" s="36"/>
      <c r="AX335" s="36"/>
    </row>
    <row r="336" spans="1:50" x14ac:dyDescent="0.2">
      <c r="A336" s="11"/>
      <c r="B336" s="203"/>
      <c r="C336" s="184"/>
      <c r="D336" s="184"/>
      <c r="E336" s="213"/>
      <c r="F336" s="214"/>
      <c r="G336" s="222"/>
      <c r="H336" s="222"/>
      <c r="I336" s="222"/>
      <c r="J336" s="222"/>
      <c r="K336" s="222"/>
      <c r="L336" s="222"/>
      <c r="M336" s="222"/>
      <c r="N336" s="223"/>
      <c r="O336" s="222"/>
      <c r="P336" s="222"/>
      <c r="Q336" s="222"/>
      <c r="R336" s="222"/>
      <c r="S336" s="222"/>
      <c r="T336" s="223"/>
      <c r="U336" s="192">
        <f t="shared" si="96"/>
        <v>0</v>
      </c>
      <c r="V336" s="192">
        <f t="shared" si="96"/>
        <v>0</v>
      </c>
      <c r="W336" s="270">
        <f t="shared" si="97"/>
        <v>0</v>
      </c>
      <c r="X336" s="271">
        <f t="shared" si="97"/>
        <v>0</v>
      </c>
      <c r="Y336" s="307"/>
      <c r="Z336" s="308"/>
      <c r="AA336" s="276"/>
      <c r="AB336" s="186"/>
      <c r="AC336" s="277" t="str">
        <f>'H. Other Liabilities &amp; Expenses'!$D$235</f>
        <v>H.1</v>
      </c>
      <c r="AD336" s="185">
        <f>'H. Other Liabilities &amp; Expenses'!L245</f>
        <v>0</v>
      </c>
      <c r="AE336" s="185"/>
      <c r="AF336" s="277" t="str">
        <f>'E. Debt Service'!$D$81</f>
        <v>E.1</v>
      </c>
      <c r="AG336" s="185">
        <f>'E. Debt Service'!N93</f>
        <v>0</v>
      </c>
      <c r="AH336" s="278"/>
      <c r="AI336" s="185"/>
      <c r="AJ336" s="277"/>
      <c r="AK336" s="186"/>
      <c r="AL336" s="222"/>
      <c r="AM336" s="222"/>
      <c r="AN336" s="270">
        <f t="shared" si="99"/>
        <v>0</v>
      </c>
      <c r="AO336" s="271">
        <f t="shared" si="98"/>
        <v>0</v>
      </c>
      <c r="AP336" s="192"/>
      <c r="AQ336" s="271"/>
      <c r="AR336" s="192"/>
      <c r="AS336" s="271"/>
      <c r="AT336" s="45"/>
      <c r="AU336" s="36"/>
      <c r="AV336" s="36"/>
      <c r="AW336" s="36"/>
      <c r="AX336" s="36"/>
    </row>
    <row r="337" spans="1:50" s="493" customFormat="1" x14ac:dyDescent="0.2">
      <c r="A337" s="498"/>
      <c r="B337" s="203"/>
      <c r="C337" s="184"/>
      <c r="D337" s="184"/>
      <c r="E337" s="213"/>
      <c r="F337" s="214"/>
      <c r="G337" s="222"/>
      <c r="H337" s="222"/>
      <c r="I337" s="222"/>
      <c r="J337" s="222"/>
      <c r="K337" s="222"/>
      <c r="L337" s="222"/>
      <c r="M337" s="222"/>
      <c r="N337" s="223"/>
      <c r="O337" s="222"/>
      <c r="P337" s="222"/>
      <c r="Q337" s="222"/>
      <c r="R337" s="222"/>
      <c r="S337" s="222"/>
      <c r="T337" s="223"/>
      <c r="U337" s="192"/>
      <c r="V337" s="192"/>
      <c r="W337" s="270"/>
      <c r="X337" s="271"/>
      <c r="Y337" s="307"/>
      <c r="Z337" s="308"/>
      <c r="AA337" s="276"/>
      <c r="AB337" s="186"/>
      <c r="AC337" s="277" t="s">
        <v>1096</v>
      </c>
      <c r="AD337" s="185">
        <f>'J. GASB 68 TSERS'!C103</f>
        <v>0</v>
      </c>
      <c r="AE337" s="185"/>
      <c r="AF337" s="277" t="s">
        <v>1096</v>
      </c>
      <c r="AG337" s="185">
        <f>'J. GASB 68 TSERS'!D103</f>
        <v>0</v>
      </c>
      <c r="AH337" s="278"/>
      <c r="AI337" s="185"/>
      <c r="AJ337" s="277"/>
      <c r="AK337" s="186"/>
      <c r="AL337" s="222"/>
      <c r="AM337" s="222"/>
      <c r="AN337" s="270">
        <f t="shared" si="99"/>
        <v>0</v>
      </c>
      <c r="AO337" s="271">
        <f t="shared" si="98"/>
        <v>0</v>
      </c>
      <c r="AP337" s="192"/>
      <c r="AQ337" s="271"/>
      <c r="AR337" s="192"/>
      <c r="AS337" s="271"/>
      <c r="AT337" s="45"/>
      <c r="AU337" s="36"/>
      <c r="AV337" s="36"/>
      <c r="AW337" s="36"/>
      <c r="AX337" s="36"/>
    </row>
    <row r="338" spans="1:50" s="632" customFormat="1" x14ac:dyDescent="0.2">
      <c r="A338" s="634"/>
      <c r="B338" s="203"/>
      <c r="C338" s="184"/>
      <c r="D338" s="184"/>
      <c r="E338" s="213"/>
      <c r="F338" s="214"/>
      <c r="G338" s="222"/>
      <c r="H338" s="222"/>
      <c r="I338" s="222"/>
      <c r="J338" s="222"/>
      <c r="K338" s="222"/>
      <c r="L338" s="222"/>
      <c r="M338" s="222"/>
      <c r="N338" s="223"/>
      <c r="O338" s="222"/>
      <c r="P338" s="222"/>
      <c r="Q338" s="222"/>
      <c r="R338" s="222"/>
      <c r="S338" s="222"/>
      <c r="T338" s="223"/>
      <c r="U338" s="192"/>
      <c r="V338" s="192"/>
      <c r="W338" s="270"/>
      <c r="X338" s="271"/>
      <c r="Y338" s="307"/>
      <c r="Z338" s="308"/>
      <c r="AA338" s="276"/>
      <c r="AB338" s="186"/>
      <c r="AC338" s="691" t="s">
        <v>1534</v>
      </c>
      <c r="AD338" s="185">
        <f>'K. GASB 75 RHBF'!C103</f>
        <v>0</v>
      </c>
      <c r="AE338" s="185"/>
      <c r="AF338" s="277"/>
      <c r="AG338" s="185"/>
      <c r="AH338" s="278"/>
      <c r="AI338" s="185"/>
      <c r="AJ338" s="277"/>
      <c r="AK338" s="186"/>
      <c r="AL338" s="222"/>
      <c r="AM338" s="222"/>
      <c r="AN338" s="270">
        <f t="shared" si="99"/>
        <v>0</v>
      </c>
      <c r="AO338" s="271">
        <f t="shared" si="98"/>
        <v>0</v>
      </c>
      <c r="AP338" s="192"/>
      <c r="AQ338" s="271"/>
      <c r="AR338" s="192"/>
      <c r="AS338" s="271"/>
      <c r="AT338" s="45"/>
      <c r="AU338" s="36"/>
      <c r="AV338" s="36"/>
      <c r="AW338" s="36"/>
      <c r="AX338" s="36"/>
    </row>
    <row r="339" spans="1:50" ht="3.75" customHeight="1" x14ac:dyDescent="0.2">
      <c r="A339" s="314"/>
      <c r="B339" s="314"/>
      <c r="C339" s="314"/>
      <c r="D339" s="314"/>
      <c r="E339" s="310"/>
      <c r="F339" s="416"/>
      <c r="G339" s="304"/>
      <c r="H339" s="304"/>
      <c r="I339" s="304"/>
      <c r="J339" s="304"/>
      <c r="K339" s="304"/>
      <c r="L339" s="304"/>
      <c r="M339" s="304"/>
      <c r="N339" s="417"/>
      <c r="O339" s="304"/>
      <c r="P339" s="304"/>
      <c r="Q339" s="304"/>
      <c r="R339" s="304"/>
      <c r="S339" s="304"/>
      <c r="T339" s="417"/>
      <c r="U339" s="192"/>
      <c r="V339" s="192"/>
      <c r="W339" s="270"/>
      <c r="X339" s="271"/>
      <c r="Y339" s="303"/>
      <c r="Z339" s="304"/>
      <c r="AA339" s="269"/>
      <c r="AB339" s="137"/>
      <c r="AC339" s="284"/>
      <c r="AE339" s="45"/>
      <c r="AF339" s="265"/>
      <c r="AG339" s="45"/>
      <c r="AH339" s="264"/>
      <c r="AI339" s="45"/>
      <c r="AJ339" s="265"/>
      <c r="AK339" s="137"/>
      <c r="AL339" s="218"/>
      <c r="AM339" s="218"/>
      <c r="AN339" s="270"/>
      <c r="AO339" s="271"/>
      <c r="AP339" s="192"/>
      <c r="AQ339" s="271"/>
      <c r="AR339" s="192"/>
      <c r="AS339" s="271"/>
      <c r="AT339" s="45"/>
      <c r="AU339" s="36"/>
      <c r="AV339" s="36"/>
      <c r="AW339" s="36"/>
      <c r="AX339" s="36"/>
    </row>
    <row r="340" spans="1:50" x14ac:dyDescent="0.2">
      <c r="A340" s="11"/>
      <c r="B340" s="203" t="s">
        <v>516</v>
      </c>
      <c r="C340" s="184"/>
      <c r="D340" s="184"/>
      <c r="E340" s="213"/>
      <c r="F340" s="214"/>
      <c r="G340" s="222"/>
      <c r="H340" s="222"/>
      <c r="I340" s="222"/>
      <c r="J340" s="222"/>
      <c r="K340" s="222"/>
      <c r="L340" s="222"/>
      <c r="M340" s="222"/>
      <c r="N340" s="223"/>
      <c r="O340" s="222"/>
      <c r="P340" s="222"/>
      <c r="Q340" s="222"/>
      <c r="R340" s="222"/>
      <c r="S340" s="222"/>
      <c r="T340" s="223"/>
      <c r="U340" s="192">
        <f t="shared" ref="U340:V343" si="100">O340+Q340+S340</f>
        <v>0</v>
      </c>
      <c r="V340" s="192">
        <f t="shared" si="100"/>
        <v>0</v>
      </c>
      <c r="W340" s="270">
        <f t="shared" ref="W340:X343" si="101">E340+G340+I340+K340+M340+U340</f>
        <v>0</v>
      </c>
      <c r="X340" s="271">
        <f t="shared" si="101"/>
        <v>0</v>
      </c>
      <c r="Y340" s="307"/>
      <c r="Z340" s="308"/>
      <c r="AA340" s="276"/>
      <c r="AB340" s="186"/>
      <c r="AC340" s="277" t="str">
        <f>'B. Depreciation'!$A$54</f>
        <v>B.1</v>
      </c>
      <c r="AD340" s="185">
        <f>'B. Depreciation'!J65</f>
        <v>0</v>
      </c>
      <c r="AE340" s="185"/>
      <c r="AF340" s="277" t="str">
        <f>'C. Capital Outlay &amp; Donations'!$D$100</f>
        <v>C.1</v>
      </c>
      <c r="AG340" s="185">
        <f>'C. Capital Outlay &amp; Donations'!M119</f>
        <v>0</v>
      </c>
      <c r="AH340" s="278" t="str">
        <f>'I. Eliminations-Consolidations'!$A$250</f>
        <v>I.7</v>
      </c>
      <c r="AI340" s="185">
        <f>'I. Eliminations-Consolidations'!J261</f>
        <v>0</v>
      </c>
      <c r="AJ340" s="277"/>
      <c r="AK340" s="186"/>
      <c r="AL340" s="222"/>
      <c r="AM340" s="222"/>
      <c r="AN340" s="270">
        <f t="shared" ref="AN340:AN345" si="102">W340+Y340+AA340+AD340+AI340+AL340</f>
        <v>0</v>
      </c>
      <c r="AO340" s="271">
        <f t="shared" ref="AO340:AO345" si="103">X340+Z340+AB340+AG340+AK340+AM340</f>
        <v>0</v>
      </c>
      <c r="AP340" s="192" t="str">
        <f>IF(SUM(AN340:AN345)-SUM(AO340:AO345)&lt;=0, " ",SUM(AN340:AN345)-SUM(AO340:AO345))</f>
        <v xml:space="preserve"> </v>
      </c>
      <c r="AQ340" s="271" t="str">
        <f>IF(SUM(AN340:AN344)-SUM(AO340:AO344)&gt;=0, " ", SUM(AO340:AO344)-SUM(AN340:AN344))</f>
        <v xml:space="preserve"> </v>
      </c>
      <c r="AR340" s="192"/>
      <c r="AS340" s="271"/>
      <c r="AT340" s="45"/>
      <c r="AU340" s="36"/>
      <c r="AV340" s="36"/>
      <c r="AW340" s="36"/>
      <c r="AX340" s="36"/>
    </row>
    <row r="341" spans="1:50" x14ac:dyDescent="0.2">
      <c r="A341" s="11"/>
      <c r="B341" s="203"/>
      <c r="C341" s="184"/>
      <c r="D341" s="184"/>
      <c r="E341" s="213"/>
      <c r="F341" s="214"/>
      <c r="G341" s="222"/>
      <c r="H341" s="222"/>
      <c r="I341" s="222"/>
      <c r="J341" s="222"/>
      <c r="K341" s="222"/>
      <c r="L341" s="222"/>
      <c r="M341" s="222"/>
      <c r="N341" s="223"/>
      <c r="O341" s="222"/>
      <c r="P341" s="222"/>
      <c r="Q341" s="222"/>
      <c r="R341" s="222"/>
      <c r="S341" s="222"/>
      <c r="T341" s="223"/>
      <c r="U341" s="192">
        <f t="shared" si="100"/>
        <v>0</v>
      </c>
      <c r="V341" s="192">
        <f t="shared" si="100"/>
        <v>0</v>
      </c>
      <c r="W341" s="270">
        <f t="shared" si="101"/>
        <v>0</v>
      </c>
      <c r="X341" s="271">
        <f t="shared" si="101"/>
        <v>0</v>
      </c>
      <c r="Y341" s="307"/>
      <c r="Z341" s="308"/>
      <c r="AA341" s="276"/>
      <c r="AB341" s="186"/>
      <c r="AC341" s="277" t="str">
        <f>'C. Capital Outlay &amp; Donations'!$D$130</f>
        <v>C.2</v>
      </c>
      <c r="AD341" s="187">
        <f>'C. Capital Outlay &amp; Donations'!K143</f>
        <v>0</v>
      </c>
      <c r="AE341" s="185"/>
      <c r="AF341" s="283" t="str">
        <f>'G.  Other Asset Entries'!$B$90</f>
        <v>G.1</v>
      </c>
      <c r="AG341" s="185">
        <f>'G.  Other Asset Entries'!N105</f>
        <v>0</v>
      </c>
      <c r="AH341" s="278"/>
      <c r="AI341" s="185"/>
      <c r="AJ341" s="277"/>
      <c r="AK341" s="186"/>
      <c r="AL341" s="222"/>
      <c r="AM341" s="222"/>
      <c r="AN341" s="270">
        <f t="shared" si="102"/>
        <v>0</v>
      </c>
      <c r="AO341" s="271">
        <f t="shared" si="103"/>
        <v>0</v>
      </c>
      <c r="AP341" s="192"/>
      <c r="AQ341" s="271"/>
      <c r="AR341" s="192"/>
      <c r="AS341" s="271"/>
      <c r="AT341" s="45"/>
      <c r="AU341" s="36"/>
      <c r="AV341" s="36"/>
      <c r="AW341" s="36"/>
      <c r="AX341" s="36"/>
    </row>
    <row r="342" spans="1:50" x14ac:dyDescent="0.2">
      <c r="A342" s="11"/>
      <c r="B342" s="203"/>
      <c r="C342" s="184"/>
      <c r="D342" s="184"/>
      <c r="E342" s="213"/>
      <c r="F342" s="214"/>
      <c r="G342" s="222"/>
      <c r="H342" s="222"/>
      <c r="I342" s="222"/>
      <c r="J342" s="222"/>
      <c r="K342" s="222"/>
      <c r="L342" s="222"/>
      <c r="M342" s="222"/>
      <c r="N342" s="223"/>
      <c r="O342" s="222"/>
      <c r="P342" s="222"/>
      <c r="Q342" s="222"/>
      <c r="R342" s="222"/>
      <c r="S342" s="222"/>
      <c r="T342" s="223"/>
      <c r="U342" s="192">
        <f t="shared" si="100"/>
        <v>0</v>
      </c>
      <c r="V342" s="192">
        <f t="shared" si="100"/>
        <v>0</v>
      </c>
      <c r="W342" s="270">
        <f t="shared" si="101"/>
        <v>0</v>
      </c>
      <c r="X342" s="271">
        <f t="shared" si="101"/>
        <v>0</v>
      </c>
      <c r="Y342" s="307"/>
      <c r="Z342" s="308"/>
      <c r="AA342" s="276"/>
      <c r="AB342" s="186"/>
      <c r="AC342" s="281" t="str">
        <f>'D.  Capital Asset Disposal'!$D$189</f>
        <v>D.1</v>
      </c>
      <c r="AD342" s="187">
        <f>'D.  Capital Asset Disposal'!M211</f>
        <v>0</v>
      </c>
      <c r="AE342" s="185"/>
      <c r="AF342" s="277" t="str">
        <f>'H. Other Liabilities &amp; Expenses'!$D$235</f>
        <v>H.1</v>
      </c>
      <c r="AG342" s="185">
        <f>'H. Other Liabilities &amp; Expenses'!N246</f>
        <v>0</v>
      </c>
      <c r="AH342" s="278"/>
      <c r="AI342" s="185"/>
      <c r="AJ342" s="277"/>
      <c r="AK342" s="186"/>
      <c r="AL342" s="222"/>
      <c r="AM342" s="222"/>
      <c r="AN342" s="270">
        <f t="shared" si="102"/>
        <v>0</v>
      </c>
      <c r="AO342" s="271">
        <f t="shared" si="103"/>
        <v>0</v>
      </c>
      <c r="AP342" s="192"/>
      <c r="AQ342" s="271"/>
      <c r="AR342" s="192"/>
      <c r="AS342" s="271"/>
      <c r="AT342" s="45"/>
      <c r="AU342" s="36"/>
      <c r="AV342" s="36"/>
      <c r="AW342" s="36"/>
      <c r="AX342" s="36"/>
    </row>
    <row r="343" spans="1:50" x14ac:dyDescent="0.2">
      <c r="A343" s="11"/>
      <c r="B343" s="203"/>
      <c r="C343" s="184"/>
      <c r="D343" s="184"/>
      <c r="E343" s="213"/>
      <c r="F343" s="214"/>
      <c r="G343" s="222"/>
      <c r="H343" s="222"/>
      <c r="I343" s="222"/>
      <c r="J343" s="222"/>
      <c r="K343" s="222"/>
      <c r="L343" s="222"/>
      <c r="M343" s="222"/>
      <c r="N343" s="223"/>
      <c r="O343" s="222"/>
      <c r="P343" s="222"/>
      <c r="Q343" s="222"/>
      <c r="R343" s="222"/>
      <c r="S343" s="222"/>
      <c r="T343" s="223"/>
      <c r="U343" s="192">
        <f t="shared" si="100"/>
        <v>0</v>
      </c>
      <c r="V343" s="192">
        <f t="shared" si="100"/>
        <v>0</v>
      </c>
      <c r="W343" s="270">
        <f t="shared" si="101"/>
        <v>0</v>
      </c>
      <c r="X343" s="271">
        <f t="shared" si="101"/>
        <v>0</v>
      </c>
      <c r="Y343" s="307"/>
      <c r="Z343" s="308"/>
      <c r="AA343" s="276"/>
      <c r="AB343" s="186"/>
      <c r="AC343" s="277" t="str">
        <f>'H. Other Liabilities &amp; Expenses'!$D$235</f>
        <v>H.1</v>
      </c>
      <c r="AD343" s="185">
        <f>'H. Other Liabilities &amp; Expenses'!L246</f>
        <v>0</v>
      </c>
      <c r="AE343" s="185"/>
      <c r="AF343" s="277" t="str">
        <f>'E. Debt Service'!$D$81</f>
        <v>E.1</v>
      </c>
      <c r="AG343" s="185">
        <f>'E. Debt Service'!N94</f>
        <v>0</v>
      </c>
      <c r="AH343" s="278"/>
      <c r="AI343" s="185"/>
      <c r="AJ343" s="277"/>
      <c r="AK343" s="186"/>
      <c r="AL343" s="222"/>
      <c r="AM343" s="222"/>
      <c r="AN343" s="270">
        <f t="shared" si="102"/>
        <v>0</v>
      </c>
      <c r="AO343" s="271">
        <f t="shared" si="103"/>
        <v>0</v>
      </c>
      <c r="AP343" s="192"/>
      <c r="AQ343" s="271"/>
      <c r="AR343" s="192"/>
      <c r="AS343" s="271"/>
      <c r="AT343" s="45"/>
      <c r="AU343" s="36"/>
      <c r="AV343" s="36"/>
      <c r="AW343" s="36"/>
      <c r="AX343" s="36"/>
    </row>
    <row r="344" spans="1:50" s="493" customFormat="1" x14ac:dyDescent="0.2">
      <c r="A344" s="498"/>
      <c r="B344" s="203"/>
      <c r="C344" s="184"/>
      <c r="D344" s="184"/>
      <c r="E344" s="213"/>
      <c r="F344" s="214"/>
      <c r="G344" s="222"/>
      <c r="H344" s="222"/>
      <c r="I344" s="222"/>
      <c r="J344" s="222"/>
      <c r="K344" s="222"/>
      <c r="L344" s="222"/>
      <c r="M344" s="222"/>
      <c r="N344" s="223"/>
      <c r="O344" s="222"/>
      <c r="P344" s="222"/>
      <c r="Q344" s="222"/>
      <c r="R344" s="222"/>
      <c r="S344" s="222"/>
      <c r="T344" s="223"/>
      <c r="U344" s="192"/>
      <c r="V344" s="192"/>
      <c r="W344" s="270"/>
      <c r="X344" s="271"/>
      <c r="Y344" s="307"/>
      <c r="Z344" s="308"/>
      <c r="AA344" s="276"/>
      <c r="AB344" s="186"/>
      <c r="AC344" s="277" t="s">
        <v>1096</v>
      </c>
      <c r="AD344" s="185">
        <f>'J. GASB 68 TSERS'!C104</f>
        <v>0</v>
      </c>
      <c r="AE344" s="185"/>
      <c r="AF344" s="277" t="s">
        <v>1096</v>
      </c>
      <c r="AG344" s="185">
        <f>'J. GASB 68 TSERS'!D104</f>
        <v>0</v>
      </c>
      <c r="AH344" s="278"/>
      <c r="AI344" s="185"/>
      <c r="AJ344" s="277"/>
      <c r="AK344" s="186"/>
      <c r="AL344" s="222"/>
      <c r="AM344" s="222"/>
      <c r="AN344" s="270">
        <f t="shared" si="102"/>
        <v>0</v>
      </c>
      <c r="AO344" s="271">
        <f t="shared" si="103"/>
        <v>0</v>
      </c>
      <c r="AP344" s="192"/>
      <c r="AQ344" s="271"/>
      <c r="AR344" s="192"/>
      <c r="AS344" s="271"/>
      <c r="AT344" s="45"/>
      <c r="AU344" s="36"/>
      <c r="AV344" s="36"/>
      <c r="AW344" s="36"/>
      <c r="AX344" s="36"/>
    </row>
    <row r="345" spans="1:50" s="632" customFormat="1" x14ac:dyDescent="0.2">
      <c r="A345" s="634"/>
      <c r="B345" s="203"/>
      <c r="C345" s="184"/>
      <c r="D345" s="184"/>
      <c r="E345" s="213"/>
      <c r="F345" s="214"/>
      <c r="G345" s="222"/>
      <c r="H345" s="222"/>
      <c r="I345" s="222"/>
      <c r="J345" s="222"/>
      <c r="K345" s="222"/>
      <c r="L345" s="222"/>
      <c r="M345" s="222"/>
      <c r="N345" s="223"/>
      <c r="O345" s="222"/>
      <c r="P345" s="222"/>
      <c r="Q345" s="222"/>
      <c r="R345" s="222"/>
      <c r="S345" s="222"/>
      <c r="T345" s="223"/>
      <c r="U345" s="192"/>
      <c r="V345" s="192"/>
      <c r="W345" s="270"/>
      <c r="X345" s="271"/>
      <c r="Y345" s="307"/>
      <c r="Z345" s="308"/>
      <c r="AA345" s="276"/>
      <c r="AB345" s="186"/>
      <c r="AC345" s="277" t="s">
        <v>1533</v>
      </c>
      <c r="AD345" s="185">
        <f>'K. GASB 75 RHBF'!C104</f>
        <v>0</v>
      </c>
      <c r="AE345" s="185"/>
      <c r="AF345" s="277"/>
      <c r="AG345" s="185"/>
      <c r="AH345" s="278"/>
      <c r="AI345" s="185"/>
      <c r="AJ345" s="277"/>
      <c r="AK345" s="186"/>
      <c r="AL345" s="222"/>
      <c r="AM345" s="222"/>
      <c r="AN345" s="270">
        <f t="shared" si="102"/>
        <v>0</v>
      </c>
      <c r="AO345" s="271">
        <f t="shared" si="103"/>
        <v>0</v>
      </c>
      <c r="AP345" s="192"/>
      <c r="AQ345" s="271"/>
      <c r="AR345" s="192"/>
      <c r="AS345" s="271"/>
      <c r="AT345" s="45"/>
      <c r="AU345" s="36"/>
      <c r="AV345" s="36"/>
      <c r="AW345" s="36"/>
      <c r="AX345" s="36"/>
    </row>
    <row r="346" spans="1:50" ht="5.25" customHeight="1" x14ac:dyDescent="0.2">
      <c r="A346" s="314"/>
      <c r="B346" s="314"/>
      <c r="C346" s="314"/>
      <c r="D346" s="314"/>
      <c r="E346" s="310"/>
      <c r="F346" s="416"/>
      <c r="G346" s="304"/>
      <c r="H346" s="304"/>
      <c r="I346" s="304"/>
      <c r="J346" s="304"/>
      <c r="K346" s="304"/>
      <c r="L346" s="304"/>
      <c r="M346" s="304"/>
      <c r="N346" s="417"/>
      <c r="O346" s="304"/>
      <c r="P346" s="304"/>
      <c r="Q346" s="304"/>
      <c r="R346" s="304"/>
      <c r="S346" s="304"/>
      <c r="T346" s="417"/>
      <c r="U346" s="192"/>
      <c r="V346" s="192"/>
      <c r="W346" s="270"/>
      <c r="X346" s="271"/>
      <c r="Y346" s="303"/>
      <c r="Z346" s="304"/>
      <c r="AA346" s="269"/>
      <c r="AB346" s="137"/>
      <c r="AC346" s="284"/>
      <c r="AE346" s="45"/>
      <c r="AF346" s="265"/>
      <c r="AG346" s="45"/>
      <c r="AH346" s="264"/>
      <c r="AI346" s="45"/>
      <c r="AJ346" s="265"/>
      <c r="AK346" s="137"/>
      <c r="AL346" s="218"/>
      <c r="AM346" s="218"/>
      <c r="AN346" s="270"/>
      <c r="AO346" s="271"/>
      <c r="AP346" s="192"/>
      <c r="AQ346" s="271"/>
      <c r="AR346" s="192"/>
      <c r="AS346" s="271"/>
      <c r="AT346" s="45"/>
      <c r="AU346" s="36"/>
      <c r="AV346" s="36"/>
      <c r="AW346" s="36"/>
      <c r="AX346" s="36"/>
    </row>
    <row r="347" spans="1:50" x14ac:dyDescent="0.2">
      <c r="A347" s="11"/>
      <c r="B347" s="203" t="s">
        <v>518</v>
      </c>
      <c r="C347" s="184"/>
      <c r="D347" s="184"/>
      <c r="E347" s="213"/>
      <c r="F347" s="214"/>
      <c r="G347" s="222"/>
      <c r="H347" s="222"/>
      <c r="I347" s="222"/>
      <c r="J347" s="222"/>
      <c r="K347" s="222"/>
      <c r="L347" s="222"/>
      <c r="M347" s="222"/>
      <c r="N347" s="223"/>
      <c r="O347" s="222"/>
      <c r="P347" s="222"/>
      <c r="Q347" s="222"/>
      <c r="R347" s="222"/>
      <c r="S347" s="222"/>
      <c r="T347" s="223"/>
      <c r="U347" s="192">
        <f t="shared" ref="U347:V350" si="104">O347+Q347+S347</f>
        <v>0</v>
      </c>
      <c r="V347" s="192">
        <f t="shared" si="104"/>
        <v>0</v>
      </c>
      <c r="W347" s="270">
        <f t="shared" ref="W347:X350" si="105">E347+G347+I347+K347+M347+U347</f>
        <v>0</v>
      </c>
      <c r="X347" s="271">
        <f t="shared" si="105"/>
        <v>0</v>
      </c>
      <c r="Y347" s="307"/>
      <c r="Z347" s="308"/>
      <c r="AA347" s="276"/>
      <c r="AB347" s="186"/>
      <c r="AC347" s="277" t="str">
        <f>'B. Depreciation'!$A$54</f>
        <v>B.1</v>
      </c>
      <c r="AD347" s="185">
        <f>'B. Depreciation'!J66</f>
        <v>0</v>
      </c>
      <c r="AE347" s="185"/>
      <c r="AF347" s="277" t="str">
        <f>'C. Capital Outlay &amp; Donations'!$D$100</f>
        <v>C.1</v>
      </c>
      <c r="AG347" s="185">
        <f>'C. Capital Outlay &amp; Donations'!M120</f>
        <v>0</v>
      </c>
      <c r="AH347" s="278" t="str">
        <f>'I. Eliminations-Consolidations'!$A$250</f>
        <v>I.7</v>
      </c>
      <c r="AI347" s="185">
        <f>'I. Eliminations-Consolidations'!J262</f>
        <v>0</v>
      </c>
      <c r="AJ347" s="277"/>
      <c r="AK347" s="186"/>
      <c r="AL347" s="222"/>
      <c r="AM347" s="222"/>
      <c r="AN347" s="270">
        <f t="shared" ref="AN347:AN352" si="106">W347+Y347+AA347+AD347+AI347+AL347</f>
        <v>0</v>
      </c>
      <c r="AO347" s="271">
        <f t="shared" ref="AO347:AO352" si="107">X347+Z347+AB347+AG347+AK347+AM347</f>
        <v>0</v>
      </c>
      <c r="AP347" s="192" t="str">
        <f>IF(SUM(AN347:AN352)-SUM(AO347:AO352)&lt;=0, " ",SUM(AN347:AN352)-SUM(AO347:AO352))</f>
        <v xml:space="preserve"> </v>
      </c>
      <c r="AQ347" s="271" t="str">
        <f>IF(SUM(AN347:AN351)-SUM(AO347:AO351)&gt;=0, " ", SUM(AO347:AO351)-SUM(AN347:AN351))</f>
        <v xml:space="preserve"> </v>
      </c>
      <c r="AR347" s="192"/>
      <c r="AS347" s="271"/>
      <c r="AT347" s="45"/>
      <c r="AU347" s="36"/>
      <c r="AV347" s="36"/>
      <c r="AW347" s="36"/>
      <c r="AX347" s="36"/>
    </row>
    <row r="348" spans="1:50" x14ac:dyDescent="0.2">
      <c r="A348" s="11"/>
      <c r="B348" s="203"/>
      <c r="C348" s="184"/>
      <c r="D348" s="184"/>
      <c r="E348" s="213"/>
      <c r="F348" s="214"/>
      <c r="G348" s="222"/>
      <c r="H348" s="222"/>
      <c r="I348" s="222"/>
      <c r="J348" s="222"/>
      <c r="K348" s="222"/>
      <c r="L348" s="222"/>
      <c r="M348" s="222"/>
      <c r="N348" s="223"/>
      <c r="O348" s="222"/>
      <c r="P348" s="222"/>
      <c r="Q348" s="222"/>
      <c r="R348" s="222"/>
      <c r="S348" s="222"/>
      <c r="T348" s="223"/>
      <c r="U348" s="192">
        <f t="shared" si="104"/>
        <v>0</v>
      </c>
      <c r="V348" s="192">
        <f t="shared" si="104"/>
        <v>0</v>
      </c>
      <c r="W348" s="270">
        <f t="shared" si="105"/>
        <v>0</v>
      </c>
      <c r="X348" s="271">
        <f t="shared" si="105"/>
        <v>0</v>
      </c>
      <c r="Y348" s="307"/>
      <c r="Z348" s="308"/>
      <c r="AA348" s="276"/>
      <c r="AB348" s="186"/>
      <c r="AC348" s="277" t="str">
        <f>'C. Capital Outlay &amp; Donations'!$D$130</f>
        <v>C.2</v>
      </c>
      <c r="AD348" s="187">
        <f>'C. Capital Outlay &amp; Donations'!K144</f>
        <v>0</v>
      </c>
      <c r="AE348" s="185"/>
      <c r="AF348" s="283" t="str">
        <f>'G.  Other Asset Entries'!$B$90</f>
        <v>G.1</v>
      </c>
      <c r="AG348" s="185">
        <f>'G.  Other Asset Entries'!N106</f>
        <v>0</v>
      </c>
      <c r="AH348" s="278"/>
      <c r="AI348" s="185"/>
      <c r="AJ348" s="277"/>
      <c r="AK348" s="186"/>
      <c r="AL348" s="222"/>
      <c r="AM348" s="222"/>
      <c r="AN348" s="270">
        <f t="shared" si="106"/>
        <v>0</v>
      </c>
      <c r="AO348" s="271">
        <f t="shared" si="107"/>
        <v>0</v>
      </c>
      <c r="AP348" s="192"/>
      <c r="AQ348" s="271"/>
      <c r="AR348" s="192"/>
      <c r="AS348" s="271"/>
      <c r="AT348" s="45"/>
      <c r="AU348" s="36"/>
      <c r="AV348" s="36"/>
      <c r="AW348" s="36"/>
      <c r="AX348" s="36"/>
    </row>
    <row r="349" spans="1:50" x14ac:dyDescent="0.2">
      <c r="A349" s="11"/>
      <c r="B349" s="203"/>
      <c r="C349" s="184"/>
      <c r="D349" s="184"/>
      <c r="E349" s="213"/>
      <c r="F349" s="214"/>
      <c r="G349" s="222"/>
      <c r="H349" s="222"/>
      <c r="I349" s="222"/>
      <c r="J349" s="222"/>
      <c r="K349" s="222"/>
      <c r="L349" s="222"/>
      <c r="M349" s="222"/>
      <c r="N349" s="223"/>
      <c r="O349" s="222"/>
      <c r="P349" s="222"/>
      <c r="Q349" s="222"/>
      <c r="R349" s="222"/>
      <c r="S349" s="222"/>
      <c r="T349" s="223"/>
      <c r="U349" s="192">
        <f t="shared" si="104"/>
        <v>0</v>
      </c>
      <c r="V349" s="192">
        <f t="shared" si="104"/>
        <v>0</v>
      </c>
      <c r="W349" s="270">
        <f t="shared" si="105"/>
        <v>0</v>
      </c>
      <c r="X349" s="271">
        <f t="shared" si="105"/>
        <v>0</v>
      </c>
      <c r="Y349" s="307"/>
      <c r="Z349" s="308"/>
      <c r="AA349" s="276"/>
      <c r="AB349" s="186"/>
      <c r="AC349" s="281" t="str">
        <f>'D.  Capital Asset Disposal'!$D$189</f>
        <v>D.1</v>
      </c>
      <c r="AD349" s="187">
        <f>'D.  Capital Asset Disposal'!M212</f>
        <v>0</v>
      </c>
      <c r="AE349" s="185"/>
      <c r="AF349" s="277" t="str">
        <f>'H. Other Liabilities &amp; Expenses'!$D$235</f>
        <v>H.1</v>
      </c>
      <c r="AG349" s="185">
        <f>'H. Other Liabilities &amp; Expenses'!N247</f>
        <v>0</v>
      </c>
      <c r="AH349" s="278"/>
      <c r="AI349" s="185"/>
      <c r="AJ349" s="277"/>
      <c r="AK349" s="186"/>
      <c r="AL349" s="222"/>
      <c r="AM349" s="222"/>
      <c r="AN349" s="270">
        <f t="shared" si="106"/>
        <v>0</v>
      </c>
      <c r="AO349" s="271">
        <f t="shared" si="107"/>
        <v>0</v>
      </c>
      <c r="AP349" s="192"/>
      <c r="AQ349" s="271"/>
      <c r="AR349" s="192"/>
      <c r="AS349" s="271"/>
      <c r="AT349" s="45"/>
      <c r="AU349" s="36"/>
      <c r="AV349" s="36"/>
      <c r="AW349" s="36"/>
      <c r="AX349" s="36"/>
    </row>
    <row r="350" spans="1:50" x14ac:dyDescent="0.2">
      <c r="A350" s="11"/>
      <c r="B350" s="203"/>
      <c r="C350" s="184"/>
      <c r="D350" s="184"/>
      <c r="E350" s="213"/>
      <c r="F350" s="214"/>
      <c r="G350" s="222"/>
      <c r="H350" s="222"/>
      <c r="I350" s="222"/>
      <c r="J350" s="222"/>
      <c r="K350" s="222"/>
      <c r="L350" s="222"/>
      <c r="M350" s="222"/>
      <c r="N350" s="223"/>
      <c r="O350" s="222"/>
      <c r="P350" s="222"/>
      <c r="Q350" s="222"/>
      <c r="R350" s="222"/>
      <c r="S350" s="222"/>
      <c r="T350" s="223"/>
      <c r="U350" s="192">
        <f t="shared" si="104"/>
        <v>0</v>
      </c>
      <c r="V350" s="192">
        <f t="shared" si="104"/>
        <v>0</v>
      </c>
      <c r="W350" s="270">
        <f t="shared" si="105"/>
        <v>0</v>
      </c>
      <c r="X350" s="271">
        <f t="shared" si="105"/>
        <v>0</v>
      </c>
      <c r="Y350" s="307"/>
      <c r="Z350" s="308"/>
      <c r="AA350" s="276"/>
      <c r="AB350" s="186"/>
      <c r="AC350" s="277" t="str">
        <f>'H. Other Liabilities &amp; Expenses'!$D$235</f>
        <v>H.1</v>
      </c>
      <c r="AD350" s="185">
        <f>'H. Other Liabilities &amp; Expenses'!L247</f>
        <v>0</v>
      </c>
      <c r="AE350" s="185"/>
      <c r="AF350" s="277" t="str">
        <f>'E. Debt Service'!$D$81</f>
        <v>E.1</v>
      </c>
      <c r="AG350" s="185">
        <f>'E. Debt Service'!N95</f>
        <v>0</v>
      </c>
      <c r="AH350" s="278"/>
      <c r="AI350" s="185"/>
      <c r="AJ350" s="277"/>
      <c r="AK350" s="186"/>
      <c r="AL350" s="222"/>
      <c r="AM350" s="222"/>
      <c r="AN350" s="270">
        <f t="shared" si="106"/>
        <v>0</v>
      </c>
      <c r="AO350" s="271">
        <f t="shared" si="107"/>
        <v>0</v>
      </c>
      <c r="AP350" s="192"/>
      <c r="AQ350" s="271"/>
      <c r="AR350" s="192"/>
      <c r="AS350" s="271"/>
      <c r="AT350" s="45"/>
      <c r="AU350" s="36"/>
      <c r="AV350" s="36"/>
      <c r="AW350" s="36"/>
      <c r="AX350" s="36"/>
    </row>
    <row r="351" spans="1:50" s="493" customFormat="1" x14ac:dyDescent="0.2">
      <c r="A351" s="498"/>
      <c r="B351" s="203"/>
      <c r="C351" s="184"/>
      <c r="D351" s="184"/>
      <c r="E351" s="213"/>
      <c r="F351" s="214"/>
      <c r="G351" s="222"/>
      <c r="H351" s="222"/>
      <c r="I351" s="222"/>
      <c r="J351" s="222"/>
      <c r="K351" s="222"/>
      <c r="L351" s="222"/>
      <c r="M351" s="222"/>
      <c r="N351" s="223"/>
      <c r="O351" s="222"/>
      <c r="P351" s="222"/>
      <c r="Q351" s="222"/>
      <c r="R351" s="222"/>
      <c r="S351" s="222"/>
      <c r="T351" s="223"/>
      <c r="U351" s="192"/>
      <c r="V351" s="192"/>
      <c r="W351" s="270"/>
      <c r="X351" s="271"/>
      <c r="Y351" s="307"/>
      <c r="Z351" s="308"/>
      <c r="AA351" s="276"/>
      <c r="AB351" s="186"/>
      <c r="AC351" s="277" t="s">
        <v>1096</v>
      </c>
      <c r="AD351" s="185">
        <f>'J. GASB 68 TSERS'!C105</f>
        <v>0</v>
      </c>
      <c r="AE351" s="185"/>
      <c r="AF351" s="277" t="s">
        <v>1096</v>
      </c>
      <c r="AG351" s="185">
        <f>'J. GASB 68 TSERS'!D105</f>
        <v>0</v>
      </c>
      <c r="AH351" s="278"/>
      <c r="AI351" s="185"/>
      <c r="AJ351" s="277"/>
      <c r="AK351" s="186"/>
      <c r="AL351" s="222"/>
      <c r="AM351" s="222"/>
      <c r="AN351" s="270">
        <f t="shared" si="106"/>
        <v>0</v>
      </c>
      <c r="AO351" s="271">
        <f t="shared" si="107"/>
        <v>0</v>
      </c>
      <c r="AP351" s="192"/>
      <c r="AQ351" s="271"/>
      <c r="AR351" s="192"/>
      <c r="AS351" s="271"/>
      <c r="AT351" s="45"/>
      <c r="AU351" s="36"/>
      <c r="AV351" s="36"/>
      <c r="AW351" s="36"/>
      <c r="AX351" s="36"/>
    </row>
    <row r="352" spans="1:50" s="632" customFormat="1" x14ac:dyDescent="0.2">
      <c r="A352" s="634"/>
      <c r="B352" s="203"/>
      <c r="C352" s="184"/>
      <c r="D352" s="184"/>
      <c r="E352" s="213"/>
      <c r="F352" s="214"/>
      <c r="G352" s="222"/>
      <c r="H352" s="222"/>
      <c r="I352" s="222"/>
      <c r="J352" s="222"/>
      <c r="K352" s="222"/>
      <c r="L352" s="222"/>
      <c r="M352" s="222"/>
      <c r="N352" s="223"/>
      <c r="O352" s="222"/>
      <c r="P352" s="222"/>
      <c r="Q352" s="222"/>
      <c r="R352" s="222"/>
      <c r="S352" s="222"/>
      <c r="T352" s="223"/>
      <c r="U352" s="192"/>
      <c r="V352" s="192"/>
      <c r="W352" s="270"/>
      <c r="X352" s="271"/>
      <c r="Y352" s="307"/>
      <c r="Z352" s="308"/>
      <c r="AA352" s="276"/>
      <c r="AB352" s="186"/>
      <c r="AC352" s="691" t="s">
        <v>1534</v>
      </c>
      <c r="AD352" s="185">
        <f>'K. GASB 75 RHBF'!C105</f>
        <v>0</v>
      </c>
      <c r="AE352" s="185"/>
      <c r="AF352" s="277"/>
      <c r="AG352" s="185"/>
      <c r="AH352" s="278"/>
      <c r="AI352" s="185"/>
      <c r="AJ352" s="277"/>
      <c r="AK352" s="186"/>
      <c r="AL352" s="222"/>
      <c r="AM352" s="222"/>
      <c r="AN352" s="270">
        <f t="shared" si="106"/>
        <v>0</v>
      </c>
      <c r="AO352" s="271">
        <f t="shared" si="107"/>
        <v>0</v>
      </c>
      <c r="AP352" s="192"/>
      <c r="AQ352" s="271"/>
      <c r="AR352" s="192"/>
      <c r="AS352" s="271"/>
      <c r="AT352" s="45"/>
      <c r="AU352" s="36"/>
      <c r="AV352" s="36"/>
      <c r="AW352" s="36"/>
      <c r="AX352" s="36"/>
    </row>
    <row r="353" spans="1:50" ht="4.5" customHeight="1" x14ac:dyDescent="0.2">
      <c r="A353" s="314"/>
      <c r="B353" s="314"/>
      <c r="C353" s="314"/>
      <c r="D353" s="314"/>
      <c r="E353" s="310"/>
      <c r="F353" s="416"/>
      <c r="G353" s="304"/>
      <c r="H353" s="304"/>
      <c r="I353" s="304"/>
      <c r="J353" s="304"/>
      <c r="K353" s="304"/>
      <c r="L353" s="304"/>
      <c r="M353" s="304"/>
      <c r="N353" s="417"/>
      <c r="O353" s="304"/>
      <c r="P353" s="304"/>
      <c r="Q353" s="304"/>
      <c r="R353" s="304"/>
      <c r="S353" s="304"/>
      <c r="T353" s="417"/>
      <c r="U353" s="192"/>
      <c r="V353" s="192"/>
      <c r="W353" s="270"/>
      <c r="X353" s="271"/>
      <c r="Y353" s="303"/>
      <c r="Z353" s="304"/>
      <c r="AA353" s="269"/>
      <c r="AB353" s="137"/>
      <c r="AC353" s="284"/>
      <c r="AE353" s="45"/>
      <c r="AF353" s="265"/>
      <c r="AG353" s="45"/>
      <c r="AH353" s="264"/>
      <c r="AI353" s="45"/>
      <c r="AJ353" s="265"/>
      <c r="AK353" s="137"/>
      <c r="AL353" s="218"/>
      <c r="AM353" s="218"/>
      <c r="AN353" s="270"/>
      <c r="AO353" s="271"/>
      <c r="AP353" s="192"/>
      <c r="AQ353" s="271"/>
      <c r="AR353" s="192"/>
      <c r="AS353" s="271"/>
      <c r="AT353" s="45"/>
      <c r="AU353" s="36"/>
      <c r="AV353" s="36"/>
      <c r="AW353" s="36"/>
      <c r="AX353" s="36"/>
    </row>
    <row r="354" spans="1:50" x14ac:dyDescent="0.2">
      <c r="A354" s="11"/>
      <c r="B354" s="203" t="s">
        <v>522</v>
      </c>
      <c r="C354" s="184"/>
      <c r="D354" s="184"/>
      <c r="E354" s="213"/>
      <c r="F354" s="214"/>
      <c r="G354" s="222"/>
      <c r="H354" s="222"/>
      <c r="I354" s="222"/>
      <c r="J354" s="222"/>
      <c r="K354" s="222"/>
      <c r="L354" s="222"/>
      <c r="M354" s="222"/>
      <c r="N354" s="223"/>
      <c r="O354" s="222"/>
      <c r="P354" s="222"/>
      <c r="Q354" s="222"/>
      <c r="R354" s="222"/>
      <c r="S354" s="222"/>
      <c r="T354" s="223"/>
      <c r="U354" s="192">
        <f t="shared" ref="U354:V357" si="108">O354+Q354+S354</f>
        <v>0</v>
      </c>
      <c r="V354" s="192">
        <f t="shared" si="108"/>
        <v>0</v>
      </c>
      <c r="W354" s="270">
        <f t="shared" ref="W354:X357" si="109">E354+G354+I354+K354+M354+U354</f>
        <v>0</v>
      </c>
      <c r="X354" s="271">
        <f t="shared" si="109"/>
        <v>0</v>
      </c>
      <c r="Y354" s="307"/>
      <c r="Z354" s="308"/>
      <c r="AA354" s="276"/>
      <c r="AB354" s="186"/>
      <c r="AC354" s="277" t="str">
        <f>'B. Depreciation'!$A$54</f>
        <v>B.1</v>
      </c>
      <c r="AD354" s="185">
        <f>'B. Depreciation'!J67</f>
        <v>0</v>
      </c>
      <c r="AE354" s="185"/>
      <c r="AF354" s="277" t="str">
        <f>'C. Capital Outlay &amp; Donations'!$D$100</f>
        <v>C.1</v>
      </c>
      <c r="AG354" s="185">
        <f>'C. Capital Outlay &amp; Donations'!M121</f>
        <v>0</v>
      </c>
      <c r="AH354" s="278" t="str">
        <f>'I. Eliminations-Consolidations'!$A$250</f>
        <v>I.7</v>
      </c>
      <c r="AI354" s="185">
        <f>'I. Eliminations-Consolidations'!J263</f>
        <v>0</v>
      </c>
      <c r="AJ354" s="277"/>
      <c r="AK354" s="186"/>
      <c r="AL354" s="222"/>
      <c r="AM354" s="222"/>
      <c r="AN354" s="270">
        <f t="shared" ref="AN354:AN359" si="110">W354+Y354+AA354+AD354+AI354+AL354</f>
        <v>0</v>
      </c>
      <c r="AO354" s="271">
        <f t="shared" ref="AO354:AO359" si="111">X354+Z354+AB354+AG354+AK354+AM354</f>
        <v>0</v>
      </c>
      <c r="AP354" s="192" t="str">
        <f>IF(SUM(AN354:AN359)-SUM(AO354:AO359)&lt;=0, " ",SUM(AN354:AN359)-SUM(AO354:AO359))</f>
        <v xml:space="preserve"> </v>
      </c>
      <c r="AQ354" s="271" t="str">
        <f>IF(SUM(AN354:AN358)-SUM(AO354:AO358)&gt;=0, " ", SUM(AO354:AO358)-SUM(AN354:AN358))</f>
        <v xml:space="preserve"> </v>
      </c>
      <c r="AR354" s="192"/>
      <c r="AS354" s="271"/>
      <c r="AT354" s="45"/>
      <c r="AU354" s="36"/>
      <c r="AV354" s="36"/>
      <c r="AW354" s="36"/>
      <c r="AX354" s="36"/>
    </row>
    <row r="355" spans="1:50" x14ac:dyDescent="0.2">
      <c r="A355" s="11"/>
      <c r="B355" s="203"/>
      <c r="C355" s="184"/>
      <c r="D355" s="184"/>
      <c r="E355" s="213"/>
      <c r="F355" s="214"/>
      <c r="G355" s="222"/>
      <c r="H355" s="222"/>
      <c r="I355" s="222"/>
      <c r="J355" s="222"/>
      <c r="K355" s="222"/>
      <c r="L355" s="222"/>
      <c r="M355" s="222"/>
      <c r="N355" s="223"/>
      <c r="O355" s="222"/>
      <c r="P355" s="222"/>
      <c r="Q355" s="222"/>
      <c r="R355" s="222"/>
      <c r="S355" s="222"/>
      <c r="T355" s="223"/>
      <c r="U355" s="192">
        <f t="shared" si="108"/>
        <v>0</v>
      </c>
      <c r="V355" s="192">
        <f t="shared" si="108"/>
        <v>0</v>
      </c>
      <c r="W355" s="270">
        <f t="shared" si="109"/>
        <v>0</v>
      </c>
      <c r="X355" s="271">
        <f t="shared" si="109"/>
        <v>0</v>
      </c>
      <c r="Y355" s="307"/>
      <c r="Z355" s="308"/>
      <c r="AA355" s="276"/>
      <c r="AB355" s="186"/>
      <c r="AC355" s="277" t="str">
        <f>'C. Capital Outlay &amp; Donations'!$D$130</f>
        <v>C.2</v>
      </c>
      <c r="AD355" s="187">
        <f>'C. Capital Outlay &amp; Donations'!K145</f>
        <v>0</v>
      </c>
      <c r="AE355" s="185"/>
      <c r="AF355" s="283" t="str">
        <f>'G.  Other Asset Entries'!$B$90</f>
        <v>G.1</v>
      </c>
      <c r="AG355" s="185">
        <f>'G.  Other Asset Entries'!N107</f>
        <v>0</v>
      </c>
      <c r="AH355" s="278"/>
      <c r="AI355" s="185"/>
      <c r="AJ355" s="277"/>
      <c r="AK355" s="186"/>
      <c r="AL355" s="222"/>
      <c r="AM355" s="222"/>
      <c r="AN355" s="270">
        <f t="shared" si="110"/>
        <v>0</v>
      </c>
      <c r="AO355" s="271">
        <f t="shared" si="111"/>
        <v>0</v>
      </c>
      <c r="AP355" s="192"/>
      <c r="AQ355" s="271"/>
      <c r="AR355" s="192"/>
      <c r="AS355" s="271"/>
      <c r="AT355" s="45"/>
      <c r="AU355" s="36"/>
      <c r="AV355" s="36"/>
      <c r="AW355" s="36"/>
      <c r="AX355" s="36"/>
    </row>
    <row r="356" spans="1:50" x14ac:dyDescent="0.2">
      <c r="A356" s="11"/>
      <c r="B356" s="203"/>
      <c r="C356" s="184"/>
      <c r="D356" s="184"/>
      <c r="E356" s="213"/>
      <c r="F356" s="214"/>
      <c r="G356" s="222"/>
      <c r="H356" s="222"/>
      <c r="I356" s="222"/>
      <c r="J356" s="222"/>
      <c r="K356" s="222"/>
      <c r="L356" s="222"/>
      <c r="M356" s="222"/>
      <c r="N356" s="223"/>
      <c r="O356" s="222"/>
      <c r="P356" s="222"/>
      <c r="Q356" s="222"/>
      <c r="R356" s="222"/>
      <c r="S356" s="222"/>
      <c r="T356" s="223"/>
      <c r="U356" s="192">
        <f t="shared" si="108"/>
        <v>0</v>
      </c>
      <c r="V356" s="192">
        <f t="shared" si="108"/>
        <v>0</v>
      </c>
      <c r="W356" s="270">
        <f t="shared" si="109"/>
        <v>0</v>
      </c>
      <c r="X356" s="271">
        <f t="shared" si="109"/>
        <v>0</v>
      </c>
      <c r="Y356" s="307"/>
      <c r="Z356" s="308"/>
      <c r="AA356" s="276"/>
      <c r="AB356" s="186"/>
      <c r="AC356" s="281" t="str">
        <f>'D.  Capital Asset Disposal'!$D$189</f>
        <v>D.1</v>
      </c>
      <c r="AD356" s="187">
        <f>'D.  Capital Asset Disposal'!M213</f>
        <v>0</v>
      </c>
      <c r="AE356" s="185"/>
      <c r="AF356" s="277" t="str">
        <f>'H. Other Liabilities &amp; Expenses'!$D$235</f>
        <v>H.1</v>
      </c>
      <c r="AG356" s="185">
        <f>'H. Other Liabilities &amp; Expenses'!N248</f>
        <v>0</v>
      </c>
      <c r="AH356" s="278"/>
      <c r="AI356" s="185"/>
      <c r="AJ356" s="277"/>
      <c r="AK356" s="186"/>
      <c r="AL356" s="222"/>
      <c r="AM356" s="222"/>
      <c r="AN356" s="270">
        <f t="shared" si="110"/>
        <v>0</v>
      </c>
      <c r="AO356" s="271">
        <f t="shared" si="111"/>
        <v>0</v>
      </c>
      <c r="AP356" s="192"/>
      <c r="AQ356" s="271"/>
      <c r="AR356" s="192"/>
      <c r="AS356" s="271"/>
      <c r="AT356" s="45"/>
      <c r="AU356" s="36"/>
      <c r="AV356" s="36"/>
      <c r="AW356" s="36"/>
      <c r="AX356" s="36"/>
    </row>
    <row r="357" spans="1:50" x14ac:dyDescent="0.2">
      <c r="A357" s="11"/>
      <c r="B357" s="203"/>
      <c r="C357" s="184"/>
      <c r="D357" s="184"/>
      <c r="E357" s="213"/>
      <c r="F357" s="214"/>
      <c r="G357" s="222"/>
      <c r="H357" s="222"/>
      <c r="I357" s="222"/>
      <c r="J357" s="222"/>
      <c r="K357" s="222"/>
      <c r="L357" s="222"/>
      <c r="M357" s="222"/>
      <c r="N357" s="223"/>
      <c r="O357" s="222"/>
      <c r="P357" s="222"/>
      <c r="Q357" s="222"/>
      <c r="R357" s="222"/>
      <c r="S357" s="222"/>
      <c r="T357" s="223"/>
      <c r="U357" s="192">
        <f t="shared" si="108"/>
        <v>0</v>
      </c>
      <c r="V357" s="192">
        <f t="shared" si="108"/>
        <v>0</v>
      </c>
      <c r="W357" s="270">
        <f t="shared" si="109"/>
        <v>0</v>
      </c>
      <c r="X357" s="271">
        <f t="shared" si="109"/>
        <v>0</v>
      </c>
      <c r="Y357" s="307"/>
      <c r="Z357" s="308"/>
      <c r="AA357" s="276"/>
      <c r="AB357" s="186"/>
      <c r="AC357" s="277" t="str">
        <f>'H. Other Liabilities &amp; Expenses'!$D$235</f>
        <v>H.1</v>
      </c>
      <c r="AD357" s="185">
        <f>'H. Other Liabilities &amp; Expenses'!L248</f>
        <v>0</v>
      </c>
      <c r="AE357" s="185"/>
      <c r="AF357" s="277" t="str">
        <f>'E. Debt Service'!$D$81</f>
        <v>E.1</v>
      </c>
      <c r="AG357" s="185">
        <f>'E. Debt Service'!N96</f>
        <v>0</v>
      </c>
      <c r="AH357" s="278"/>
      <c r="AI357" s="185"/>
      <c r="AJ357" s="277"/>
      <c r="AK357" s="186"/>
      <c r="AL357" s="222"/>
      <c r="AM357" s="222"/>
      <c r="AN357" s="270">
        <f t="shared" si="110"/>
        <v>0</v>
      </c>
      <c r="AO357" s="271">
        <f t="shared" si="111"/>
        <v>0</v>
      </c>
      <c r="AP357" s="192"/>
      <c r="AQ357" s="271"/>
      <c r="AR357" s="192"/>
      <c r="AS357" s="271"/>
      <c r="AT357" s="45"/>
      <c r="AU357" s="36"/>
      <c r="AV357" s="36"/>
      <c r="AW357" s="36"/>
      <c r="AX357" s="36"/>
    </row>
    <row r="358" spans="1:50" s="493" customFormat="1" x14ac:dyDescent="0.2">
      <c r="A358" s="498"/>
      <c r="B358" s="203"/>
      <c r="C358" s="184"/>
      <c r="D358" s="184"/>
      <c r="E358" s="213"/>
      <c r="F358" s="214"/>
      <c r="G358" s="222"/>
      <c r="H358" s="222"/>
      <c r="I358" s="222"/>
      <c r="J358" s="222"/>
      <c r="K358" s="222"/>
      <c r="L358" s="222"/>
      <c r="M358" s="222"/>
      <c r="N358" s="223"/>
      <c r="O358" s="222"/>
      <c r="P358" s="222"/>
      <c r="Q358" s="222"/>
      <c r="R358" s="222"/>
      <c r="S358" s="222"/>
      <c r="T358" s="223"/>
      <c r="U358" s="192"/>
      <c r="V358" s="192"/>
      <c r="W358" s="270"/>
      <c r="X358" s="271"/>
      <c r="Y358" s="307"/>
      <c r="Z358" s="308"/>
      <c r="AA358" s="276"/>
      <c r="AB358" s="186"/>
      <c r="AC358" s="277" t="s">
        <v>1096</v>
      </c>
      <c r="AD358" s="185">
        <f>'J. GASB 68 TSERS'!C106</f>
        <v>0</v>
      </c>
      <c r="AE358" s="185"/>
      <c r="AF358" s="277" t="s">
        <v>1096</v>
      </c>
      <c r="AG358" s="185">
        <f>'J. GASB 68 TSERS'!D106</f>
        <v>0</v>
      </c>
      <c r="AH358" s="278"/>
      <c r="AI358" s="185"/>
      <c r="AJ358" s="277"/>
      <c r="AK358" s="186"/>
      <c r="AL358" s="222"/>
      <c r="AM358" s="222"/>
      <c r="AN358" s="270">
        <f t="shared" si="110"/>
        <v>0</v>
      </c>
      <c r="AO358" s="271">
        <f t="shared" si="111"/>
        <v>0</v>
      </c>
      <c r="AP358" s="192"/>
      <c r="AQ358" s="271"/>
      <c r="AR358" s="192"/>
      <c r="AS358" s="271"/>
      <c r="AT358" s="45"/>
      <c r="AU358" s="36"/>
      <c r="AV358" s="36"/>
      <c r="AW358" s="36"/>
      <c r="AX358" s="36"/>
    </row>
    <row r="359" spans="1:50" s="632" customFormat="1" x14ac:dyDescent="0.2">
      <c r="A359" s="634"/>
      <c r="B359" s="203"/>
      <c r="C359" s="184"/>
      <c r="D359" s="184"/>
      <c r="E359" s="213"/>
      <c r="F359" s="214"/>
      <c r="G359" s="222"/>
      <c r="H359" s="222"/>
      <c r="I359" s="222"/>
      <c r="J359" s="222"/>
      <c r="K359" s="222"/>
      <c r="L359" s="222"/>
      <c r="M359" s="222"/>
      <c r="N359" s="223"/>
      <c r="O359" s="222"/>
      <c r="P359" s="222"/>
      <c r="Q359" s="222"/>
      <c r="R359" s="222"/>
      <c r="S359" s="222"/>
      <c r="T359" s="223"/>
      <c r="U359" s="192"/>
      <c r="V359" s="192"/>
      <c r="W359" s="270"/>
      <c r="X359" s="271"/>
      <c r="Y359" s="307"/>
      <c r="Z359" s="308"/>
      <c r="AA359" s="276"/>
      <c r="AB359" s="186"/>
      <c r="AC359" s="691" t="s">
        <v>1534</v>
      </c>
      <c r="AD359" s="185">
        <f>'K. GASB 75 RHBF'!C106</f>
        <v>0</v>
      </c>
      <c r="AE359" s="185"/>
      <c r="AF359" s="277"/>
      <c r="AG359" s="185"/>
      <c r="AH359" s="278"/>
      <c r="AI359" s="185"/>
      <c r="AJ359" s="277"/>
      <c r="AK359" s="186"/>
      <c r="AL359" s="222"/>
      <c r="AM359" s="222"/>
      <c r="AN359" s="270">
        <f t="shared" si="110"/>
        <v>0</v>
      </c>
      <c r="AO359" s="271">
        <f t="shared" si="111"/>
        <v>0</v>
      </c>
      <c r="AP359" s="192"/>
      <c r="AQ359" s="271"/>
      <c r="AR359" s="192"/>
      <c r="AS359" s="271"/>
      <c r="AT359" s="45"/>
      <c r="AU359" s="36"/>
      <c r="AV359" s="36"/>
      <c r="AW359" s="36"/>
      <c r="AX359" s="36"/>
    </row>
    <row r="360" spans="1:50" ht="3.75" customHeight="1" x14ac:dyDescent="0.2">
      <c r="A360" s="322"/>
      <c r="B360" s="314"/>
      <c r="C360" s="314"/>
      <c r="D360" s="314"/>
      <c r="E360" s="310"/>
      <c r="F360" s="416"/>
      <c r="G360" s="304"/>
      <c r="H360" s="304"/>
      <c r="I360" s="304"/>
      <c r="J360" s="304"/>
      <c r="K360" s="304"/>
      <c r="L360" s="304"/>
      <c r="M360" s="304"/>
      <c r="N360" s="417"/>
      <c r="O360" s="304"/>
      <c r="P360" s="304"/>
      <c r="Q360" s="304"/>
      <c r="R360" s="304"/>
      <c r="S360" s="304"/>
      <c r="T360" s="417"/>
      <c r="U360" s="192"/>
      <c r="V360" s="192"/>
      <c r="W360" s="270"/>
      <c r="X360" s="271"/>
      <c r="Y360" s="303"/>
      <c r="Z360" s="304"/>
      <c r="AA360" s="269"/>
      <c r="AB360" s="137"/>
      <c r="AC360" s="284"/>
      <c r="AE360" s="45"/>
      <c r="AF360" s="265"/>
      <c r="AG360" s="45"/>
      <c r="AH360" s="264"/>
      <c r="AI360" s="45"/>
      <c r="AJ360" s="265"/>
      <c r="AK360" s="137"/>
      <c r="AL360" s="218"/>
      <c r="AM360" s="218"/>
      <c r="AN360" s="270"/>
      <c r="AO360" s="271"/>
      <c r="AP360" s="192"/>
      <c r="AQ360" s="271"/>
      <c r="AR360" s="192"/>
      <c r="AS360" s="271"/>
      <c r="AT360" s="45"/>
      <c r="AU360" s="36"/>
      <c r="AV360" s="36"/>
      <c r="AW360" s="36"/>
      <c r="AX360" s="36"/>
    </row>
    <row r="361" spans="1:50" x14ac:dyDescent="0.2">
      <c r="A361" s="11"/>
      <c r="B361" s="203" t="s">
        <v>517</v>
      </c>
      <c r="C361" s="184"/>
      <c r="D361" s="184"/>
      <c r="E361" s="213"/>
      <c r="F361" s="214"/>
      <c r="G361" s="222"/>
      <c r="H361" s="222"/>
      <c r="I361" s="222"/>
      <c r="J361" s="222"/>
      <c r="K361" s="222"/>
      <c r="L361" s="222"/>
      <c r="M361" s="222"/>
      <c r="N361" s="223"/>
      <c r="O361" s="222"/>
      <c r="P361" s="222"/>
      <c r="Q361" s="222"/>
      <c r="R361" s="222"/>
      <c r="S361" s="222"/>
      <c r="T361" s="223"/>
      <c r="U361" s="192">
        <f t="shared" ref="U361:V364" si="112">O361+Q361+S361</f>
        <v>0</v>
      </c>
      <c r="V361" s="192">
        <f t="shared" si="112"/>
        <v>0</v>
      </c>
      <c r="W361" s="270">
        <f t="shared" ref="W361:X364" si="113">E361+G361+I361+K361+M361+U361</f>
        <v>0</v>
      </c>
      <c r="X361" s="271">
        <f t="shared" si="113"/>
        <v>0</v>
      </c>
      <c r="Y361" s="307"/>
      <c r="Z361" s="308"/>
      <c r="AA361" s="276"/>
      <c r="AB361" s="186"/>
      <c r="AC361" s="277" t="str">
        <f>'B. Depreciation'!A54</f>
        <v>B.1</v>
      </c>
      <c r="AD361" s="185">
        <f>'B. Depreciation'!J68</f>
        <v>0</v>
      </c>
      <c r="AE361" s="185"/>
      <c r="AF361" s="277" t="str">
        <f>'C. Capital Outlay &amp; Donations'!$D$100</f>
        <v>C.1</v>
      </c>
      <c r="AG361" s="185">
        <f>'C. Capital Outlay &amp; Donations'!M122</f>
        <v>0</v>
      </c>
      <c r="AH361" s="278" t="str">
        <f>'I. Eliminations-Consolidations'!A250</f>
        <v>I.7</v>
      </c>
      <c r="AI361" s="185">
        <f>'I. Eliminations-Consolidations'!J264</f>
        <v>0</v>
      </c>
      <c r="AJ361" s="277"/>
      <c r="AK361" s="186"/>
      <c r="AL361" s="222"/>
      <c r="AM361" s="222"/>
      <c r="AN361" s="270">
        <f t="shared" ref="AN361:AN366" si="114">W361+Y361+AA361+AD361+AI361+AL361</f>
        <v>0</v>
      </c>
      <c r="AO361" s="271">
        <f t="shared" ref="AO361:AO366" si="115">X361+Z361+AB361+AG361+AK361+AM361</f>
        <v>0</v>
      </c>
      <c r="AP361" s="192" t="str">
        <f>IF(SUM(AN361:AN366)-SUM(AO361:AO366)&lt;=0, " ",SUM(AN361:AN366)-SUM(AO361:AO366))</f>
        <v xml:space="preserve"> </v>
      </c>
      <c r="AQ361" s="271" t="str">
        <f>IF(SUM(AN361:AN365)-SUM(AO361:AO365)&gt;=0, " ", SUM(AO361:AO365)-SUM(AN361:AN365))</f>
        <v xml:space="preserve"> </v>
      </c>
      <c r="AR361" s="192"/>
      <c r="AS361" s="271"/>
      <c r="AT361" s="45"/>
      <c r="AU361" s="36"/>
      <c r="AV361" s="36"/>
      <c r="AW361" s="36"/>
      <c r="AX361" s="36"/>
    </row>
    <row r="362" spans="1:50" x14ac:dyDescent="0.2">
      <c r="A362" s="11"/>
      <c r="B362" s="203"/>
      <c r="C362" s="184"/>
      <c r="D362" s="184"/>
      <c r="E362" s="213"/>
      <c r="F362" s="214"/>
      <c r="G362" s="222"/>
      <c r="H362" s="222"/>
      <c r="I362" s="222"/>
      <c r="J362" s="222"/>
      <c r="K362" s="222"/>
      <c r="L362" s="222"/>
      <c r="M362" s="222"/>
      <c r="N362" s="223"/>
      <c r="O362" s="222"/>
      <c r="P362" s="222"/>
      <c r="Q362" s="222"/>
      <c r="R362" s="222"/>
      <c r="S362" s="222"/>
      <c r="T362" s="223"/>
      <c r="U362" s="192">
        <f t="shared" si="112"/>
        <v>0</v>
      </c>
      <c r="V362" s="192">
        <f t="shared" si="112"/>
        <v>0</v>
      </c>
      <c r="W362" s="270">
        <f t="shared" si="113"/>
        <v>0</v>
      </c>
      <c r="X362" s="271">
        <f t="shared" si="113"/>
        <v>0</v>
      </c>
      <c r="Y362" s="307"/>
      <c r="Z362" s="308"/>
      <c r="AA362" s="276"/>
      <c r="AB362" s="186"/>
      <c r="AC362" s="277" t="str">
        <f>'H. Other Liabilities &amp; Expenses'!D235</f>
        <v>H.1</v>
      </c>
      <c r="AD362" s="185">
        <f>'H. Other Liabilities &amp; Expenses'!L249</f>
        <v>0</v>
      </c>
      <c r="AE362" s="185"/>
      <c r="AF362" s="283" t="str">
        <f>'G.  Other Asset Entries'!$B$90</f>
        <v>G.1</v>
      </c>
      <c r="AG362" s="185">
        <f>'G.  Other Asset Entries'!N108</f>
        <v>0</v>
      </c>
      <c r="AH362" s="278"/>
      <c r="AI362" s="185"/>
      <c r="AJ362" s="277"/>
      <c r="AK362" s="186"/>
      <c r="AL362" s="222"/>
      <c r="AM362" s="222"/>
      <c r="AN362" s="270">
        <f t="shared" si="114"/>
        <v>0</v>
      </c>
      <c r="AO362" s="271">
        <f t="shared" si="115"/>
        <v>0</v>
      </c>
      <c r="AP362" s="192"/>
      <c r="AQ362" s="271"/>
      <c r="AR362" s="192"/>
      <c r="AS362" s="271"/>
      <c r="AT362" s="45"/>
      <c r="AU362" s="36"/>
      <c r="AV362" s="36"/>
      <c r="AW362" s="36"/>
      <c r="AX362" s="36"/>
    </row>
    <row r="363" spans="1:50" x14ac:dyDescent="0.2">
      <c r="A363" s="11"/>
      <c r="B363" s="203"/>
      <c r="C363" s="184"/>
      <c r="D363" s="184"/>
      <c r="E363" s="213"/>
      <c r="F363" s="214"/>
      <c r="G363" s="222"/>
      <c r="H363" s="222"/>
      <c r="I363" s="222"/>
      <c r="J363" s="222"/>
      <c r="K363" s="222"/>
      <c r="L363" s="222"/>
      <c r="M363" s="222"/>
      <c r="N363" s="223"/>
      <c r="O363" s="222"/>
      <c r="P363" s="222"/>
      <c r="Q363" s="222"/>
      <c r="R363" s="222"/>
      <c r="S363" s="222"/>
      <c r="T363" s="223"/>
      <c r="U363" s="192">
        <f t="shared" si="112"/>
        <v>0</v>
      </c>
      <c r="V363" s="192">
        <f t="shared" si="112"/>
        <v>0</v>
      </c>
      <c r="W363" s="270">
        <f t="shared" si="113"/>
        <v>0</v>
      </c>
      <c r="X363" s="271">
        <f t="shared" si="113"/>
        <v>0</v>
      </c>
      <c r="Y363" s="307"/>
      <c r="Z363" s="308"/>
      <c r="AA363" s="276"/>
      <c r="AB363" s="186"/>
      <c r="AC363" s="277" t="str">
        <f>'C. Capital Outlay &amp; Donations'!D130</f>
        <v>C.2</v>
      </c>
      <c r="AD363" s="187">
        <f>'C. Capital Outlay &amp; Donations'!K146</f>
        <v>0</v>
      </c>
      <c r="AE363" s="185"/>
      <c r="AF363" s="277" t="str">
        <f>'H. Other Liabilities &amp; Expenses'!$D$235</f>
        <v>H.1</v>
      </c>
      <c r="AG363" s="185">
        <f>'H. Other Liabilities &amp; Expenses'!N249</f>
        <v>0</v>
      </c>
      <c r="AH363" s="278"/>
      <c r="AI363" s="185"/>
      <c r="AJ363" s="277"/>
      <c r="AK363" s="186"/>
      <c r="AL363" s="222"/>
      <c r="AM363" s="222"/>
      <c r="AN363" s="270">
        <f t="shared" si="114"/>
        <v>0</v>
      </c>
      <c r="AO363" s="271">
        <f t="shared" si="115"/>
        <v>0</v>
      </c>
      <c r="AP363" s="192"/>
      <c r="AQ363" s="271"/>
      <c r="AR363" s="192"/>
      <c r="AS363" s="271"/>
      <c r="AT363" s="45"/>
      <c r="AU363" s="36"/>
      <c r="AV363" s="36"/>
      <c r="AW363" s="36"/>
      <c r="AX363" s="36"/>
    </row>
    <row r="364" spans="1:50" x14ac:dyDescent="0.2">
      <c r="A364" s="11"/>
      <c r="B364" s="203"/>
      <c r="C364" s="184"/>
      <c r="D364" s="184"/>
      <c r="E364" s="213"/>
      <c r="F364" s="214"/>
      <c r="G364" s="222"/>
      <c r="H364" s="222"/>
      <c r="I364" s="222"/>
      <c r="J364" s="222"/>
      <c r="K364" s="222"/>
      <c r="L364" s="222"/>
      <c r="M364" s="222"/>
      <c r="N364" s="223"/>
      <c r="O364" s="222"/>
      <c r="P364" s="222"/>
      <c r="Q364" s="222"/>
      <c r="R364" s="222"/>
      <c r="S364" s="222"/>
      <c r="T364" s="223"/>
      <c r="U364" s="192">
        <f t="shared" si="112"/>
        <v>0</v>
      </c>
      <c r="V364" s="192">
        <f t="shared" si="112"/>
        <v>0</v>
      </c>
      <c r="W364" s="270">
        <f t="shared" si="113"/>
        <v>0</v>
      </c>
      <c r="X364" s="271">
        <f t="shared" si="113"/>
        <v>0</v>
      </c>
      <c r="Y364" s="307"/>
      <c r="Z364" s="308"/>
      <c r="AA364" s="276"/>
      <c r="AB364" s="186"/>
      <c r="AC364" s="277" t="s">
        <v>135</v>
      </c>
      <c r="AD364" s="185">
        <f>'D.  Capital Asset Disposal'!M214</f>
        <v>0</v>
      </c>
      <c r="AE364" s="185"/>
      <c r="AF364" s="277" t="str">
        <f>'E. Debt Service'!$D$81</f>
        <v>E.1</v>
      </c>
      <c r="AG364" s="185">
        <f>'E. Debt Service'!N97</f>
        <v>0</v>
      </c>
      <c r="AH364" s="278"/>
      <c r="AI364" s="185"/>
      <c r="AJ364" s="277"/>
      <c r="AK364" s="186"/>
      <c r="AL364" s="222"/>
      <c r="AM364" s="222"/>
      <c r="AN364" s="270">
        <f t="shared" si="114"/>
        <v>0</v>
      </c>
      <c r="AO364" s="271">
        <f t="shared" si="115"/>
        <v>0</v>
      </c>
      <c r="AP364" s="192"/>
      <c r="AQ364" s="271"/>
      <c r="AR364" s="192"/>
      <c r="AS364" s="271"/>
      <c r="AT364" s="45"/>
      <c r="AU364" s="36"/>
      <c r="AV364" s="36"/>
      <c r="AW364" s="36"/>
      <c r="AX364" s="36"/>
    </row>
    <row r="365" spans="1:50" s="493" customFormat="1" x14ac:dyDescent="0.2">
      <c r="A365" s="498"/>
      <c r="B365" s="203"/>
      <c r="C365" s="184"/>
      <c r="D365" s="184"/>
      <c r="E365" s="213"/>
      <c r="F365" s="214"/>
      <c r="G365" s="222"/>
      <c r="H365" s="222"/>
      <c r="I365" s="222"/>
      <c r="J365" s="222"/>
      <c r="K365" s="222"/>
      <c r="L365" s="222"/>
      <c r="M365" s="222"/>
      <c r="N365" s="223"/>
      <c r="O365" s="222"/>
      <c r="P365" s="222"/>
      <c r="Q365" s="222"/>
      <c r="R365" s="222"/>
      <c r="S365" s="222"/>
      <c r="T365" s="223"/>
      <c r="U365" s="192"/>
      <c r="V365" s="192"/>
      <c r="W365" s="270"/>
      <c r="X365" s="271"/>
      <c r="Y365" s="307"/>
      <c r="Z365" s="308"/>
      <c r="AA365" s="276"/>
      <c r="AB365" s="186"/>
      <c r="AC365" s="277" t="s">
        <v>1096</v>
      </c>
      <c r="AD365" s="185">
        <f>'J. GASB 68 TSERS'!C107</f>
        <v>0</v>
      </c>
      <c r="AE365" s="185"/>
      <c r="AF365" s="277" t="s">
        <v>1096</v>
      </c>
      <c r="AG365" s="185">
        <f>'J. GASB 68 TSERS'!D107</f>
        <v>0</v>
      </c>
      <c r="AH365" s="278"/>
      <c r="AI365" s="185"/>
      <c r="AJ365" s="277"/>
      <c r="AK365" s="186"/>
      <c r="AL365" s="222"/>
      <c r="AM365" s="222"/>
      <c r="AN365" s="270">
        <f t="shared" si="114"/>
        <v>0</v>
      </c>
      <c r="AO365" s="271">
        <f t="shared" si="115"/>
        <v>0</v>
      </c>
      <c r="AP365" s="192"/>
      <c r="AQ365" s="271"/>
      <c r="AR365" s="192"/>
      <c r="AS365" s="271"/>
      <c r="AT365" s="45"/>
      <c r="AU365" s="36"/>
      <c r="AV365" s="36"/>
      <c r="AW365" s="36"/>
      <c r="AX365" s="36"/>
    </row>
    <row r="366" spans="1:50" s="632" customFormat="1" x14ac:dyDescent="0.2">
      <c r="A366" s="634"/>
      <c r="B366" s="203"/>
      <c r="C366" s="184"/>
      <c r="D366" s="184"/>
      <c r="E366" s="213"/>
      <c r="F366" s="214"/>
      <c r="G366" s="222"/>
      <c r="H366" s="222"/>
      <c r="I366" s="222"/>
      <c r="J366" s="222"/>
      <c r="K366" s="222"/>
      <c r="L366" s="222"/>
      <c r="M366" s="222"/>
      <c r="N366" s="223"/>
      <c r="O366" s="222"/>
      <c r="P366" s="222"/>
      <c r="Q366" s="222"/>
      <c r="R366" s="222"/>
      <c r="S366" s="222"/>
      <c r="T366" s="223"/>
      <c r="U366" s="192"/>
      <c r="V366" s="192"/>
      <c r="W366" s="270"/>
      <c r="X366" s="271"/>
      <c r="Y366" s="307"/>
      <c r="Z366" s="308"/>
      <c r="AA366" s="276"/>
      <c r="AB366" s="186"/>
      <c r="AC366" s="691" t="s">
        <v>1534</v>
      </c>
      <c r="AD366" s="185">
        <f>'K. GASB 75 RHBF'!C107</f>
        <v>0</v>
      </c>
      <c r="AE366" s="185"/>
      <c r="AF366" s="277"/>
      <c r="AG366" s="185"/>
      <c r="AH366" s="278"/>
      <c r="AI366" s="185"/>
      <c r="AJ366" s="277"/>
      <c r="AK366" s="186"/>
      <c r="AL366" s="222"/>
      <c r="AM366" s="222"/>
      <c r="AN366" s="270">
        <f t="shared" si="114"/>
        <v>0</v>
      </c>
      <c r="AO366" s="271">
        <f t="shared" si="115"/>
        <v>0</v>
      </c>
      <c r="AP366" s="192"/>
      <c r="AQ366" s="271"/>
      <c r="AR366" s="192"/>
      <c r="AS366" s="271"/>
      <c r="AT366" s="45"/>
      <c r="AU366" s="36"/>
      <c r="AV366" s="36"/>
      <c r="AW366" s="36"/>
      <c r="AX366" s="36"/>
    </row>
    <row r="367" spans="1:50" ht="3.75" customHeight="1" x14ac:dyDescent="0.2">
      <c r="A367" s="322"/>
      <c r="B367" s="419"/>
      <c r="C367" s="322"/>
      <c r="D367" s="322"/>
      <c r="E367" s="420"/>
      <c r="F367" s="318"/>
      <c r="G367" s="306"/>
      <c r="H367" s="306"/>
      <c r="I367" s="306"/>
      <c r="J367" s="306"/>
      <c r="K367" s="306"/>
      <c r="L367" s="306"/>
      <c r="M367" s="306"/>
      <c r="N367" s="421"/>
      <c r="O367" s="306"/>
      <c r="P367" s="306"/>
      <c r="Q367" s="306"/>
      <c r="R367" s="306"/>
      <c r="S367" s="306"/>
      <c r="T367" s="421"/>
      <c r="U367" s="192"/>
      <c r="V367" s="192"/>
      <c r="W367" s="270"/>
      <c r="X367" s="271"/>
      <c r="Y367" s="305"/>
      <c r="Z367" s="306"/>
      <c r="AA367" s="273"/>
      <c r="AB367" s="138"/>
      <c r="AC367" s="274"/>
      <c r="AD367" s="44"/>
      <c r="AE367" s="44"/>
      <c r="AF367" s="279"/>
      <c r="AG367" s="44"/>
      <c r="AH367" s="275"/>
      <c r="AI367" s="44"/>
      <c r="AJ367" s="274"/>
      <c r="AK367" s="138"/>
      <c r="AL367" s="220"/>
      <c r="AM367" s="220"/>
      <c r="AN367" s="270"/>
      <c r="AO367" s="271"/>
      <c r="AP367" s="192"/>
      <c r="AQ367" s="271"/>
      <c r="AR367" s="192"/>
      <c r="AS367" s="271"/>
      <c r="AT367" s="45"/>
      <c r="AU367" s="36"/>
      <c r="AV367" s="36"/>
      <c r="AW367" s="36"/>
      <c r="AX367" s="36"/>
    </row>
    <row r="368" spans="1:50" x14ac:dyDescent="0.2">
      <c r="A368" s="11"/>
      <c r="B368" s="203" t="s">
        <v>247</v>
      </c>
      <c r="C368" s="184"/>
      <c r="D368" s="184"/>
      <c r="E368" s="213"/>
      <c r="F368" s="214"/>
      <c r="G368" s="222"/>
      <c r="H368" s="222"/>
      <c r="I368" s="222"/>
      <c r="J368" s="222"/>
      <c r="K368" s="222"/>
      <c r="L368" s="222"/>
      <c r="M368" s="222"/>
      <c r="N368" s="223"/>
      <c r="O368" s="222"/>
      <c r="P368" s="222"/>
      <c r="Q368" s="222"/>
      <c r="R368" s="222"/>
      <c r="S368" s="222"/>
      <c r="T368" s="223"/>
      <c r="U368" s="192">
        <f t="shared" ref="U368:V371" si="116">O368+Q368+S368</f>
        <v>0</v>
      </c>
      <c r="V368" s="192">
        <f t="shared" si="116"/>
        <v>0</v>
      </c>
      <c r="W368" s="270">
        <f t="shared" ref="W368:X371" si="117">E368+G368+I368+K368+M368+U368</f>
        <v>0</v>
      </c>
      <c r="X368" s="271">
        <f t="shared" si="117"/>
        <v>0</v>
      </c>
      <c r="Y368" s="307"/>
      <c r="Z368" s="308"/>
      <c r="AA368" s="276"/>
      <c r="AB368" s="186"/>
      <c r="AC368" s="277" t="str">
        <f>'B. Depreciation'!A54</f>
        <v>B.1</v>
      </c>
      <c r="AD368" s="185">
        <f>'B. Depreciation'!J69</f>
        <v>0</v>
      </c>
      <c r="AE368" s="185"/>
      <c r="AF368" s="277" t="str">
        <f>'C. Capital Outlay &amp; Donations'!$D$100</f>
        <v>C.1</v>
      </c>
      <c r="AG368" s="185">
        <f>'C. Capital Outlay &amp; Donations'!M123</f>
        <v>0</v>
      </c>
      <c r="AH368" s="278" t="str">
        <f>'I. Eliminations-Consolidations'!A250</f>
        <v>I.7</v>
      </c>
      <c r="AI368" s="185">
        <f>'I. Eliminations-Consolidations'!J265</f>
        <v>0</v>
      </c>
      <c r="AJ368" s="277"/>
      <c r="AK368" s="186"/>
      <c r="AL368" s="222"/>
      <c r="AM368" s="222"/>
      <c r="AN368" s="270">
        <f t="shared" ref="AN368:AN373" si="118">W368+Y368+AA368+AD368+AI368+AL368</f>
        <v>0</v>
      </c>
      <c r="AO368" s="271">
        <f t="shared" ref="AO368:AO373" si="119">X368+Z368+AB368+AG368+AK368+AM368</f>
        <v>0</v>
      </c>
      <c r="AP368" s="192" t="str">
        <f>IF(SUM(AN368:AN373)-SUM(AO368:AO373)&lt;=0, " ",SUM(AN368:AN373)-SUM(AO368:AO373))</f>
        <v xml:space="preserve"> </v>
      </c>
      <c r="AQ368" s="271" t="str">
        <f>IF(SUM(AN368:AN372)-SUM(AO368:AO372)&gt;=0, " ", SUM(AO368:AO372)-SUM(AN368:AN372))</f>
        <v xml:space="preserve"> </v>
      </c>
      <c r="AR368" s="192"/>
      <c r="AS368" s="271"/>
      <c r="AT368" s="45"/>
      <c r="AU368" s="36"/>
      <c r="AV368" s="36"/>
      <c r="AW368" s="36"/>
      <c r="AX368" s="36"/>
    </row>
    <row r="369" spans="1:50" x14ac:dyDescent="0.2">
      <c r="A369" s="11"/>
      <c r="B369" s="203"/>
      <c r="C369" s="184"/>
      <c r="D369" s="184"/>
      <c r="E369" s="213"/>
      <c r="F369" s="214"/>
      <c r="G369" s="222"/>
      <c r="H369" s="222"/>
      <c r="I369" s="222"/>
      <c r="J369" s="222"/>
      <c r="K369" s="222"/>
      <c r="L369" s="222"/>
      <c r="M369" s="222"/>
      <c r="N369" s="223"/>
      <c r="O369" s="222"/>
      <c r="P369" s="222"/>
      <c r="Q369" s="222"/>
      <c r="R369" s="222"/>
      <c r="S369" s="222"/>
      <c r="T369" s="223"/>
      <c r="U369" s="192">
        <f t="shared" si="116"/>
        <v>0</v>
      </c>
      <c r="V369" s="192">
        <f t="shared" si="116"/>
        <v>0</v>
      </c>
      <c r="W369" s="270">
        <f t="shared" si="117"/>
        <v>0</v>
      </c>
      <c r="X369" s="271">
        <f t="shared" si="117"/>
        <v>0</v>
      </c>
      <c r="Y369" s="307"/>
      <c r="Z369" s="308"/>
      <c r="AA369" s="276"/>
      <c r="AB369" s="186"/>
      <c r="AC369" s="277" t="str">
        <f>'H. Other Liabilities &amp; Expenses'!D235</f>
        <v>H.1</v>
      </c>
      <c r="AD369" s="185">
        <f>'H. Other Liabilities &amp; Expenses'!L250</f>
        <v>0</v>
      </c>
      <c r="AE369" s="185"/>
      <c r="AF369" s="283" t="str">
        <f>'G.  Other Asset Entries'!$B$90</f>
        <v>G.1</v>
      </c>
      <c r="AG369" s="185">
        <f>'G.  Other Asset Entries'!N109</f>
        <v>0</v>
      </c>
      <c r="AH369" s="278"/>
      <c r="AI369" s="185"/>
      <c r="AJ369" s="277"/>
      <c r="AK369" s="186"/>
      <c r="AL369" s="222"/>
      <c r="AM369" s="222"/>
      <c r="AN369" s="270">
        <f t="shared" si="118"/>
        <v>0</v>
      </c>
      <c r="AO369" s="271">
        <f t="shared" si="119"/>
        <v>0</v>
      </c>
      <c r="AP369" s="192"/>
      <c r="AQ369" s="271"/>
      <c r="AR369" s="192"/>
      <c r="AS369" s="271"/>
      <c r="AT369" s="45"/>
      <c r="AU369" s="36"/>
      <c r="AV369" s="36"/>
      <c r="AW369" s="36"/>
      <c r="AX369" s="36"/>
    </row>
    <row r="370" spans="1:50" x14ac:dyDescent="0.2">
      <c r="A370" s="11"/>
      <c r="B370" s="203"/>
      <c r="C370" s="184"/>
      <c r="D370" s="184"/>
      <c r="E370" s="213"/>
      <c r="F370" s="214"/>
      <c r="G370" s="222"/>
      <c r="H370" s="222"/>
      <c r="I370" s="222"/>
      <c r="J370" s="222"/>
      <c r="K370" s="222"/>
      <c r="L370" s="222"/>
      <c r="M370" s="222"/>
      <c r="N370" s="223"/>
      <c r="O370" s="222"/>
      <c r="P370" s="222"/>
      <c r="Q370" s="222"/>
      <c r="R370" s="222"/>
      <c r="S370" s="222"/>
      <c r="T370" s="223"/>
      <c r="U370" s="192">
        <f t="shared" si="116"/>
        <v>0</v>
      </c>
      <c r="V370" s="192">
        <f t="shared" si="116"/>
        <v>0</v>
      </c>
      <c r="W370" s="270">
        <f t="shared" si="117"/>
        <v>0</v>
      </c>
      <c r="X370" s="271">
        <f t="shared" si="117"/>
        <v>0</v>
      </c>
      <c r="Y370" s="307"/>
      <c r="Z370" s="308"/>
      <c r="AA370" s="276"/>
      <c r="AB370" s="186"/>
      <c r="AC370" s="277" t="str">
        <f>'C. Capital Outlay &amp; Donations'!D130</f>
        <v>C.2</v>
      </c>
      <c r="AD370" s="187">
        <f>'C. Capital Outlay &amp; Donations'!K147</f>
        <v>0</v>
      </c>
      <c r="AE370" s="185"/>
      <c r="AF370" s="277" t="str">
        <f>'H. Other Liabilities &amp; Expenses'!$D$235</f>
        <v>H.1</v>
      </c>
      <c r="AG370" s="185">
        <f>'H. Other Liabilities &amp; Expenses'!N250</f>
        <v>0</v>
      </c>
      <c r="AH370" s="278"/>
      <c r="AI370" s="185"/>
      <c r="AJ370" s="277"/>
      <c r="AK370" s="186"/>
      <c r="AL370" s="222"/>
      <c r="AM370" s="222"/>
      <c r="AN370" s="270">
        <f t="shared" si="118"/>
        <v>0</v>
      </c>
      <c r="AO370" s="271">
        <f t="shared" si="119"/>
        <v>0</v>
      </c>
      <c r="AP370" s="192"/>
      <c r="AQ370" s="271"/>
      <c r="AR370" s="192"/>
      <c r="AS370" s="271"/>
      <c r="AT370" s="45"/>
      <c r="AU370" s="36"/>
      <c r="AV370" s="36"/>
      <c r="AW370" s="36"/>
      <c r="AX370" s="36"/>
    </row>
    <row r="371" spans="1:50" x14ac:dyDescent="0.2">
      <c r="A371" s="11"/>
      <c r="B371" s="203"/>
      <c r="C371" s="184"/>
      <c r="D371" s="184"/>
      <c r="E371" s="213"/>
      <c r="F371" s="214"/>
      <c r="G371" s="222"/>
      <c r="H371" s="222"/>
      <c r="I371" s="222"/>
      <c r="J371" s="222"/>
      <c r="K371" s="222"/>
      <c r="L371" s="222"/>
      <c r="M371" s="222"/>
      <c r="N371" s="223"/>
      <c r="O371" s="222"/>
      <c r="P371" s="222"/>
      <c r="Q371" s="222"/>
      <c r="R371" s="222"/>
      <c r="S371" s="222"/>
      <c r="T371" s="223"/>
      <c r="U371" s="192">
        <f t="shared" si="116"/>
        <v>0</v>
      </c>
      <c r="V371" s="192">
        <f t="shared" si="116"/>
        <v>0</v>
      </c>
      <c r="W371" s="270">
        <f t="shared" si="117"/>
        <v>0</v>
      </c>
      <c r="X371" s="271">
        <f t="shared" si="117"/>
        <v>0</v>
      </c>
      <c r="Y371" s="307"/>
      <c r="Z371" s="308"/>
      <c r="AA371" s="276"/>
      <c r="AB371" s="186"/>
      <c r="AC371" s="277" t="s">
        <v>135</v>
      </c>
      <c r="AD371" s="185">
        <f>'D.  Capital Asset Disposal'!M215</f>
        <v>0</v>
      </c>
      <c r="AE371" s="185"/>
      <c r="AF371" s="277" t="str">
        <f>'E. Debt Service'!$D$81</f>
        <v>E.1</v>
      </c>
      <c r="AG371" s="185">
        <f>'E. Debt Service'!N98</f>
        <v>0</v>
      </c>
      <c r="AH371" s="278"/>
      <c r="AI371" s="185"/>
      <c r="AJ371" s="277"/>
      <c r="AK371" s="186"/>
      <c r="AL371" s="222"/>
      <c r="AM371" s="222"/>
      <c r="AN371" s="270">
        <f t="shared" si="118"/>
        <v>0</v>
      </c>
      <c r="AO371" s="271">
        <f t="shared" si="119"/>
        <v>0</v>
      </c>
      <c r="AP371" s="192"/>
      <c r="AQ371" s="271"/>
      <c r="AR371" s="192"/>
      <c r="AS371" s="271"/>
      <c r="AT371" s="45"/>
      <c r="AU371" s="36"/>
      <c r="AV371" s="36"/>
      <c r="AW371" s="36"/>
      <c r="AX371" s="36"/>
    </row>
    <row r="372" spans="1:50" s="493" customFormat="1" x14ac:dyDescent="0.2">
      <c r="A372" s="498"/>
      <c r="B372" s="203"/>
      <c r="C372" s="184"/>
      <c r="D372" s="184"/>
      <c r="E372" s="213"/>
      <c r="F372" s="214"/>
      <c r="G372" s="222"/>
      <c r="H372" s="222"/>
      <c r="I372" s="222"/>
      <c r="J372" s="222"/>
      <c r="K372" s="222"/>
      <c r="L372" s="222"/>
      <c r="M372" s="222"/>
      <c r="N372" s="223"/>
      <c r="O372" s="222"/>
      <c r="P372" s="222"/>
      <c r="Q372" s="222"/>
      <c r="R372" s="222"/>
      <c r="S372" s="222"/>
      <c r="T372" s="223"/>
      <c r="U372" s="192"/>
      <c r="V372" s="192"/>
      <c r="W372" s="270"/>
      <c r="X372" s="271"/>
      <c r="Y372" s="307"/>
      <c r="Z372" s="308"/>
      <c r="AA372" s="276"/>
      <c r="AB372" s="186"/>
      <c r="AC372" s="277" t="s">
        <v>1096</v>
      </c>
      <c r="AD372" s="185">
        <f>'J. GASB 68 TSERS'!C108</f>
        <v>0</v>
      </c>
      <c r="AE372" s="185"/>
      <c r="AF372" s="277" t="s">
        <v>1096</v>
      </c>
      <c r="AG372" s="185">
        <f>'J. GASB 68 TSERS'!D108</f>
        <v>0</v>
      </c>
      <c r="AH372" s="278"/>
      <c r="AI372" s="185"/>
      <c r="AJ372" s="277"/>
      <c r="AK372" s="186"/>
      <c r="AL372" s="222"/>
      <c r="AM372" s="222"/>
      <c r="AN372" s="270">
        <f t="shared" si="118"/>
        <v>0</v>
      </c>
      <c r="AO372" s="271">
        <f t="shared" si="119"/>
        <v>0</v>
      </c>
      <c r="AP372" s="192"/>
      <c r="AQ372" s="271"/>
      <c r="AR372" s="192"/>
      <c r="AS372" s="271"/>
      <c r="AT372" s="45"/>
      <c r="AU372" s="36"/>
      <c r="AV372" s="36"/>
      <c r="AW372" s="36"/>
      <c r="AX372" s="36"/>
    </row>
    <row r="373" spans="1:50" s="632" customFormat="1" x14ac:dyDescent="0.2">
      <c r="A373" s="634"/>
      <c r="B373" s="203"/>
      <c r="C373" s="184"/>
      <c r="D373" s="184"/>
      <c r="E373" s="213"/>
      <c r="F373" s="214"/>
      <c r="G373" s="222"/>
      <c r="H373" s="222"/>
      <c r="I373" s="222"/>
      <c r="J373" s="222"/>
      <c r="K373" s="222"/>
      <c r="L373" s="222"/>
      <c r="M373" s="222"/>
      <c r="N373" s="223"/>
      <c r="O373" s="222"/>
      <c r="P373" s="222"/>
      <c r="Q373" s="222"/>
      <c r="R373" s="222"/>
      <c r="S373" s="222"/>
      <c r="T373" s="223"/>
      <c r="U373" s="192"/>
      <c r="V373" s="192"/>
      <c r="W373" s="270"/>
      <c r="X373" s="271"/>
      <c r="Y373" s="307"/>
      <c r="Z373" s="308"/>
      <c r="AA373" s="276"/>
      <c r="AB373" s="186"/>
      <c r="AC373" s="691" t="s">
        <v>1534</v>
      </c>
      <c r="AD373" s="185">
        <f>'K. GASB 75 RHBF'!C108</f>
        <v>0</v>
      </c>
      <c r="AE373" s="185"/>
      <c r="AF373" s="277"/>
      <c r="AG373" s="185"/>
      <c r="AH373" s="278"/>
      <c r="AI373" s="185"/>
      <c r="AJ373" s="277"/>
      <c r="AK373" s="186"/>
      <c r="AL373" s="222"/>
      <c r="AM373" s="222"/>
      <c r="AN373" s="270">
        <f t="shared" si="118"/>
        <v>0</v>
      </c>
      <c r="AO373" s="271">
        <f t="shared" si="119"/>
        <v>0</v>
      </c>
      <c r="AP373" s="192"/>
      <c r="AQ373" s="271"/>
      <c r="AR373" s="192"/>
      <c r="AS373" s="271"/>
      <c r="AT373" s="45"/>
      <c r="AU373" s="36"/>
      <c r="AV373" s="36"/>
      <c r="AW373" s="36"/>
      <c r="AX373" s="36"/>
    </row>
    <row r="374" spans="1:50" ht="3.75" customHeight="1" x14ac:dyDescent="0.2">
      <c r="A374" s="322"/>
      <c r="B374" s="314"/>
      <c r="C374" s="314"/>
      <c r="D374" s="314"/>
      <c r="E374" s="310"/>
      <c r="F374" s="416"/>
      <c r="G374" s="304"/>
      <c r="H374" s="304"/>
      <c r="I374" s="304"/>
      <c r="J374" s="304"/>
      <c r="K374" s="304"/>
      <c r="L374" s="304"/>
      <c r="M374" s="304"/>
      <c r="N374" s="417"/>
      <c r="O374" s="304"/>
      <c r="P374" s="304"/>
      <c r="Q374" s="304"/>
      <c r="R374" s="304"/>
      <c r="S374" s="304"/>
      <c r="T374" s="417"/>
      <c r="U374" s="192"/>
      <c r="V374" s="192"/>
      <c r="W374" s="270"/>
      <c r="X374" s="271"/>
      <c r="Y374" s="303"/>
      <c r="Z374" s="304"/>
      <c r="AA374" s="269"/>
      <c r="AB374" s="137"/>
      <c r="AC374" s="284"/>
      <c r="AE374" s="45"/>
      <c r="AF374" s="265"/>
      <c r="AG374" s="45"/>
      <c r="AH374" s="264"/>
      <c r="AI374" s="45"/>
      <c r="AJ374" s="265"/>
      <c r="AK374" s="137"/>
      <c r="AL374" s="218"/>
      <c r="AM374" s="218"/>
      <c r="AN374" s="270"/>
      <c r="AO374" s="271"/>
      <c r="AP374" s="192"/>
      <c r="AQ374" s="271"/>
      <c r="AR374" s="192"/>
      <c r="AS374" s="271"/>
      <c r="AT374" s="45"/>
      <c r="AU374" s="36"/>
      <c r="AV374" s="36"/>
      <c r="AW374" s="36"/>
      <c r="AX374" s="36"/>
    </row>
    <row r="375" spans="1:50" x14ac:dyDescent="0.2">
      <c r="A375" s="11"/>
      <c r="B375" s="203" t="s">
        <v>730</v>
      </c>
      <c r="C375" s="184"/>
      <c r="D375" s="184"/>
      <c r="E375" s="213"/>
      <c r="F375" s="214"/>
      <c r="G375" s="222"/>
      <c r="H375" s="222"/>
      <c r="I375" s="222"/>
      <c r="J375" s="222"/>
      <c r="K375" s="222"/>
      <c r="L375" s="222"/>
      <c r="M375" s="222"/>
      <c r="N375" s="223"/>
      <c r="O375" s="222"/>
      <c r="P375" s="222"/>
      <c r="Q375" s="222"/>
      <c r="R375" s="222"/>
      <c r="S375" s="222"/>
      <c r="T375" s="223"/>
      <c r="U375" s="192">
        <f t="shared" ref="U375:V378" si="120">O375+Q375+S375</f>
        <v>0</v>
      </c>
      <c r="V375" s="192">
        <f t="shared" si="120"/>
        <v>0</v>
      </c>
      <c r="W375" s="270">
        <f t="shared" ref="W375:X378" si="121">E375+G375+I375+K375+M375+U375</f>
        <v>0</v>
      </c>
      <c r="X375" s="271">
        <f t="shared" si="121"/>
        <v>0</v>
      </c>
      <c r="Y375" s="307"/>
      <c r="Z375" s="308"/>
      <c r="AA375" s="276"/>
      <c r="AB375" s="186"/>
      <c r="AC375" s="281" t="str">
        <f>'B. Depreciation'!A54</f>
        <v>B.1</v>
      </c>
      <c r="AD375" s="187">
        <f>'B. Depreciation'!J70</f>
        <v>0</v>
      </c>
      <c r="AE375" s="185"/>
      <c r="AF375" s="277" t="str">
        <f>'C. Capital Outlay &amp; Donations'!$D$100</f>
        <v>C.1</v>
      </c>
      <c r="AG375" s="185">
        <f>'C. Capital Outlay &amp; Donations'!M124</f>
        <v>0</v>
      </c>
      <c r="AH375" s="278" t="str">
        <f>'I. Eliminations-Consolidations'!A250</f>
        <v>I.7</v>
      </c>
      <c r="AI375" s="185">
        <f>'I. Eliminations-Consolidations'!J266</f>
        <v>0</v>
      </c>
      <c r="AJ375" s="277" t="str">
        <f>'I. Eliminations-Consolidations'!A229</f>
        <v>I.5</v>
      </c>
      <c r="AK375" s="186">
        <f>'I. Eliminations-Consolidations'!L230</f>
        <v>0</v>
      </c>
      <c r="AL375" s="222"/>
      <c r="AM375" s="222"/>
      <c r="AN375" s="270">
        <f t="shared" ref="AN375:AN380" si="122">W375+Y375+AA375+AD375+AI375+AL375</f>
        <v>0</v>
      </c>
      <c r="AO375" s="271">
        <f t="shared" ref="AO375:AO380" si="123">X375+Z375+AB375+AG375+AK375+AM375</f>
        <v>0</v>
      </c>
      <c r="AP375" s="192" t="str">
        <f>IF(SUM(AN375:AN380)-SUM(AO375:AO380)&lt;=0, " ",SUM(AN375:AN380)-SUM(AO375:AO380))</f>
        <v xml:space="preserve"> </v>
      </c>
      <c r="AQ375" s="271" t="str">
        <f>IF(SUM(AN375:AN379)-SUM(AO375:AO379)&gt;=0, " ", SUM(AO375:AO379)-SUM(AN375:AN379))</f>
        <v xml:space="preserve"> </v>
      </c>
      <c r="AR375" s="192"/>
      <c r="AS375" s="271"/>
      <c r="AT375" s="45"/>
      <c r="AU375" s="36"/>
      <c r="AV375" s="36"/>
      <c r="AW375" s="36"/>
      <c r="AX375" s="36"/>
    </row>
    <row r="376" spans="1:50" x14ac:dyDescent="0.2">
      <c r="A376" s="11"/>
      <c r="B376" s="203"/>
      <c r="C376" s="184"/>
      <c r="D376" s="184"/>
      <c r="E376" s="213"/>
      <c r="F376" s="214"/>
      <c r="G376" s="222"/>
      <c r="H376" s="222"/>
      <c r="I376" s="222"/>
      <c r="J376" s="222"/>
      <c r="K376" s="222"/>
      <c r="L376" s="222"/>
      <c r="M376" s="222"/>
      <c r="N376" s="223"/>
      <c r="O376" s="222"/>
      <c r="P376" s="222"/>
      <c r="Q376" s="222"/>
      <c r="R376" s="222"/>
      <c r="S376" s="222"/>
      <c r="T376" s="223"/>
      <c r="U376" s="192">
        <f t="shared" si="120"/>
        <v>0</v>
      </c>
      <c r="V376" s="192">
        <f t="shared" si="120"/>
        <v>0</v>
      </c>
      <c r="W376" s="270">
        <f t="shared" si="121"/>
        <v>0</v>
      </c>
      <c r="X376" s="271">
        <f t="shared" si="121"/>
        <v>0</v>
      </c>
      <c r="Y376" s="307"/>
      <c r="Z376" s="308"/>
      <c r="AA376" s="276"/>
      <c r="AB376" s="186"/>
      <c r="AC376" s="281" t="str">
        <f>'H. Other Liabilities &amp; Expenses'!D235</f>
        <v>H.1</v>
      </c>
      <c r="AD376" s="187">
        <f>'H. Other Liabilities &amp; Expenses'!L251</f>
        <v>0</v>
      </c>
      <c r="AE376" s="185"/>
      <c r="AF376" s="283" t="str">
        <f>'G.  Other Asset Entries'!$B$90</f>
        <v>G.1</v>
      </c>
      <c r="AG376" s="185">
        <f>'G.  Other Asset Entries'!N110</f>
        <v>0</v>
      </c>
      <c r="AH376" s="278"/>
      <c r="AI376" s="185"/>
      <c r="AJ376" s="277"/>
      <c r="AK376" s="186"/>
      <c r="AL376" s="222"/>
      <c r="AM376" s="222"/>
      <c r="AN376" s="270">
        <f t="shared" si="122"/>
        <v>0</v>
      </c>
      <c r="AO376" s="271">
        <f t="shared" si="123"/>
        <v>0</v>
      </c>
      <c r="AP376" s="192"/>
      <c r="AQ376" s="271"/>
      <c r="AR376" s="192"/>
      <c r="AS376" s="271"/>
      <c r="AT376" s="45"/>
      <c r="AU376" s="36"/>
      <c r="AV376" s="36"/>
      <c r="AW376" s="36"/>
      <c r="AX376" s="36"/>
    </row>
    <row r="377" spans="1:50" x14ac:dyDescent="0.2">
      <c r="A377" s="11"/>
      <c r="B377" s="203"/>
      <c r="C377" s="184"/>
      <c r="D377" s="184"/>
      <c r="E377" s="213"/>
      <c r="F377" s="214"/>
      <c r="G377" s="222"/>
      <c r="H377" s="222"/>
      <c r="I377" s="222"/>
      <c r="J377" s="222"/>
      <c r="K377" s="222"/>
      <c r="L377" s="222"/>
      <c r="M377" s="222"/>
      <c r="N377" s="223"/>
      <c r="O377" s="222"/>
      <c r="P377" s="222"/>
      <c r="Q377" s="222"/>
      <c r="R377" s="222"/>
      <c r="S377" s="222"/>
      <c r="T377" s="223"/>
      <c r="U377" s="192">
        <f t="shared" si="120"/>
        <v>0</v>
      </c>
      <c r="V377" s="192">
        <f t="shared" si="120"/>
        <v>0</v>
      </c>
      <c r="W377" s="270">
        <f t="shared" si="121"/>
        <v>0</v>
      </c>
      <c r="X377" s="271">
        <f t="shared" si="121"/>
        <v>0</v>
      </c>
      <c r="Y377" s="307"/>
      <c r="Z377" s="308"/>
      <c r="AA377" s="276"/>
      <c r="AB377" s="186"/>
      <c r="AC377" s="277" t="str">
        <f>'C. Capital Outlay &amp; Donations'!D130</f>
        <v>C.2</v>
      </c>
      <c r="AD377" s="187">
        <f>'C. Capital Outlay &amp; Donations'!K148</f>
        <v>0</v>
      </c>
      <c r="AE377" s="185"/>
      <c r="AF377" s="277" t="str">
        <f>'H. Other Liabilities &amp; Expenses'!$D$235</f>
        <v>H.1</v>
      </c>
      <c r="AG377" s="185">
        <f>'H. Other Liabilities &amp; Expenses'!N251</f>
        <v>0</v>
      </c>
      <c r="AH377" s="278"/>
      <c r="AI377" s="185"/>
      <c r="AJ377" s="277"/>
      <c r="AK377" s="186"/>
      <c r="AL377" s="222"/>
      <c r="AM377" s="222"/>
      <c r="AN377" s="270">
        <f t="shared" si="122"/>
        <v>0</v>
      </c>
      <c r="AO377" s="271">
        <f t="shared" si="123"/>
        <v>0</v>
      </c>
      <c r="AP377" s="192"/>
      <c r="AQ377" s="271"/>
      <c r="AR377" s="192"/>
      <c r="AS377" s="271"/>
      <c r="AT377" s="45"/>
      <c r="AU377" s="36"/>
      <c r="AV377" s="36"/>
      <c r="AW377" s="36"/>
      <c r="AX377" s="36"/>
    </row>
    <row r="378" spans="1:50" x14ac:dyDescent="0.2">
      <c r="A378" s="11"/>
      <c r="B378" s="203"/>
      <c r="C378" s="184"/>
      <c r="D378" s="184"/>
      <c r="E378" s="213"/>
      <c r="F378" s="214"/>
      <c r="G378" s="222"/>
      <c r="H378" s="222"/>
      <c r="I378" s="222"/>
      <c r="J378" s="222"/>
      <c r="K378" s="222"/>
      <c r="L378" s="222"/>
      <c r="M378" s="222"/>
      <c r="N378" s="223"/>
      <c r="O378" s="222"/>
      <c r="P378" s="222"/>
      <c r="Q378" s="222"/>
      <c r="R378" s="222"/>
      <c r="S378" s="222"/>
      <c r="T378" s="223"/>
      <c r="U378" s="192">
        <f t="shared" si="120"/>
        <v>0</v>
      </c>
      <c r="V378" s="192">
        <f t="shared" si="120"/>
        <v>0</v>
      </c>
      <c r="W378" s="270">
        <f t="shared" si="121"/>
        <v>0</v>
      </c>
      <c r="X378" s="271">
        <f t="shared" si="121"/>
        <v>0</v>
      </c>
      <c r="Y378" s="307"/>
      <c r="Z378" s="308"/>
      <c r="AA378" s="276"/>
      <c r="AB378" s="186"/>
      <c r="AC378" s="281" t="s">
        <v>135</v>
      </c>
      <c r="AD378" s="187">
        <f>'D.  Capital Asset Disposal'!M216</f>
        <v>0</v>
      </c>
      <c r="AE378" s="185"/>
      <c r="AF378" s="277" t="str">
        <f>'E. Debt Service'!$D$81</f>
        <v>E.1</v>
      </c>
      <c r="AG378" s="185">
        <f>'E. Debt Service'!N99</f>
        <v>0</v>
      </c>
      <c r="AH378" s="278"/>
      <c r="AI378" s="185"/>
      <c r="AJ378" s="277"/>
      <c r="AK378" s="186"/>
      <c r="AL378" s="222"/>
      <c r="AM378" s="222"/>
      <c r="AN378" s="270">
        <f t="shared" si="122"/>
        <v>0</v>
      </c>
      <c r="AO378" s="271">
        <f t="shared" si="123"/>
        <v>0</v>
      </c>
      <c r="AP378" s="192"/>
      <c r="AQ378" s="271"/>
      <c r="AR378" s="192"/>
      <c r="AS378" s="271"/>
      <c r="AT378" s="45"/>
      <c r="AU378" s="36"/>
      <c r="AV378" s="36"/>
      <c r="AW378" s="36"/>
      <c r="AX378" s="36"/>
    </row>
    <row r="379" spans="1:50" s="493" customFormat="1" x14ac:dyDescent="0.2">
      <c r="A379" s="498"/>
      <c r="B379" s="203"/>
      <c r="C379" s="184"/>
      <c r="D379" s="184"/>
      <c r="E379" s="213"/>
      <c r="F379" s="214"/>
      <c r="G379" s="222"/>
      <c r="H379" s="222"/>
      <c r="I379" s="222"/>
      <c r="J379" s="222"/>
      <c r="K379" s="222"/>
      <c r="L379" s="222"/>
      <c r="M379" s="222"/>
      <c r="N379" s="223"/>
      <c r="O379" s="222"/>
      <c r="P379" s="222"/>
      <c r="Q379" s="222"/>
      <c r="R379" s="222"/>
      <c r="S379" s="222"/>
      <c r="T379" s="223"/>
      <c r="U379" s="192"/>
      <c r="V379" s="192"/>
      <c r="W379" s="270"/>
      <c r="X379" s="271"/>
      <c r="Y379" s="307"/>
      <c r="Z379" s="308"/>
      <c r="AA379" s="276"/>
      <c r="AB379" s="186"/>
      <c r="AC379" s="277" t="s">
        <v>1096</v>
      </c>
      <c r="AD379" s="185">
        <f>'J. GASB 68 TSERS'!C109</f>
        <v>0</v>
      </c>
      <c r="AE379" s="185"/>
      <c r="AF379" s="277" t="s">
        <v>1096</v>
      </c>
      <c r="AG379" s="185">
        <f>'J. GASB 68 TSERS'!D109</f>
        <v>0</v>
      </c>
      <c r="AH379" s="278"/>
      <c r="AI379" s="185"/>
      <c r="AJ379" s="277"/>
      <c r="AK379" s="186"/>
      <c r="AL379" s="222"/>
      <c r="AM379" s="222"/>
      <c r="AN379" s="270">
        <f t="shared" si="122"/>
        <v>0</v>
      </c>
      <c r="AO379" s="271">
        <f t="shared" si="123"/>
        <v>0</v>
      </c>
      <c r="AP379" s="192"/>
      <c r="AQ379" s="271"/>
      <c r="AR379" s="192"/>
      <c r="AS379" s="271"/>
      <c r="AT379" s="45"/>
      <c r="AU379" s="36"/>
      <c r="AV379" s="36"/>
      <c r="AW379" s="36"/>
      <c r="AX379" s="36"/>
    </row>
    <row r="380" spans="1:50" s="632" customFormat="1" x14ac:dyDescent="0.2">
      <c r="A380" s="634"/>
      <c r="B380" s="203"/>
      <c r="C380" s="184"/>
      <c r="D380" s="184"/>
      <c r="E380" s="213"/>
      <c r="F380" s="214"/>
      <c r="G380" s="222"/>
      <c r="H380" s="222"/>
      <c r="I380" s="222"/>
      <c r="J380" s="222"/>
      <c r="K380" s="222"/>
      <c r="L380" s="222"/>
      <c r="M380" s="222"/>
      <c r="N380" s="223"/>
      <c r="O380" s="222"/>
      <c r="P380" s="222"/>
      <c r="Q380" s="222"/>
      <c r="R380" s="222"/>
      <c r="S380" s="222"/>
      <c r="T380" s="223"/>
      <c r="U380" s="192"/>
      <c r="V380" s="192"/>
      <c r="W380" s="270"/>
      <c r="X380" s="271"/>
      <c r="Y380" s="307"/>
      <c r="Z380" s="308"/>
      <c r="AA380" s="276"/>
      <c r="AB380" s="186"/>
      <c r="AC380" s="691" t="s">
        <v>1534</v>
      </c>
      <c r="AD380" s="185">
        <f>'K. GASB 75 RHBF'!C109</f>
        <v>0</v>
      </c>
      <c r="AE380" s="185"/>
      <c r="AF380" s="277"/>
      <c r="AG380" s="185"/>
      <c r="AH380" s="278"/>
      <c r="AI380" s="185"/>
      <c r="AJ380" s="277"/>
      <c r="AK380" s="186"/>
      <c r="AL380" s="222"/>
      <c r="AM380" s="222"/>
      <c r="AN380" s="270">
        <f t="shared" si="122"/>
        <v>0</v>
      </c>
      <c r="AO380" s="271">
        <f t="shared" si="123"/>
        <v>0</v>
      </c>
      <c r="AP380" s="192"/>
      <c r="AQ380" s="271"/>
      <c r="AR380" s="192"/>
      <c r="AS380" s="271"/>
      <c r="AT380" s="45"/>
      <c r="AU380" s="36"/>
      <c r="AV380" s="36"/>
      <c r="AW380" s="36"/>
      <c r="AX380" s="36"/>
    </row>
    <row r="381" spans="1:50" ht="5.25" customHeight="1" x14ac:dyDescent="0.2">
      <c r="A381" s="322"/>
      <c r="B381" s="317"/>
      <c r="C381" s="314"/>
      <c r="D381" s="314"/>
      <c r="E381" s="310"/>
      <c r="F381" s="416"/>
      <c r="G381" s="304"/>
      <c r="H381" s="304"/>
      <c r="I381" s="304"/>
      <c r="J381" s="304"/>
      <c r="K381" s="304"/>
      <c r="L381" s="304"/>
      <c r="M381" s="304"/>
      <c r="N381" s="417"/>
      <c r="O381" s="304"/>
      <c r="P381" s="304"/>
      <c r="Q381" s="304"/>
      <c r="R381" s="304"/>
      <c r="S381" s="304"/>
      <c r="T381" s="417"/>
      <c r="U381" s="192"/>
      <c r="V381" s="192"/>
      <c r="W381" s="270"/>
      <c r="X381" s="271"/>
      <c r="Y381" s="303"/>
      <c r="Z381" s="304"/>
      <c r="AA381" s="269"/>
      <c r="AB381" s="137"/>
      <c r="AC381" s="284"/>
      <c r="AE381" s="45"/>
      <c r="AF381" s="265"/>
      <c r="AG381" s="45"/>
      <c r="AH381" s="264"/>
      <c r="AI381" s="45"/>
      <c r="AJ381" s="265"/>
      <c r="AK381" s="137"/>
      <c r="AL381" s="218"/>
      <c r="AM381" s="218"/>
      <c r="AN381" s="270"/>
      <c r="AO381" s="271"/>
      <c r="AP381" s="192"/>
      <c r="AQ381" s="271"/>
      <c r="AR381" s="192"/>
      <c r="AS381" s="271"/>
      <c r="AT381" s="45"/>
      <c r="AU381" s="36"/>
      <c r="AV381" s="36"/>
      <c r="AW381" s="36"/>
      <c r="AX381" s="36"/>
    </row>
    <row r="382" spans="1:50" ht="4.5" customHeight="1" x14ac:dyDescent="0.2">
      <c r="A382" s="322"/>
      <c r="B382" s="314"/>
      <c r="C382" s="314"/>
      <c r="D382" s="314"/>
      <c r="E382" s="310"/>
      <c r="F382" s="416"/>
      <c r="G382" s="304"/>
      <c r="H382" s="304"/>
      <c r="I382" s="304"/>
      <c r="J382" s="304"/>
      <c r="K382" s="304"/>
      <c r="L382" s="304"/>
      <c r="M382" s="304"/>
      <c r="N382" s="417"/>
      <c r="O382" s="304"/>
      <c r="P382" s="304"/>
      <c r="Q382" s="304"/>
      <c r="R382" s="304"/>
      <c r="S382" s="304"/>
      <c r="T382" s="417"/>
      <c r="U382" s="192"/>
      <c r="V382" s="192"/>
      <c r="W382" s="270"/>
      <c r="X382" s="271"/>
      <c r="Y382" s="303"/>
      <c r="Z382" s="304"/>
      <c r="AA382" s="269"/>
      <c r="AB382" s="137"/>
      <c r="AC382" s="284"/>
      <c r="AE382" s="45"/>
      <c r="AF382" s="265"/>
      <c r="AG382" s="45"/>
      <c r="AH382" s="264"/>
      <c r="AI382" s="45"/>
      <c r="AJ382" s="265"/>
      <c r="AK382" s="137"/>
      <c r="AL382" s="218"/>
      <c r="AM382" s="218"/>
      <c r="AN382" s="270"/>
      <c r="AO382" s="271"/>
      <c r="AP382" s="192"/>
      <c r="AQ382" s="271"/>
      <c r="AR382" s="192"/>
      <c r="AS382" s="271"/>
      <c r="AT382" s="45"/>
      <c r="AU382" s="36"/>
      <c r="AV382" s="36"/>
      <c r="AW382" s="36"/>
      <c r="AX382" s="36"/>
    </row>
    <row r="383" spans="1:50" x14ac:dyDescent="0.2">
      <c r="A383" s="314"/>
      <c r="B383" s="419" t="s">
        <v>712</v>
      </c>
      <c r="C383" s="322"/>
      <c r="D383" s="322"/>
      <c r="E383" s="420"/>
      <c r="F383" s="318"/>
      <c r="G383" s="306"/>
      <c r="H383" s="306"/>
      <c r="I383" s="306"/>
      <c r="J383" s="306"/>
      <c r="K383" s="306"/>
      <c r="L383" s="306"/>
      <c r="M383" s="306"/>
      <c r="N383" s="421"/>
      <c r="O383" s="306"/>
      <c r="P383" s="306"/>
      <c r="Q383" s="306"/>
      <c r="R383" s="306"/>
      <c r="S383" s="306"/>
      <c r="T383" s="421"/>
      <c r="U383" s="192"/>
      <c r="V383" s="192"/>
      <c r="W383" s="270"/>
      <c r="X383" s="271"/>
      <c r="Y383" s="305"/>
      <c r="Z383" s="306"/>
      <c r="AA383" s="273"/>
      <c r="AB383" s="138"/>
      <c r="AC383" s="274"/>
      <c r="AD383" s="44"/>
      <c r="AE383" s="44"/>
      <c r="AF383" s="274"/>
      <c r="AG383" s="44"/>
      <c r="AH383" s="275"/>
      <c r="AI383" s="44"/>
      <c r="AJ383" s="274"/>
      <c r="AK383" s="138"/>
      <c r="AL383" s="220"/>
      <c r="AM383" s="220"/>
      <c r="AN383" s="270"/>
      <c r="AO383" s="271"/>
      <c r="AP383" s="192"/>
      <c r="AQ383" s="271"/>
      <c r="AR383" s="192"/>
      <c r="AS383" s="271"/>
      <c r="AT383" s="45"/>
      <c r="AU383" s="36"/>
      <c r="AV383" s="36"/>
      <c r="AW383" s="36"/>
      <c r="AX383" s="36"/>
    </row>
    <row r="384" spans="1:50" x14ac:dyDescent="0.2">
      <c r="B384" s="203"/>
      <c r="C384" s="184" t="s">
        <v>303</v>
      </c>
      <c r="D384" s="184"/>
      <c r="E384" s="213"/>
      <c r="F384" s="214"/>
      <c r="G384" s="222"/>
      <c r="H384" s="222"/>
      <c r="I384" s="222"/>
      <c r="J384" s="222"/>
      <c r="K384" s="222"/>
      <c r="L384" s="222"/>
      <c r="M384" s="222"/>
      <c r="N384" s="223"/>
      <c r="O384" s="222"/>
      <c r="P384" s="222"/>
      <c r="Q384" s="222"/>
      <c r="R384" s="222"/>
      <c r="S384" s="222"/>
      <c r="T384" s="223"/>
      <c r="U384" s="192">
        <f t="shared" ref="U384:V389" si="124">O384+Q384+S384</f>
        <v>0</v>
      </c>
      <c r="V384" s="192">
        <f t="shared" si="124"/>
        <v>0</v>
      </c>
      <c r="W384" s="270">
        <f t="shared" ref="W384:X389" si="125">E384+G384+I384+K384+M384+U384</f>
        <v>0</v>
      </c>
      <c r="X384" s="271">
        <f t="shared" si="125"/>
        <v>0</v>
      </c>
      <c r="Y384" s="307"/>
      <c r="Z384" s="308"/>
      <c r="AA384" s="276"/>
      <c r="AB384" s="186"/>
      <c r="AC384" s="277"/>
      <c r="AD384" s="185"/>
      <c r="AE384" s="185"/>
      <c r="AF384" s="277" t="str">
        <f>'C. Capital Outlay &amp; Donations'!$D$100</f>
        <v>C.1</v>
      </c>
      <c r="AG384" s="185">
        <f>'C. Capital Outlay &amp; Donations'!M125</f>
        <v>0</v>
      </c>
      <c r="AH384" s="278"/>
      <c r="AI384" s="185"/>
      <c r="AJ384" s="277"/>
      <c r="AK384" s="186"/>
      <c r="AL384" s="222"/>
      <c r="AM384" s="222"/>
      <c r="AN384" s="270">
        <f t="shared" ref="AN384:AN389" si="126">W384+Y384+AA384+AD384+AI384+AL384</f>
        <v>0</v>
      </c>
      <c r="AO384" s="271">
        <f t="shared" ref="AO384:AO389" si="127">X384+Z384+AB384+AG384+AK384+AM384</f>
        <v>0</v>
      </c>
      <c r="AP384" s="192" t="str">
        <f>IF(AN384+AN385-AO384-AO385&lt;=0, " ",AN384+AN385-AO384-AO385)</f>
        <v xml:space="preserve"> </v>
      </c>
      <c r="AQ384" s="271" t="str">
        <f>IF(AN384+AN385-AO384-AO385&gt;=0, " ", AO384+AO385-AN384-AN385)</f>
        <v xml:space="preserve"> </v>
      </c>
      <c r="AR384" s="192"/>
      <c r="AS384" s="271"/>
      <c r="AT384" s="45"/>
      <c r="AU384" s="36"/>
      <c r="AV384" s="36"/>
      <c r="AW384" s="36"/>
      <c r="AX384" s="36"/>
    </row>
    <row r="385" spans="1:50" x14ac:dyDescent="0.2">
      <c r="B385" s="203"/>
      <c r="C385" s="184"/>
      <c r="D385" s="184"/>
      <c r="E385" s="213"/>
      <c r="F385" s="214"/>
      <c r="G385" s="222"/>
      <c r="H385" s="222"/>
      <c r="I385" s="222"/>
      <c r="J385" s="222"/>
      <c r="K385" s="222"/>
      <c r="L385" s="222"/>
      <c r="M385" s="222"/>
      <c r="N385" s="223"/>
      <c r="O385" s="222"/>
      <c r="P385" s="222"/>
      <c r="Q385" s="222"/>
      <c r="R385" s="222"/>
      <c r="S385" s="222"/>
      <c r="T385" s="223"/>
      <c r="U385" s="192">
        <f t="shared" si="124"/>
        <v>0</v>
      </c>
      <c r="V385" s="192">
        <f t="shared" si="124"/>
        <v>0</v>
      </c>
      <c r="W385" s="270">
        <f t="shared" si="125"/>
        <v>0</v>
      </c>
      <c r="X385" s="271">
        <f t="shared" si="125"/>
        <v>0</v>
      </c>
      <c r="Y385" s="307"/>
      <c r="Z385" s="308"/>
      <c r="AA385" s="276"/>
      <c r="AB385" s="186"/>
      <c r="AC385" s="277"/>
      <c r="AD385" s="185"/>
      <c r="AE385" s="185"/>
      <c r="AF385" s="277" t="str">
        <f>'C. Capital Outlay &amp; Donations'!$D$130</f>
        <v>C.2</v>
      </c>
      <c r="AG385" s="185">
        <f>'C. Capital Outlay &amp; Donations'!M149</f>
        <v>0</v>
      </c>
      <c r="AH385" s="278"/>
      <c r="AI385" s="185"/>
      <c r="AJ385" s="277"/>
      <c r="AK385" s="186"/>
      <c r="AL385" s="222"/>
      <c r="AM385" s="222"/>
      <c r="AN385" s="270">
        <f t="shared" si="126"/>
        <v>0</v>
      </c>
      <c r="AO385" s="271">
        <f t="shared" si="127"/>
        <v>0</v>
      </c>
      <c r="AP385" s="192"/>
      <c r="AQ385" s="271"/>
      <c r="AR385" s="192"/>
      <c r="AS385" s="271"/>
      <c r="AT385" s="45"/>
      <c r="AU385" s="36"/>
      <c r="AV385" s="36"/>
      <c r="AW385" s="36"/>
      <c r="AX385" s="36"/>
    </row>
    <row r="386" spans="1:50" x14ac:dyDescent="0.2">
      <c r="B386" s="203"/>
      <c r="C386" s="184" t="s">
        <v>304</v>
      </c>
      <c r="D386" s="184"/>
      <c r="E386" s="213"/>
      <c r="F386" s="214"/>
      <c r="G386" s="222"/>
      <c r="H386" s="222"/>
      <c r="I386" s="222"/>
      <c r="J386" s="222"/>
      <c r="K386" s="222"/>
      <c r="L386" s="222"/>
      <c r="M386" s="222"/>
      <c r="N386" s="223"/>
      <c r="O386" s="222"/>
      <c r="P386" s="222"/>
      <c r="Q386" s="222"/>
      <c r="R386" s="222"/>
      <c r="S386" s="222"/>
      <c r="T386" s="223"/>
      <c r="U386" s="192">
        <f t="shared" si="124"/>
        <v>0</v>
      </c>
      <c r="V386" s="192">
        <f t="shared" si="124"/>
        <v>0</v>
      </c>
      <c r="W386" s="270">
        <f t="shared" si="125"/>
        <v>0</v>
      </c>
      <c r="X386" s="271">
        <f t="shared" si="125"/>
        <v>0</v>
      </c>
      <c r="Y386" s="307"/>
      <c r="Z386" s="308"/>
      <c r="AA386" s="276"/>
      <c r="AB386" s="186"/>
      <c r="AC386" s="277"/>
      <c r="AD386" s="185"/>
      <c r="AE386" s="185"/>
      <c r="AF386" s="277" t="str">
        <f>'C. Capital Outlay &amp; Donations'!$D$100</f>
        <v>C.1</v>
      </c>
      <c r="AG386" s="185">
        <f>'C. Capital Outlay &amp; Donations'!M126</f>
        <v>0</v>
      </c>
      <c r="AH386" s="278"/>
      <c r="AI386" s="185"/>
      <c r="AJ386" s="277"/>
      <c r="AK386" s="186"/>
      <c r="AL386" s="222"/>
      <c r="AM386" s="222"/>
      <c r="AN386" s="270">
        <f t="shared" si="126"/>
        <v>0</v>
      </c>
      <c r="AO386" s="271">
        <f t="shared" si="127"/>
        <v>0</v>
      </c>
      <c r="AP386" s="192" t="str">
        <f>IF(AN386+AN387-AO386-AO387&lt;=0, " ",AN386+AN387-AO386-AO387)</f>
        <v xml:space="preserve"> </v>
      </c>
      <c r="AQ386" s="271" t="str">
        <f>IF(AN386+AN387-AO386-AO387&gt;=0, " ", AO386+AO387-AN386-AN387)</f>
        <v xml:space="preserve"> </v>
      </c>
      <c r="AR386" s="192"/>
      <c r="AS386" s="271"/>
      <c r="AT386" s="45"/>
      <c r="AU386" s="36"/>
      <c r="AV386" s="36"/>
      <c r="AW386" s="36"/>
      <c r="AX386" s="36"/>
    </row>
    <row r="387" spans="1:50" x14ac:dyDescent="0.2">
      <c r="B387" s="203"/>
      <c r="C387" s="184"/>
      <c r="D387" s="184"/>
      <c r="E387" s="213"/>
      <c r="F387" s="214"/>
      <c r="G387" s="222"/>
      <c r="H387" s="222"/>
      <c r="I387" s="222"/>
      <c r="J387" s="222"/>
      <c r="K387" s="222"/>
      <c r="L387" s="222"/>
      <c r="M387" s="222"/>
      <c r="N387" s="223"/>
      <c r="O387" s="222"/>
      <c r="P387" s="222"/>
      <c r="Q387" s="222"/>
      <c r="R387" s="222"/>
      <c r="S387" s="222"/>
      <c r="T387" s="223"/>
      <c r="U387" s="192">
        <f t="shared" si="124"/>
        <v>0</v>
      </c>
      <c r="V387" s="192">
        <f t="shared" si="124"/>
        <v>0</v>
      </c>
      <c r="W387" s="270">
        <f t="shared" si="125"/>
        <v>0</v>
      </c>
      <c r="X387" s="271">
        <f t="shared" si="125"/>
        <v>0</v>
      </c>
      <c r="Y387" s="307"/>
      <c r="Z387" s="308"/>
      <c r="AA387" s="276"/>
      <c r="AB387" s="186"/>
      <c r="AC387" s="277"/>
      <c r="AD387" s="185"/>
      <c r="AE387" s="185"/>
      <c r="AF387" s="277" t="str">
        <f>'C. Capital Outlay &amp; Donations'!$D$130</f>
        <v>C.2</v>
      </c>
      <c r="AG387" s="185">
        <f>'C. Capital Outlay &amp; Donations'!M150</f>
        <v>0</v>
      </c>
      <c r="AH387" s="278"/>
      <c r="AI387" s="185"/>
      <c r="AJ387" s="277"/>
      <c r="AK387" s="186"/>
      <c r="AL387" s="222"/>
      <c r="AM387" s="222"/>
      <c r="AN387" s="270">
        <f t="shared" si="126"/>
        <v>0</v>
      </c>
      <c r="AO387" s="271">
        <f t="shared" si="127"/>
        <v>0</v>
      </c>
      <c r="AP387" s="192"/>
      <c r="AQ387" s="271"/>
      <c r="AR387" s="192"/>
      <c r="AS387" s="271"/>
      <c r="AT387" s="45"/>
      <c r="AU387" s="36"/>
      <c r="AV387" s="36"/>
      <c r="AW387" s="36"/>
      <c r="AX387" s="36"/>
    </row>
    <row r="388" spans="1:50" x14ac:dyDescent="0.2">
      <c r="B388" s="203"/>
      <c r="C388" s="184" t="s">
        <v>305</v>
      </c>
      <c r="D388" s="184"/>
      <c r="E388" s="213"/>
      <c r="F388" s="214"/>
      <c r="G388" s="222"/>
      <c r="H388" s="222"/>
      <c r="I388" s="222"/>
      <c r="J388" s="222"/>
      <c r="K388" s="222"/>
      <c r="L388" s="222"/>
      <c r="M388" s="222"/>
      <c r="N388" s="223"/>
      <c r="O388" s="222"/>
      <c r="P388" s="222"/>
      <c r="Q388" s="222"/>
      <c r="R388" s="222"/>
      <c r="S388" s="222"/>
      <c r="T388" s="223"/>
      <c r="U388" s="192">
        <f t="shared" si="124"/>
        <v>0</v>
      </c>
      <c r="V388" s="192">
        <f t="shared" si="124"/>
        <v>0</v>
      </c>
      <c r="W388" s="270">
        <f t="shared" si="125"/>
        <v>0</v>
      </c>
      <c r="X388" s="271">
        <f t="shared" si="125"/>
        <v>0</v>
      </c>
      <c r="Y388" s="307"/>
      <c r="Z388" s="308"/>
      <c r="AA388" s="276"/>
      <c r="AB388" s="186"/>
      <c r="AC388" s="277"/>
      <c r="AD388" s="185"/>
      <c r="AE388" s="185"/>
      <c r="AF388" s="277" t="str">
        <f>'C. Capital Outlay &amp; Donations'!$D$100</f>
        <v>C.1</v>
      </c>
      <c r="AG388" s="185">
        <f>'C. Capital Outlay &amp; Donations'!M127</f>
        <v>0</v>
      </c>
      <c r="AH388" s="278"/>
      <c r="AI388" s="185"/>
      <c r="AJ388" s="277"/>
      <c r="AK388" s="186"/>
      <c r="AL388" s="222"/>
      <c r="AM388" s="222"/>
      <c r="AN388" s="270">
        <f t="shared" si="126"/>
        <v>0</v>
      </c>
      <c r="AO388" s="271">
        <f t="shared" si="127"/>
        <v>0</v>
      </c>
      <c r="AP388" s="192" t="str">
        <f>IF(AN388+AN389-AO388-AO389&lt;=0, " ",AN388+AN389-AO388-AO389)</f>
        <v xml:space="preserve"> </v>
      </c>
      <c r="AQ388" s="271" t="str">
        <f>IF(AN388+AN389-AO388-AO389&gt;=0, " ", AO388+AO389-AN388-AN389)</f>
        <v xml:space="preserve"> </v>
      </c>
      <c r="AR388" s="192"/>
      <c r="AS388" s="271"/>
      <c r="AT388" s="45"/>
      <c r="AU388" s="36"/>
      <c r="AV388" s="36"/>
      <c r="AW388" s="36"/>
      <c r="AX388" s="36"/>
    </row>
    <row r="389" spans="1:50" x14ac:dyDescent="0.2">
      <c r="B389" s="203"/>
      <c r="C389" s="184"/>
      <c r="D389" s="184"/>
      <c r="E389" s="213"/>
      <c r="F389" s="214"/>
      <c r="G389" s="222"/>
      <c r="H389" s="222"/>
      <c r="I389" s="222"/>
      <c r="J389" s="222"/>
      <c r="K389" s="222"/>
      <c r="L389" s="222"/>
      <c r="M389" s="222"/>
      <c r="N389" s="223"/>
      <c r="O389" s="222"/>
      <c r="P389" s="222"/>
      <c r="Q389" s="222"/>
      <c r="R389" s="222"/>
      <c r="S389" s="222"/>
      <c r="T389" s="223"/>
      <c r="U389" s="192">
        <f t="shared" si="124"/>
        <v>0</v>
      </c>
      <c r="V389" s="192">
        <f t="shared" si="124"/>
        <v>0</v>
      </c>
      <c r="W389" s="270">
        <f t="shared" si="125"/>
        <v>0</v>
      </c>
      <c r="X389" s="271">
        <f t="shared" si="125"/>
        <v>0</v>
      </c>
      <c r="Y389" s="307"/>
      <c r="Z389" s="308"/>
      <c r="AA389" s="276"/>
      <c r="AB389" s="186"/>
      <c r="AC389" s="277"/>
      <c r="AD389" s="185"/>
      <c r="AE389" s="185"/>
      <c r="AF389" s="277" t="str">
        <f>'C. Capital Outlay &amp; Donations'!$D$130</f>
        <v>C.2</v>
      </c>
      <c r="AG389" s="185">
        <f>'C. Capital Outlay &amp; Donations'!M151</f>
        <v>0</v>
      </c>
      <c r="AH389" s="278"/>
      <c r="AI389" s="185"/>
      <c r="AJ389" s="277"/>
      <c r="AK389" s="186"/>
      <c r="AL389" s="222"/>
      <c r="AM389" s="222"/>
      <c r="AN389" s="270">
        <f t="shared" si="126"/>
        <v>0</v>
      </c>
      <c r="AO389" s="271">
        <f t="shared" si="127"/>
        <v>0</v>
      </c>
      <c r="AP389" s="192"/>
      <c r="AQ389" s="271"/>
      <c r="AR389" s="192"/>
      <c r="AS389" s="271"/>
      <c r="AT389" s="45"/>
      <c r="AU389" s="36"/>
      <c r="AV389" s="36"/>
      <c r="AW389" s="36"/>
      <c r="AX389" s="36"/>
    </row>
    <row r="390" spans="1:50" ht="6" customHeight="1" x14ac:dyDescent="0.2">
      <c r="A390" s="314"/>
      <c r="B390" s="317"/>
      <c r="C390" s="314"/>
      <c r="D390" s="314"/>
      <c r="E390" s="310"/>
      <c r="F390" s="416"/>
      <c r="G390" s="304"/>
      <c r="H390" s="304"/>
      <c r="I390" s="304"/>
      <c r="J390" s="304"/>
      <c r="K390" s="304"/>
      <c r="L390" s="304"/>
      <c r="M390" s="304"/>
      <c r="N390" s="417"/>
      <c r="O390" s="304"/>
      <c r="P390" s="304"/>
      <c r="Q390" s="304"/>
      <c r="R390" s="304"/>
      <c r="S390" s="304"/>
      <c r="T390" s="417"/>
      <c r="U390" s="192"/>
      <c r="V390" s="192"/>
      <c r="W390" s="270"/>
      <c r="X390" s="271"/>
      <c r="Y390" s="303"/>
      <c r="Z390" s="304"/>
      <c r="AA390" s="269"/>
      <c r="AB390" s="137"/>
      <c r="AC390" s="265"/>
      <c r="AD390" s="45"/>
      <c r="AE390" s="45"/>
      <c r="AF390" s="265"/>
      <c r="AG390" s="45"/>
      <c r="AH390" s="264"/>
      <c r="AI390" s="45"/>
      <c r="AJ390" s="265"/>
      <c r="AK390" s="137"/>
      <c r="AL390" s="218"/>
      <c r="AM390" s="218"/>
      <c r="AN390" s="270"/>
      <c r="AO390" s="271"/>
      <c r="AP390" s="192"/>
      <c r="AQ390" s="271"/>
      <c r="AR390" s="192"/>
      <c r="AS390" s="271"/>
      <c r="AT390" s="45"/>
      <c r="AU390" s="36"/>
      <c r="AV390" s="36"/>
      <c r="AW390" s="36"/>
      <c r="AX390" s="36"/>
    </row>
    <row r="391" spans="1:50" x14ac:dyDescent="0.2">
      <c r="A391" s="314"/>
      <c r="B391" s="317" t="s">
        <v>711</v>
      </c>
      <c r="C391" s="314"/>
      <c r="D391" s="314"/>
      <c r="E391" s="310"/>
      <c r="F391" s="416"/>
      <c r="G391" s="304"/>
      <c r="H391" s="304"/>
      <c r="I391" s="304"/>
      <c r="J391" s="304"/>
      <c r="K391" s="304"/>
      <c r="L391" s="304"/>
      <c r="M391" s="304"/>
      <c r="N391" s="417"/>
      <c r="O391" s="304"/>
      <c r="P391" s="304"/>
      <c r="Q391" s="304"/>
      <c r="R391" s="304"/>
      <c r="S391" s="304"/>
      <c r="T391" s="417"/>
      <c r="U391" s="192"/>
      <c r="V391" s="192"/>
      <c r="W391" s="270"/>
      <c r="X391" s="271"/>
      <c r="Y391" s="303"/>
      <c r="Z391" s="304"/>
      <c r="AA391" s="269"/>
      <c r="AB391" s="137"/>
      <c r="AC391" s="265"/>
      <c r="AD391" s="45"/>
      <c r="AE391" s="45"/>
      <c r="AF391" s="265"/>
      <c r="AG391" s="45"/>
      <c r="AH391" s="264"/>
      <c r="AI391" s="45"/>
      <c r="AJ391" s="265"/>
      <c r="AK391" s="137"/>
      <c r="AL391" s="218"/>
      <c r="AM391" s="218"/>
      <c r="AN391" s="270"/>
      <c r="AO391" s="271"/>
      <c r="AP391" s="192"/>
      <c r="AQ391" s="271"/>
      <c r="AR391" s="192"/>
      <c r="AS391" s="271"/>
      <c r="AT391" s="45"/>
      <c r="AU391" s="36"/>
      <c r="AV391" s="36"/>
      <c r="AW391" s="36"/>
      <c r="AX391" s="36"/>
    </row>
    <row r="392" spans="1:50" x14ac:dyDescent="0.2">
      <c r="B392" s="184"/>
      <c r="C392" s="184" t="s">
        <v>375</v>
      </c>
      <c r="D392" s="184"/>
      <c r="E392" s="213"/>
      <c r="F392" s="214"/>
      <c r="G392" s="222"/>
      <c r="H392" s="222"/>
      <c r="I392" s="222"/>
      <c r="J392" s="222"/>
      <c r="K392" s="222"/>
      <c r="L392" s="222"/>
      <c r="M392" s="222"/>
      <c r="N392" s="223"/>
      <c r="O392" s="222"/>
      <c r="P392" s="222"/>
      <c r="Q392" s="222"/>
      <c r="R392" s="222"/>
      <c r="S392" s="222"/>
      <c r="T392" s="223"/>
      <c r="U392" s="192">
        <f t="shared" ref="U392:V396" si="128">O392+Q392+S392</f>
        <v>0</v>
      </c>
      <c r="V392" s="192">
        <f t="shared" si="128"/>
        <v>0</v>
      </c>
      <c r="W392" s="270">
        <f>E392+G392+I392+K392+M392+U392</f>
        <v>0</v>
      </c>
      <c r="X392" s="271">
        <f>F392+H392+J392+L392+N392+V392</f>
        <v>0</v>
      </c>
      <c r="Y392" s="307"/>
      <c r="Z392" s="308"/>
      <c r="AA392" s="276"/>
      <c r="AB392" s="186"/>
      <c r="AC392" s="277" t="str">
        <f>'C. Capital Outlay &amp; Donations'!$D$130</f>
        <v>C.2</v>
      </c>
      <c r="AD392" s="185">
        <f>'C. Capital Outlay &amp; Donations'!K130</f>
        <v>0</v>
      </c>
      <c r="AE392" s="185"/>
      <c r="AF392" s="277" t="str">
        <f>'E. Debt Service'!D101</f>
        <v>E.2</v>
      </c>
      <c r="AG392" s="185">
        <f>'E. Debt Service'!N105</f>
        <v>0</v>
      </c>
      <c r="AH392" s="278"/>
      <c r="AI392" s="185"/>
      <c r="AJ392" s="277"/>
      <c r="AK392" s="186"/>
      <c r="AL392" s="222"/>
      <c r="AM392" s="222"/>
      <c r="AN392" s="270">
        <f>W392+Y392+AA392+AD392+AI392+AL392</f>
        <v>0</v>
      </c>
      <c r="AO392" s="271">
        <f>X392+Z392+AB392+AG392+AK392+AM392</f>
        <v>0</v>
      </c>
      <c r="AP392" s="192" t="str">
        <f>IF(AN392+AN393-AO392-AO393&lt;=0, " ",AN392+AN393-AO392-AO393)</f>
        <v xml:space="preserve"> </v>
      </c>
      <c r="AQ392" s="271" t="str">
        <f>IF(AN392+AN393-AO392-AO393&gt;=0, " ", AO392+AO393-AN392-AN393)</f>
        <v xml:space="preserve"> </v>
      </c>
      <c r="AR392" s="192"/>
      <c r="AS392" s="271"/>
      <c r="AT392" s="45"/>
      <c r="AU392" s="36"/>
      <c r="AV392" s="36"/>
      <c r="AW392" s="36"/>
      <c r="AX392" s="36"/>
    </row>
    <row r="393" spans="1:50" x14ac:dyDescent="0.2">
      <c r="B393" s="184"/>
      <c r="C393" s="184"/>
      <c r="D393" s="184"/>
      <c r="E393" s="213"/>
      <c r="F393" s="214"/>
      <c r="G393" s="222"/>
      <c r="H393" s="222"/>
      <c r="I393" s="222"/>
      <c r="J393" s="222"/>
      <c r="K393" s="222"/>
      <c r="L393" s="222"/>
      <c r="M393" s="222"/>
      <c r="N393" s="223"/>
      <c r="O393" s="222"/>
      <c r="P393" s="222"/>
      <c r="Q393" s="222"/>
      <c r="R393" s="222"/>
      <c r="S393" s="222"/>
      <c r="T393" s="223"/>
      <c r="U393" s="192">
        <f t="shared" si="128"/>
        <v>0</v>
      </c>
      <c r="V393" s="192">
        <f t="shared" si="128"/>
        <v>0</v>
      </c>
      <c r="W393" s="270">
        <f t="shared" ref="W393:X396" si="129">E393+G393+I393+K393+M393+U393</f>
        <v>0</v>
      </c>
      <c r="X393" s="271">
        <f t="shared" si="129"/>
        <v>0</v>
      </c>
      <c r="Y393" s="307"/>
      <c r="Z393" s="308"/>
      <c r="AA393" s="276"/>
      <c r="AB393" s="186"/>
      <c r="AC393" s="277" t="str">
        <f>'E. Debt Service'!$D$81</f>
        <v>E.1</v>
      </c>
      <c r="AD393" s="185">
        <f>'E. Debt Service'!L81</f>
        <v>0</v>
      </c>
      <c r="AE393" s="185"/>
      <c r="AF393" s="277"/>
      <c r="AG393" s="185"/>
      <c r="AH393" s="278"/>
      <c r="AI393" s="185"/>
      <c r="AJ393" s="277"/>
      <c r="AK393" s="186"/>
      <c r="AL393" s="222"/>
      <c r="AM393" s="222"/>
      <c r="AN393" s="270">
        <f>W393+Y393+AA393+AD393+AI393+AL393</f>
        <v>0</v>
      </c>
      <c r="AO393" s="271">
        <f>X393+Z393+AB393+AG393+AK393+AM393</f>
        <v>0</v>
      </c>
      <c r="AP393" s="192"/>
      <c r="AQ393" s="271"/>
      <c r="AR393" s="192"/>
      <c r="AS393" s="271"/>
      <c r="AT393" s="45"/>
      <c r="AU393" s="36"/>
      <c r="AV393" s="36"/>
      <c r="AW393" s="36"/>
      <c r="AX393" s="36"/>
    </row>
    <row r="394" spans="1:50" x14ac:dyDescent="0.2">
      <c r="B394" s="184"/>
      <c r="C394" s="184" t="s">
        <v>376</v>
      </c>
      <c r="D394" s="184"/>
      <c r="E394" s="213"/>
      <c r="F394" s="214"/>
      <c r="G394" s="222"/>
      <c r="H394" s="222"/>
      <c r="I394" s="222"/>
      <c r="J394" s="222"/>
      <c r="K394" s="222"/>
      <c r="L394" s="222"/>
      <c r="M394" s="222"/>
      <c r="N394" s="223"/>
      <c r="O394" s="222"/>
      <c r="P394" s="222"/>
      <c r="Q394" s="222"/>
      <c r="R394" s="222"/>
      <c r="S394" s="222"/>
      <c r="T394" s="223"/>
      <c r="U394" s="192">
        <f t="shared" si="128"/>
        <v>0</v>
      </c>
      <c r="V394" s="192">
        <f t="shared" si="128"/>
        <v>0</v>
      </c>
      <c r="W394" s="270">
        <f t="shared" si="129"/>
        <v>0</v>
      </c>
      <c r="X394" s="271">
        <f t="shared" si="129"/>
        <v>0</v>
      </c>
      <c r="Y394" s="307"/>
      <c r="Z394" s="308"/>
      <c r="AA394" s="276"/>
      <c r="AB394" s="186"/>
      <c r="AC394" s="277" t="str">
        <f>'E. Debt Service'!$D$110</f>
        <v>E.4</v>
      </c>
      <c r="AD394" s="185">
        <f>'E. Debt Service'!L111</f>
        <v>0</v>
      </c>
      <c r="AE394" s="185"/>
      <c r="AF394" s="277" t="str">
        <f>'E. Debt Service'!$D$110</f>
        <v>E.4</v>
      </c>
      <c r="AG394" s="185">
        <f>'E. Debt Service'!N111</f>
        <v>0</v>
      </c>
      <c r="AH394" s="278"/>
      <c r="AI394" s="185"/>
      <c r="AJ394" s="277" t="str">
        <f>'I. Eliminations-Consolidations'!A250</f>
        <v>I.7</v>
      </c>
      <c r="AK394" s="186">
        <f>'I. Eliminations-Consolidations'!L267</f>
        <v>0</v>
      </c>
      <c r="AL394" s="222"/>
      <c r="AM394" s="222"/>
      <c r="AN394" s="270">
        <f>W394+Y394+AA394+AD394+AI394+AL394</f>
        <v>0</v>
      </c>
      <c r="AO394" s="271">
        <f>X394+Z394+AB394+AG394+AK394+AM394</f>
        <v>0</v>
      </c>
      <c r="AP394" s="192" t="str">
        <f>IF(AN394+AN395+AN396-AO394-AO395-AO396&lt;=0, " ",AN394+AN395+AN396-AO394-AO395-AO396)</f>
        <v xml:space="preserve"> </v>
      </c>
      <c r="AQ394" s="271" t="str">
        <f>IF(AN394+AN395+AN396-AO394-AO395-AO396&gt;=0, " ", AO394+AO395+AO396-AN394-AN395-AN396)</f>
        <v xml:space="preserve"> </v>
      </c>
      <c r="AR394" s="192"/>
      <c r="AS394" s="271"/>
      <c r="AT394" s="45"/>
      <c r="AU394" s="36"/>
      <c r="AV394" s="36"/>
      <c r="AW394" s="36"/>
      <c r="AX394" s="36"/>
    </row>
    <row r="395" spans="1:50" x14ac:dyDescent="0.2">
      <c r="B395" s="184"/>
      <c r="C395" s="184"/>
      <c r="D395" s="184"/>
      <c r="E395" s="213"/>
      <c r="F395" s="214"/>
      <c r="G395" s="222"/>
      <c r="H395" s="222"/>
      <c r="I395" s="222"/>
      <c r="J395" s="222"/>
      <c r="K395" s="222"/>
      <c r="L395" s="222"/>
      <c r="M395" s="222"/>
      <c r="N395" s="223"/>
      <c r="O395" s="222"/>
      <c r="P395" s="222"/>
      <c r="Q395" s="222"/>
      <c r="R395" s="222"/>
      <c r="S395" s="222"/>
      <c r="T395" s="223"/>
      <c r="U395" s="192">
        <f t="shared" si="128"/>
        <v>0</v>
      </c>
      <c r="V395" s="192">
        <f t="shared" si="128"/>
        <v>0</v>
      </c>
      <c r="W395" s="270">
        <f t="shared" si="129"/>
        <v>0</v>
      </c>
      <c r="X395" s="271">
        <f t="shared" si="129"/>
        <v>0</v>
      </c>
      <c r="Y395" s="307"/>
      <c r="Z395" s="308"/>
      <c r="AA395" s="276"/>
      <c r="AB395" s="186"/>
      <c r="AC395" s="277" t="str">
        <f>'E. Debt Service'!$D$81</f>
        <v>E.1</v>
      </c>
      <c r="AD395" s="185">
        <f>'E. Debt Service'!L82</f>
        <v>0</v>
      </c>
      <c r="AE395" s="185"/>
      <c r="AF395" s="277"/>
      <c r="AG395" s="185"/>
      <c r="AH395" s="278"/>
      <c r="AI395" s="185"/>
      <c r="AJ395" s="277"/>
      <c r="AK395" s="186"/>
      <c r="AL395" s="222"/>
      <c r="AM395" s="222"/>
      <c r="AN395" s="270">
        <f>W395+Y395+AA395+AD395+AI395+AL395</f>
        <v>0</v>
      </c>
      <c r="AO395" s="271">
        <f>X395+Z395+AB395+AG395+AK395+AM395</f>
        <v>0</v>
      </c>
      <c r="AP395" s="192"/>
      <c r="AQ395" s="271"/>
      <c r="AR395" s="192"/>
      <c r="AS395" s="271"/>
      <c r="AT395" s="45"/>
      <c r="AU395" s="36"/>
      <c r="AV395" s="36"/>
      <c r="AW395" s="36"/>
      <c r="AX395" s="36"/>
    </row>
    <row r="396" spans="1:50" x14ac:dyDescent="0.2">
      <c r="B396" s="184"/>
      <c r="C396" s="184"/>
      <c r="D396" s="184"/>
      <c r="E396" s="213"/>
      <c r="F396" s="214"/>
      <c r="G396" s="222"/>
      <c r="H396" s="222"/>
      <c r="I396" s="222"/>
      <c r="J396" s="222"/>
      <c r="K396" s="222"/>
      <c r="L396" s="222"/>
      <c r="M396" s="222"/>
      <c r="N396" s="223"/>
      <c r="O396" s="222"/>
      <c r="P396" s="222"/>
      <c r="Q396" s="222"/>
      <c r="R396" s="222"/>
      <c r="S396" s="222"/>
      <c r="T396" s="223"/>
      <c r="U396" s="192">
        <f t="shared" si="128"/>
        <v>0</v>
      </c>
      <c r="V396" s="192">
        <f t="shared" si="128"/>
        <v>0</v>
      </c>
      <c r="W396" s="270">
        <f t="shared" si="129"/>
        <v>0</v>
      </c>
      <c r="X396" s="271">
        <f t="shared" si="129"/>
        <v>0</v>
      </c>
      <c r="Y396" s="307"/>
      <c r="Z396" s="308"/>
      <c r="AA396" s="276"/>
      <c r="AB396" s="186"/>
      <c r="AC396" s="277" t="str">
        <f>'C. Capital Outlay &amp; Donations'!$D$130</f>
        <v>C.2</v>
      </c>
      <c r="AD396" s="185">
        <f>'C. Capital Outlay &amp; Donations'!K131</f>
        <v>0</v>
      </c>
      <c r="AE396" s="185"/>
      <c r="AF396" s="277"/>
      <c r="AG396" s="185"/>
      <c r="AH396" s="278"/>
      <c r="AI396" s="185"/>
      <c r="AJ396" s="277"/>
      <c r="AK396" s="186"/>
      <c r="AL396" s="222"/>
      <c r="AM396" s="222"/>
      <c r="AN396" s="270">
        <f>W396+Y396+AA396+AD396+AI396+AL396</f>
        <v>0</v>
      </c>
      <c r="AO396" s="271">
        <f>X396+Z396+AB396+AG396+AK396+AM396</f>
        <v>0</v>
      </c>
      <c r="AP396" s="192"/>
      <c r="AQ396" s="271"/>
      <c r="AR396" s="192"/>
      <c r="AS396" s="271"/>
      <c r="AT396" s="45"/>
      <c r="AU396" s="36"/>
      <c r="AV396" s="36"/>
      <c r="AW396" s="36"/>
      <c r="AX396" s="36"/>
    </row>
    <row r="397" spans="1:50" ht="3.75" customHeight="1" x14ac:dyDescent="0.2">
      <c r="A397" s="314"/>
      <c r="B397" s="314"/>
      <c r="C397" s="314"/>
      <c r="D397" s="314"/>
      <c r="E397" s="310"/>
      <c r="F397" s="416"/>
      <c r="G397" s="304"/>
      <c r="H397" s="304"/>
      <c r="I397" s="304"/>
      <c r="J397" s="304"/>
      <c r="K397" s="304"/>
      <c r="L397" s="304"/>
      <c r="M397" s="304"/>
      <c r="N397" s="417"/>
      <c r="O397" s="304"/>
      <c r="P397" s="304"/>
      <c r="Q397" s="304"/>
      <c r="R397" s="304"/>
      <c r="S397" s="304"/>
      <c r="T397" s="417"/>
      <c r="U397" s="192"/>
      <c r="V397" s="192"/>
      <c r="W397" s="270"/>
      <c r="X397" s="271"/>
      <c r="Y397" s="303"/>
      <c r="Z397" s="304"/>
      <c r="AA397" s="269"/>
      <c r="AB397" s="137"/>
      <c r="AC397" s="265"/>
      <c r="AD397" s="45"/>
      <c r="AE397" s="45"/>
      <c r="AF397" s="265"/>
      <c r="AG397" s="45"/>
      <c r="AH397" s="264"/>
      <c r="AI397" s="45"/>
      <c r="AJ397" s="265"/>
      <c r="AK397" s="137"/>
      <c r="AL397" s="218"/>
      <c r="AM397" s="218"/>
      <c r="AN397" s="270"/>
      <c r="AO397" s="271"/>
      <c r="AP397" s="192"/>
      <c r="AQ397" s="271"/>
      <c r="AR397" s="192"/>
      <c r="AS397" s="271"/>
      <c r="AT397" s="45"/>
      <c r="AU397" s="36"/>
      <c r="AV397" s="36"/>
      <c r="AW397" s="36"/>
      <c r="AX397" s="36"/>
    </row>
    <row r="398" spans="1:50" x14ac:dyDescent="0.2">
      <c r="B398" s="4" t="s">
        <v>668</v>
      </c>
      <c r="E398" s="209"/>
      <c r="F398" s="210"/>
      <c r="G398" s="218"/>
      <c r="H398" s="218"/>
      <c r="I398" s="218"/>
      <c r="J398" s="218"/>
      <c r="K398" s="218"/>
      <c r="L398" s="218"/>
      <c r="M398" s="218"/>
      <c r="N398" s="219"/>
      <c r="O398" s="218"/>
      <c r="P398" s="218"/>
      <c r="Q398" s="218"/>
      <c r="R398" s="218"/>
      <c r="S398" s="218"/>
      <c r="T398" s="219"/>
      <c r="U398" s="192">
        <f>O398+Q398+S398</f>
        <v>0</v>
      </c>
      <c r="V398" s="192">
        <f>P398+R398+T398</f>
        <v>0</v>
      </c>
      <c r="W398" s="270">
        <f>E398+G398+I398+K398+M398+U398</f>
        <v>0</v>
      </c>
      <c r="X398" s="271">
        <f>F398+H398+J398+L398+N398+V398</f>
        <v>0</v>
      </c>
      <c r="Y398" s="303"/>
      <c r="Z398" s="304"/>
      <c r="AA398" s="269"/>
      <c r="AB398" s="137"/>
      <c r="AC398" s="265" t="str">
        <f>'B. Depreciation'!A54</f>
        <v>B.1</v>
      </c>
      <c r="AD398" s="45">
        <f>'B. Depreciation'!J71</f>
        <v>0</v>
      </c>
      <c r="AE398" s="45"/>
      <c r="AF398" s="265"/>
      <c r="AG398" s="45"/>
      <c r="AH398" s="264"/>
      <c r="AI398" s="45"/>
      <c r="AJ398" s="265"/>
      <c r="AK398" s="137"/>
      <c r="AL398" s="218"/>
      <c r="AM398" s="218"/>
      <c r="AN398" s="270">
        <f>W398+Y398+AA398+AD398+AI398+AL398</f>
        <v>0</v>
      </c>
      <c r="AO398" s="271">
        <f>X398+Z398+AB398+AG398+AK398+AM398</f>
        <v>0</v>
      </c>
      <c r="AP398" s="192">
        <f>IF(AN398-AO398&lt;0, " ",AN398-AO398)</f>
        <v>0</v>
      </c>
      <c r="AQ398" s="271">
        <f>IF(AN398-AO398&gt;0, " ", AO398-AN398)</f>
        <v>0</v>
      </c>
      <c r="AR398" s="192"/>
      <c r="AS398" s="271"/>
      <c r="AT398" s="45"/>
      <c r="AU398" s="36"/>
      <c r="AV398" s="36"/>
      <c r="AW398" s="36"/>
      <c r="AX398" s="36"/>
    </row>
    <row r="399" spans="1:50" ht="3.75" customHeight="1" x14ac:dyDescent="0.2">
      <c r="A399" s="314"/>
      <c r="B399" s="317"/>
      <c r="C399" s="314"/>
      <c r="D399" s="314"/>
      <c r="E399" s="310"/>
      <c r="F399" s="416"/>
      <c r="G399" s="304"/>
      <c r="H399" s="304"/>
      <c r="I399" s="304"/>
      <c r="J399" s="304"/>
      <c r="K399" s="304"/>
      <c r="L399" s="304"/>
      <c r="M399" s="304"/>
      <c r="N399" s="417"/>
      <c r="O399" s="304"/>
      <c r="P399" s="304"/>
      <c r="Q399" s="304"/>
      <c r="R399" s="304"/>
      <c r="S399" s="304"/>
      <c r="T399" s="417"/>
      <c r="U399" s="192"/>
      <c r="V399" s="192"/>
      <c r="W399" s="270"/>
      <c r="X399" s="271"/>
      <c r="Y399" s="303"/>
      <c r="Z399" s="304"/>
      <c r="AA399" s="269"/>
      <c r="AB399" s="137"/>
      <c r="AC399" s="284"/>
      <c r="AE399" s="45"/>
      <c r="AF399" s="265"/>
      <c r="AG399" s="45"/>
      <c r="AH399" s="264"/>
      <c r="AI399" s="45"/>
      <c r="AJ399" s="265"/>
      <c r="AK399" s="137"/>
      <c r="AL399" s="218"/>
      <c r="AM399" s="218"/>
      <c r="AN399" s="270"/>
      <c r="AO399" s="271"/>
      <c r="AP399" s="192"/>
      <c r="AQ399" s="271"/>
      <c r="AR399" s="192"/>
      <c r="AS399" s="271"/>
      <c r="AT399" s="45"/>
      <c r="AU399" s="36"/>
      <c r="AV399" s="36"/>
      <c r="AW399" s="36"/>
      <c r="AX399" s="36"/>
    </row>
    <row r="400" spans="1:50" ht="18" customHeight="1" x14ac:dyDescent="0.2">
      <c r="A400" s="1092" t="s">
        <v>397</v>
      </c>
      <c r="B400" s="1093"/>
      <c r="C400" s="1093"/>
      <c r="D400" s="414"/>
      <c r="E400" s="310"/>
      <c r="F400" s="416"/>
      <c r="G400" s="304"/>
      <c r="H400" s="304"/>
      <c r="I400" s="304"/>
      <c r="J400" s="304"/>
      <c r="K400" s="304"/>
      <c r="L400" s="304"/>
      <c r="M400" s="304"/>
      <c r="N400" s="417"/>
      <c r="O400" s="304"/>
      <c r="P400" s="304"/>
      <c r="Q400" s="304"/>
      <c r="R400" s="304"/>
      <c r="S400" s="304"/>
      <c r="T400" s="417"/>
      <c r="U400" s="192"/>
      <c r="V400" s="192"/>
      <c r="W400" s="270"/>
      <c r="X400" s="271"/>
      <c r="Y400" s="303"/>
      <c r="Z400" s="304"/>
      <c r="AA400" s="269"/>
      <c r="AB400" s="137"/>
      <c r="AC400" s="265"/>
      <c r="AD400" s="45"/>
      <c r="AE400" s="45"/>
      <c r="AF400" s="265"/>
      <c r="AG400" s="45"/>
      <c r="AH400" s="264"/>
      <c r="AI400" s="45"/>
      <c r="AJ400" s="265"/>
      <c r="AK400" s="137"/>
      <c r="AL400" s="218"/>
      <c r="AM400" s="218"/>
      <c r="AN400" s="270"/>
      <c r="AO400" s="271"/>
      <c r="AP400" s="192"/>
      <c r="AQ400" s="271"/>
      <c r="AR400" s="192"/>
      <c r="AS400" s="271"/>
      <c r="AT400" s="45"/>
      <c r="AU400" s="36"/>
      <c r="AV400" s="36"/>
      <c r="AW400" s="36"/>
      <c r="AX400" s="36"/>
    </row>
    <row r="401" spans="1:50" ht="3.75" customHeight="1" x14ac:dyDescent="0.2">
      <c r="A401" s="314"/>
      <c r="B401" s="317"/>
      <c r="C401" s="314"/>
      <c r="D401" s="314"/>
      <c r="E401" s="310"/>
      <c r="F401" s="416"/>
      <c r="G401" s="304"/>
      <c r="H401" s="304"/>
      <c r="I401" s="304"/>
      <c r="J401" s="304"/>
      <c r="K401" s="304"/>
      <c r="L401" s="304"/>
      <c r="M401" s="304"/>
      <c r="N401" s="417"/>
      <c r="O401" s="304"/>
      <c r="P401" s="304"/>
      <c r="Q401" s="304"/>
      <c r="R401" s="304"/>
      <c r="S401" s="304"/>
      <c r="T401" s="417"/>
      <c r="U401" s="192"/>
      <c r="V401" s="192"/>
      <c r="W401" s="270"/>
      <c r="X401" s="271"/>
      <c r="Y401" s="303"/>
      <c r="Z401" s="304"/>
      <c r="AA401" s="269"/>
      <c r="AB401" s="137"/>
      <c r="AC401" s="265"/>
      <c r="AD401" s="45"/>
      <c r="AE401" s="45"/>
      <c r="AF401" s="265"/>
      <c r="AG401" s="45"/>
      <c r="AH401" s="264"/>
      <c r="AI401" s="45"/>
      <c r="AJ401" s="265"/>
      <c r="AK401" s="137"/>
      <c r="AL401" s="218"/>
      <c r="AM401" s="218"/>
      <c r="AN401" s="270"/>
      <c r="AO401" s="271"/>
      <c r="AP401" s="192"/>
      <c r="AQ401" s="271"/>
      <c r="AR401" s="192"/>
      <c r="AS401" s="271"/>
      <c r="AT401" s="45"/>
      <c r="AU401" s="36"/>
      <c r="AV401" s="36"/>
      <c r="AW401" s="36"/>
      <c r="AX401" s="36"/>
    </row>
    <row r="402" spans="1:50" x14ac:dyDescent="0.2">
      <c r="C402" t="s">
        <v>710</v>
      </c>
      <c r="E402" s="209"/>
      <c r="F402" s="210"/>
      <c r="G402" s="218"/>
      <c r="H402" s="218"/>
      <c r="I402" s="218"/>
      <c r="J402" s="218"/>
      <c r="K402" s="218"/>
      <c r="L402" s="218"/>
      <c r="M402" s="218"/>
      <c r="N402" s="219"/>
      <c r="O402" s="218"/>
      <c r="P402" s="218"/>
      <c r="Q402" s="218"/>
      <c r="R402" s="218"/>
      <c r="S402" s="218"/>
      <c r="T402" s="219"/>
      <c r="U402" s="192">
        <f t="shared" ref="U402:V409" si="130">O402+Q402+S402</f>
        <v>0</v>
      </c>
      <c r="V402" s="192">
        <f t="shared" si="130"/>
        <v>0</v>
      </c>
      <c r="W402" s="270">
        <f t="shared" ref="W402:X409" si="131">E402+G402+I402+K402+M402+U402</f>
        <v>0</v>
      </c>
      <c r="X402" s="271">
        <f t="shared" si="131"/>
        <v>0</v>
      </c>
      <c r="Y402" s="303"/>
      <c r="Z402" s="304"/>
      <c r="AA402" s="269"/>
      <c r="AB402" s="137"/>
      <c r="AC402" s="265"/>
      <c r="AD402" s="45"/>
      <c r="AE402" s="45"/>
      <c r="AF402" s="265" t="str">
        <f>'C. Capital Outlay &amp; Donations'!D154</f>
        <v>C.3</v>
      </c>
      <c r="AG402" s="45">
        <f>'C. Capital Outlay &amp; Donations'!M163</f>
        <v>0</v>
      </c>
      <c r="AH402" s="264" t="str">
        <f>'I. Eliminations-Consolidations'!A210</f>
        <v>I.1</v>
      </c>
      <c r="AI402" s="45">
        <f>'I. Eliminations-Consolidations'!J210</f>
        <v>0</v>
      </c>
      <c r="AJ402" s="265"/>
      <c r="AK402" s="137"/>
      <c r="AL402" s="218"/>
      <c r="AM402" s="218"/>
      <c r="AN402" s="270">
        <f t="shared" ref="AN402:AN409" si="132">W402+Y402+AA402+AD402+AI402+AL402</f>
        <v>0</v>
      </c>
      <c r="AO402" s="271">
        <f t="shared" ref="AO402:AO409" si="133">X402+Z402+AB402+AG402+AK402+AM402</f>
        <v>0</v>
      </c>
      <c r="AP402" s="192">
        <f t="shared" ref="AP402:AP408" si="134">IF(AN402-AO402&lt;0, " ",AN402-AO402)</f>
        <v>0</v>
      </c>
      <c r="AQ402" s="271">
        <f t="shared" ref="AQ402:AQ408" si="135">IF(AN402-AO402&gt;0, " ", AO402-AN402)</f>
        <v>0</v>
      </c>
      <c r="AR402" s="192"/>
      <c r="AS402" s="271"/>
      <c r="AT402" s="45"/>
      <c r="AU402" s="36"/>
      <c r="AV402" s="36"/>
      <c r="AW402" s="36"/>
      <c r="AX402" s="36"/>
    </row>
    <row r="403" spans="1:50" x14ac:dyDescent="0.2">
      <c r="C403" t="s">
        <v>709</v>
      </c>
      <c r="E403" s="209"/>
      <c r="F403" s="210"/>
      <c r="G403" s="218"/>
      <c r="H403" s="218"/>
      <c r="I403" s="218"/>
      <c r="J403" s="218"/>
      <c r="K403" s="218"/>
      <c r="L403" s="218"/>
      <c r="M403" s="218"/>
      <c r="N403" s="219"/>
      <c r="O403" s="218"/>
      <c r="P403" s="218"/>
      <c r="Q403" s="218"/>
      <c r="R403" s="218"/>
      <c r="S403" s="218"/>
      <c r="T403" s="219"/>
      <c r="U403" s="192">
        <f t="shared" si="130"/>
        <v>0</v>
      </c>
      <c r="V403" s="192">
        <f t="shared" si="130"/>
        <v>0</v>
      </c>
      <c r="W403" s="270">
        <f t="shared" si="131"/>
        <v>0</v>
      </c>
      <c r="X403" s="271">
        <f t="shared" si="131"/>
        <v>0</v>
      </c>
      <c r="Y403" s="303"/>
      <c r="Z403" s="304"/>
      <c r="AA403" s="269"/>
      <c r="AB403" s="137"/>
      <c r="AC403" s="265" t="str">
        <f>'D.  Capital Asset Disposal'!D189</f>
        <v>D.1</v>
      </c>
      <c r="AD403" s="45">
        <f>'D.  Capital Asset Disposal'!M199</f>
        <v>0</v>
      </c>
      <c r="AE403" s="45"/>
      <c r="AF403" s="265"/>
      <c r="AG403" s="45"/>
      <c r="AH403" s="264"/>
      <c r="AI403" s="45"/>
      <c r="AJ403" s="265" t="str">
        <f>'I. Eliminations-Consolidations'!A210</f>
        <v>I.1</v>
      </c>
      <c r="AK403" s="137">
        <f>'I. Eliminations-Consolidations'!L211</f>
        <v>0</v>
      </c>
      <c r="AL403" s="218"/>
      <c r="AM403" s="218"/>
      <c r="AN403" s="270">
        <f t="shared" si="132"/>
        <v>0</v>
      </c>
      <c r="AO403" s="271">
        <f t="shared" si="133"/>
        <v>0</v>
      </c>
      <c r="AP403" s="192">
        <f t="shared" si="134"/>
        <v>0</v>
      </c>
      <c r="AQ403" s="271">
        <f t="shared" si="135"/>
        <v>0</v>
      </c>
      <c r="AR403" s="192"/>
      <c r="AS403" s="271"/>
      <c r="AT403" s="45"/>
      <c r="AU403" s="36"/>
      <c r="AV403" s="36"/>
      <c r="AW403" s="36"/>
      <c r="AX403" s="36"/>
    </row>
    <row r="404" spans="1:50" x14ac:dyDescent="0.2">
      <c r="B404" s="2"/>
      <c r="C404" s="11" t="s">
        <v>713</v>
      </c>
      <c r="D404" s="11"/>
      <c r="E404" s="209"/>
      <c r="F404" s="210"/>
      <c r="G404" s="218"/>
      <c r="H404" s="218"/>
      <c r="I404" s="218"/>
      <c r="J404" s="218"/>
      <c r="K404" s="218"/>
      <c r="L404" s="218"/>
      <c r="M404" s="218"/>
      <c r="N404" s="219"/>
      <c r="O404" s="218"/>
      <c r="P404" s="218"/>
      <c r="Q404" s="218"/>
      <c r="R404" s="218"/>
      <c r="S404" s="218"/>
      <c r="T404" s="219"/>
      <c r="U404" s="192">
        <f t="shared" si="130"/>
        <v>0</v>
      </c>
      <c r="V404" s="192">
        <f t="shared" si="130"/>
        <v>0</v>
      </c>
      <c r="W404" s="270">
        <f t="shared" si="131"/>
        <v>0</v>
      </c>
      <c r="X404" s="271">
        <f t="shared" si="131"/>
        <v>0</v>
      </c>
      <c r="Y404" s="303"/>
      <c r="Z404" s="304"/>
      <c r="AA404" s="269"/>
      <c r="AB404" s="137"/>
      <c r="AC404" s="265" t="str">
        <f>'F. Debt Issues'!D34</f>
        <v>F.1</v>
      </c>
      <c r="AD404" s="44">
        <f>'F. Debt Issues'!L34</f>
        <v>0</v>
      </c>
      <c r="AE404" s="45"/>
      <c r="AF404" s="265"/>
      <c r="AG404" s="45"/>
      <c r="AH404" s="264"/>
      <c r="AI404" s="45"/>
      <c r="AJ404" s="265"/>
      <c r="AK404" s="137"/>
      <c r="AL404" s="218"/>
      <c r="AM404" s="218"/>
      <c r="AN404" s="270">
        <f t="shared" si="132"/>
        <v>0</v>
      </c>
      <c r="AO404" s="271">
        <f t="shared" si="133"/>
        <v>0</v>
      </c>
      <c r="AP404" s="192">
        <f t="shared" si="134"/>
        <v>0</v>
      </c>
      <c r="AQ404" s="271">
        <f t="shared" si="135"/>
        <v>0</v>
      </c>
      <c r="AR404" s="192"/>
      <c r="AS404" s="271"/>
      <c r="AT404" s="45"/>
      <c r="AU404" s="36"/>
      <c r="AV404" s="36"/>
      <c r="AW404" s="36"/>
      <c r="AX404" s="36"/>
    </row>
    <row r="405" spans="1:50" x14ac:dyDescent="0.2">
      <c r="B405" s="2"/>
      <c r="C405" s="11" t="s">
        <v>716</v>
      </c>
      <c r="D405" s="11"/>
      <c r="E405" s="209"/>
      <c r="F405" s="210"/>
      <c r="G405" s="218"/>
      <c r="H405" s="218"/>
      <c r="I405" s="218"/>
      <c r="J405" s="218"/>
      <c r="K405" s="218"/>
      <c r="L405" s="218"/>
      <c r="M405" s="218"/>
      <c r="N405" s="219"/>
      <c r="O405" s="218"/>
      <c r="P405" s="218"/>
      <c r="Q405" s="218"/>
      <c r="R405" s="218"/>
      <c r="S405" s="218"/>
      <c r="T405" s="219"/>
      <c r="U405" s="192">
        <f t="shared" si="130"/>
        <v>0</v>
      </c>
      <c r="V405" s="192">
        <f t="shared" si="130"/>
        <v>0</v>
      </c>
      <c r="W405" s="270">
        <f t="shared" si="131"/>
        <v>0</v>
      </c>
      <c r="X405" s="271">
        <f t="shared" si="131"/>
        <v>0</v>
      </c>
      <c r="Y405" s="303"/>
      <c r="Z405" s="304"/>
      <c r="AA405" s="269"/>
      <c r="AB405" s="137"/>
      <c r="AC405" s="265" t="str">
        <f>'F. Debt Issues'!$D$34</f>
        <v>F.1</v>
      </c>
      <c r="AD405" s="44">
        <f>'F. Debt Issues'!L37</f>
        <v>0</v>
      </c>
      <c r="AE405" s="45"/>
      <c r="AF405" s="265"/>
      <c r="AG405" s="45"/>
      <c r="AH405" s="264"/>
      <c r="AI405" s="45"/>
      <c r="AJ405" s="265"/>
      <c r="AK405" s="137"/>
      <c r="AL405" s="218"/>
      <c r="AM405" s="218"/>
      <c r="AN405" s="270">
        <f t="shared" si="132"/>
        <v>0</v>
      </c>
      <c r="AO405" s="271">
        <f t="shared" si="133"/>
        <v>0</v>
      </c>
      <c r="AP405" s="192">
        <f t="shared" si="134"/>
        <v>0</v>
      </c>
      <c r="AQ405" s="271">
        <f t="shared" si="135"/>
        <v>0</v>
      </c>
      <c r="AR405" s="192"/>
      <c r="AS405" s="271"/>
      <c r="AT405" s="45"/>
      <c r="AU405" s="36"/>
      <c r="AV405" s="36"/>
      <c r="AW405" s="36"/>
      <c r="AX405" s="36"/>
    </row>
    <row r="406" spans="1:50" x14ac:dyDescent="0.2">
      <c r="B406" s="2"/>
      <c r="C406" s="11" t="s">
        <v>715</v>
      </c>
      <c r="D406" s="11"/>
      <c r="E406" s="209"/>
      <c r="F406" s="210"/>
      <c r="G406" s="218"/>
      <c r="H406" s="218"/>
      <c r="I406" s="218"/>
      <c r="J406" s="218"/>
      <c r="K406" s="218"/>
      <c r="L406" s="218"/>
      <c r="M406" s="218"/>
      <c r="N406" s="219"/>
      <c r="O406" s="218"/>
      <c r="P406" s="218"/>
      <c r="Q406" s="218"/>
      <c r="R406" s="218"/>
      <c r="S406" s="218"/>
      <c r="T406" s="219"/>
      <c r="U406" s="192">
        <f>O406+Q406+S406</f>
        <v>0</v>
      </c>
      <c r="V406" s="192">
        <f>P406+R406+T406</f>
        <v>0</v>
      </c>
      <c r="W406" s="270">
        <f>E406+G406+I406+K406+M406+U406</f>
        <v>0</v>
      </c>
      <c r="X406" s="271">
        <f>F406+H406+J406+L406+N406+V406</f>
        <v>0</v>
      </c>
      <c r="Y406" s="303"/>
      <c r="Z406" s="304"/>
      <c r="AA406" s="269"/>
      <c r="AB406" s="137"/>
      <c r="AC406" s="265" t="str">
        <f>'F. Debt Issues'!$D$34</f>
        <v>F.1</v>
      </c>
      <c r="AD406" s="44">
        <f>'F. Debt Issues'!L35</f>
        <v>0</v>
      </c>
      <c r="AE406" s="45"/>
      <c r="AF406" s="265"/>
      <c r="AG406" s="45"/>
      <c r="AH406" s="264"/>
      <c r="AI406" s="45"/>
      <c r="AJ406" s="265"/>
      <c r="AK406" s="137"/>
      <c r="AL406" s="218"/>
      <c r="AM406" s="218"/>
      <c r="AN406" s="270">
        <f>W406+Y406+AA406+AD406+AI406+AL406</f>
        <v>0</v>
      </c>
      <c r="AO406" s="271">
        <f>X406+Z406+AB406+AG406+AK406+AM406</f>
        <v>0</v>
      </c>
      <c r="AP406" s="192">
        <f t="shared" si="134"/>
        <v>0</v>
      </c>
      <c r="AQ406" s="271">
        <f t="shared" si="135"/>
        <v>0</v>
      </c>
      <c r="AR406" s="192"/>
      <c r="AS406" s="271"/>
      <c r="AT406" s="45"/>
      <c r="AU406" s="36"/>
      <c r="AV406" s="36"/>
      <c r="AW406" s="36"/>
      <c r="AX406" s="36"/>
    </row>
    <row r="407" spans="1:50" x14ac:dyDescent="0.2">
      <c r="B407" s="2"/>
      <c r="C407" s="11" t="s">
        <v>717</v>
      </c>
      <c r="D407" s="11"/>
      <c r="E407" s="209"/>
      <c r="F407" s="210"/>
      <c r="G407" s="218"/>
      <c r="H407" s="218"/>
      <c r="I407" s="218"/>
      <c r="J407" s="218"/>
      <c r="K407" s="218"/>
      <c r="L407" s="218"/>
      <c r="M407" s="218"/>
      <c r="N407" s="219"/>
      <c r="O407" s="218"/>
      <c r="P407" s="218"/>
      <c r="Q407" s="218"/>
      <c r="R407" s="218"/>
      <c r="S407" s="218"/>
      <c r="T407" s="219"/>
      <c r="U407" s="192">
        <f>O407+Q407+S407</f>
        <v>0</v>
      </c>
      <c r="V407" s="192">
        <f>P407+R407+T407</f>
        <v>0</v>
      </c>
      <c r="W407" s="270">
        <f>E407+G407+I407+K407+M407+U407</f>
        <v>0</v>
      </c>
      <c r="X407" s="271">
        <f>F407+H407+J407+L407+N407+V407</f>
        <v>0</v>
      </c>
      <c r="Y407" s="303"/>
      <c r="Z407" s="304"/>
      <c r="AA407" s="269"/>
      <c r="AB407" s="137"/>
      <c r="AC407" s="265" t="str">
        <f>'F. Debt Issues'!$D$34</f>
        <v>F.1</v>
      </c>
      <c r="AD407" s="44">
        <f>'F. Debt Issues'!L36</f>
        <v>0</v>
      </c>
      <c r="AE407" s="45"/>
      <c r="AF407" s="265"/>
      <c r="AG407" s="45"/>
      <c r="AH407" s="264"/>
      <c r="AI407" s="45"/>
      <c r="AJ407" s="265"/>
      <c r="AK407" s="137"/>
      <c r="AL407" s="218"/>
      <c r="AM407" s="218"/>
      <c r="AN407" s="270">
        <f>W407+Y407+AA407+AD407+AI407+AL407</f>
        <v>0</v>
      </c>
      <c r="AO407" s="271">
        <f>X407+Z407+AB407+AG407+AK407+AM407</f>
        <v>0</v>
      </c>
      <c r="AP407" s="192">
        <f t="shared" si="134"/>
        <v>0</v>
      </c>
      <c r="AQ407" s="271">
        <f t="shared" si="135"/>
        <v>0</v>
      </c>
      <c r="AR407" s="192"/>
      <c r="AS407" s="271"/>
      <c r="AT407" s="45"/>
      <c r="AU407" s="36"/>
      <c r="AV407" s="36"/>
      <c r="AW407" s="36"/>
      <c r="AX407" s="36"/>
    </row>
    <row r="408" spans="1:50" x14ac:dyDescent="0.2">
      <c r="C408" t="s">
        <v>714</v>
      </c>
      <c r="E408" s="209"/>
      <c r="F408" s="210"/>
      <c r="G408" s="218"/>
      <c r="H408" s="218"/>
      <c r="I408" s="218"/>
      <c r="J408" s="218"/>
      <c r="K408" s="218"/>
      <c r="L408" s="218"/>
      <c r="M408" s="218"/>
      <c r="N408" s="219"/>
      <c r="O408" s="218"/>
      <c r="P408" s="218"/>
      <c r="Q408" s="218"/>
      <c r="R408" s="218"/>
      <c r="S408" s="218"/>
      <c r="T408" s="219"/>
      <c r="U408" s="192">
        <f t="shared" si="130"/>
        <v>0</v>
      </c>
      <c r="V408" s="192">
        <f t="shared" si="130"/>
        <v>0</v>
      </c>
      <c r="W408" s="270">
        <f t="shared" si="131"/>
        <v>0</v>
      </c>
      <c r="X408" s="271">
        <f t="shared" si="131"/>
        <v>0</v>
      </c>
      <c r="Y408" s="303"/>
      <c r="Z408" s="304"/>
      <c r="AA408" s="269"/>
      <c r="AB408" s="137"/>
      <c r="AC408" s="265" t="str">
        <f>'D.  Capital Asset Disposal'!D189</f>
        <v>D.1</v>
      </c>
      <c r="AD408" s="45">
        <f>'D.  Capital Asset Disposal'!M195</f>
        <v>0</v>
      </c>
      <c r="AE408" s="45"/>
      <c r="AF408" s="265"/>
      <c r="AG408" s="45"/>
      <c r="AH408" s="264"/>
      <c r="AI408" s="45"/>
      <c r="AJ408" s="265"/>
      <c r="AK408" s="137"/>
      <c r="AL408" s="218"/>
      <c r="AM408" s="218"/>
      <c r="AN408" s="270">
        <f t="shared" si="132"/>
        <v>0</v>
      </c>
      <c r="AO408" s="271">
        <f t="shared" si="133"/>
        <v>0</v>
      </c>
      <c r="AP408" s="192">
        <f t="shared" si="134"/>
        <v>0</v>
      </c>
      <c r="AQ408" s="271">
        <f t="shared" si="135"/>
        <v>0</v>
      </c>
      <c r="AR408" s="192"/>
      <c r="AS408" s="271"/>
      <c r="AT408" s="45"/>
      <c r="AU408" s="36"/>
      <c r="AV408" s="36"/>
      <c r="AW408" s="36"/>
      <c r="AX408" s="36"/>
    </row>
    <row r="409" spans="1:50" x14ac:dyDescent="0.2">
      <c r="B409" s="2"/>
      <c r="C409" s="11" t="s">
        <v>129</v>
      </c>
      <c r="D409" s="11"/>
      <c r="E409" s="211"/>
      <c r="F409" s="212"/>
      <c r="G409" s="220"/>
      <c r="H409" s="220"/>
      <c r="I409" s="220"/>
      <c r="J409" s="220"/>
      <c r="K409" s="220"/>
      <c r="L409" s="220"/>
      <c r="M409" s="220"/>
      <c r="N409" s="221"/>
      <c r="O409" s="220"/>
      <c r="P409" s="220"/>
      <c r="Q409" s="220"/>
      <c r="R409" s="220"/>
      <c r="S409" s="220"/>
      <c r="T409" s="221"/>
      <c r="U409" s="192">
        <f t="shared" si="130"/>
        <v>0</v>
      </c>
      <c r="V409" s="192">
        <f t="shared" si="130"/>
        <v>0</v>
      </c>
      <c r="W409" s="270">
        <f t="shared" si="131"/>
        <v>0</v>
      </c>
      <c r="X409" s="271">
        <f t="shared" si="131"/>
        <v>0</v>
      </c>
      <c r="Y409" s="305"/>
      <c r="Z409" s="306"/>
      <c r="AA409" s="273"/>
      <c r="AB409" s="138">
        <f>'A. Revenue by Function'!N221</f>
        <v>0</v>
      </c>
      <c r="AC409" s="274"/>
      <c r="AD409" s="44"/>
      <c r="AE409" s="44"/>
      <c r="AF409" s="274" t="str">
        <f>'D.  Capital Asset Disposal'!$D$189</f>
        <v>D.1</v>
      </c>
      <c r="AG409" s="44">
        <f>'D.  Capital Asset Disposal'!O198</f>
        <v>0</v>
      </c>
      <c r="AH409" s="275"/>
      <c r="AI409" s="44"/>
      <c r="AJ409" s="274"/>
      <c r="AK409" s="138"/>
      <c r="AL409" s="222"/>
      <c r="AM409" s="222"/>
      <c r="AN409" s="270">
        <f t="shared" si="132"/>
        <v>0</v>
      </c>
      <c r="AO409" s="271">
        <f t="shared" si="133"/>
        <v>0</v>
      </c>
      <c r="AP409" s="192">
        <f>IF(AN409+AN410-(AO409+AO410)&lt;0, " ",AN409+AN410-(AO409+AO410))</f>
        <v>0</v>
      </c>
      <c r="AQ409" s="271">
        <f>IF(AN409+AN410-(AO409+AO410)&gt;0, " ", AO409+AO410-(AN409+AN410))</f>
        <v>0</v>
      </c>
      <c r="AR409" s="192"/>
      <c r="AS409" s="271"/>
      <c r="AT409" s="45"/>
      <c r="AU409" s="36"/>
      <c r="AV409" s="36"/>
      <c r="AW409" s="36"/>
      <c r="AX409" s="36"/>
    </row>
    <row r="410" spans="1:50" ht="3.75" customHeight="1" x14ac:dyDescent="0.2">
      <c r="A410" s="314"/>
      <c r="B410" s="314"/>
      <c r="C410" s="314"/>
      <c r="D410" s="314"/>
      <c r="E410" s="310"/>
      <c r="F410" s="416"/>
      <c r="G410" s="304"/>
      <c r="H410" s="304"/>
      <c r="I410" s="304"/>
      <c r="J410" s="304"/>
      <c r="K410" s="304"/>
      <c r="L410" s="304"/>
      <c r="M410" s="304"/>
      <c r="N410" s="417"/>
      <c r="O410" s="304"/>
      <c r="P410" s="304"/>
      <c r="Q410" s="304"/>
      <c r="R410" s="304"/>
      <c r="S410" s="304"/>
      <c r="T410" s="417"/>
      <c r="U410" s="192"/>
      <c r="V410" s="192"/>
      <c r="W410" s="270"/>
      <c r="X410" s="271"/>
      <c r="Y410" s="303"/>
      <c r="Z410" s="304"/>
      <c r="AA410" s="269"/>
      <c r="AB410" s="137"/>
      <c r="AC410" s="265"/>
      <c r="AD410" s="45"/>
      <c r="AE410" s="45"/>
      <c r="AF410" s="265"/>
      <c r="AG410" s="45"/>
      <c r="AH410" s="264"/>
      <c r="AI410" s="45"/>
      <c r="AJ410" s="265"/>
      <c r="AK410" s="137"/>
      <c r="AL410" s="218"/>
      <c r="AM410" s="218"/>
      <c r="AN410" s="270"/>
      <c r="AO410" s="271"/>
      <c r="AP410" s="192"/>
      <c r="AQ410" s="271"/>
      <c r="AR410" s="192"/>
      <c r="AS410" s="271"/>
      <c r="AT410" s="45"/>
      <c r="AU410" s="36"/>
      <c r="AV410" s="36"/>
      <c r="AW410" s="36"/>
      <c r="AX410" s="36"/>
    </row>
    <row r="411" spans="1:50" x14ac:dyDescent="0.2">
      <c r="C411" t="s">
        <v>694</v>
      </c>
      <c r="E411" s="209"/>
      <c r="F411" s="210"/>
      <c r="G411" s="218"/>
      <c r="H411" s="218"/>
      <c r="I411" s="218"/>
      <c r="J411" s="218"/>
      <c r="K411" s="218"/>
      <c r="L411" s="218"/>
      <c r="M411" s="218"/>
      <c r="N411" s="219"/>
      <c r="O411" s="218"/>
      <c r="P411" s="218"/>
      <c r="Q411" s="218"/>
      <c r="R411" s="218"/>
      <c r="S411" s="218"/>
      <c r="T411" s="219"/>
      <c r="U411" s="192">
        <f>O411+Q411+S411</f>
        <v>0</v>
      </c>
      <c r="V411" s="192">
        <f>P411+R411+T411</f>
        <v>0</v>
      </c>
      <c r="W411" s="270">
        <f>E411+G411+I411+K411+M411+U411</f>
        <v>0</v>
      </c>
      <c r="X411" s="271">
        <f>F411+H411+J411+L411+N411+V411</f>
        <v>0</v>
      </c>
      <c r="Y411" s="303"/>
      <c r="Z411" s="304"/>
      <c r="AA411" s="269"/>
      <c r="AB411" s="137"/>
      <c r="AC411" s="280" t="str">
        <f>'G.  Other Asset Entries'!B90</f>
        <v>G.1</v>
      </c>
      <c r="AD411" s="45">
        <f>'G.  Other Asset Entries'!L91</f>
        <v>0</v>
      </c>
      <c r="AE411" s="45"/>
      <c r="AF411" s="265"/>
      <c r="AG411" s="45"/>
      <c r="AH411" s="264"/>
      <c r="AI411" s="45"/>
      <c r="AJ411" s="265"/>
      <c r="AK411" s="137"/>
      <c r="AL411" s="218"/>
      <c r="AM411" s="218"/>
      <c r="AN411" s="270">
        <f>W411+Y411+AA411+AD411+AI411+AL411</f>
        <v>0</v>
      </c>
      <c r="AO411" s="271">
        <f>X411+Z411+AB411+AG411+AK411+AM411</f>
        <v>0</v>
      </c>
      <c r="AP411" s="192">
        <f>IF(AN411-AO411&lt;0, " ",AN411-AO411)</f>
        <v>0</v>
      </c>
      <c r="AQ411" s="271">
        <f>IF(AN411-AO411&gt;0, " ", AO411-AN411)</f>
        <v>0</v>
      </c>
      <c r="AR411" s="192"/>
      <c r="AS411" s="271"/>
      <c r="AT411" s="45"/>
      <c r="AU411" s="36"/>
      <c r="AV411" s="36"/>
      <c r="AW411" s="36"/>
      <c r="AX411" s="36"/>
    </row>
    <row r="412" spans="1:50" x14ac:dyDescent="0.2">
      <c r="C412" t="s">
        <v>695</v>
      </c>
      <c r="E412" s="209"/>
      <c r="F412" s="210"/>
      <c r="G412" s="218"/>
      <c r="H412" s="218"/>
      <c r="I412" s="218"/>
      <c r="J412" s="218"/>
      <c r="K412" s="218"/>
      <c r="L412" s="218"/>
      <c r="M412" s="218"/>
      <c r="N412" s="219"/>
      <c r="O412" s="218"/>
      <c r="P412" s="218"/>
      <c r="Q412" s="218"/>
      <c r="R412" s="218"/>
      <c r="S412" s="218"/>
      <c r="T412" s="219"/>
      <c r="U412" s="192">
        <f>O412+Q412+S412</f>
        <v>0</v>
      </c>
      <c r="V412" s="192">
        <f>P412+R412+T412</f>
        <v>0</v>
      </c>
      <c r="W412" s="270">
        <f>E412+G412+I412+K412+M412+U412</f>
        <v>0</v>
      </c>
      <c r="X412" s="271">
        <f>F412+H412+J412+L412+N412+V412</f>
        <v>0</v>
      </c>
      <c r="Y412" s="303"/>
      <c r="Z412" s="304"/>
      <c r="AA412" s="269"/>
      <c r="AB412" s="137"/>
      <c r="AC412" s="280" t="str">
        <f>'G.  Other Asset Entries'!B90</f>
        <v>G.1</v>
      </c>
      <c r="AD412" s="45">
        <f>'G.  Other Asset Entries'!L92</f>
        <v>0</v>
      </c>
      <c r="AE412" s="45"/>
      <c r="AF412" s="265"/>
      <c r="AG412" s="45"/>
      <c r="AH412" s="264"/>
      <c r="AI412" s="45"/>
      <c r="AJ412" s="265"/>
      <c r="AK412" s="137"/>
      <c r="AL412" s="218"/>
      <c r="AM412" s="218"/>
      <c r="AN412" s="270">
        <f>W412+Y412+AA412+AD412+AI412+AL412</f>
        <v>0</v>
      </c>
      <c r="AO412" s="271">
        <f>X412+Z412+AB412+AG412+AK412+AM412</f>
        <v>0</v>
      </c>
      <c r="AP412" s="192">
        <f>IF(AN412-AO412&lt;0, " ",AN412-AO412)</f>
        <v>0</v>
      </c>
      <c r="AQ412" s="271">
        <f>IF(AN412-AO412&gt;0, " ", AO412-AN412)</f>
        <v>0</v>
      </c>
      <c r="AR412" s="192"/>
      <c r="AS412" s="271"/>
      <c r="AT412" s="45"/>
      <c r="AU412" s="36"/>
      <c r="AV412" s="36"/>
      <c r="AW412" s="36"/>
      <c r="AX412" s="36"/>
    </row>
    <row r="413" spans="1:50" ht="4.5" customHeight="1" x14ac:dyDescent="0.2">
      <c r="A413" s="314"/>
      <c r="B413" s="314"/>
      <c r="C413" s="314"/>
      <c r="D413" s="314"/>
      <c r="E413" s="310"/>
      <c r="F413" s="416"/>
      <c r="G413" s="304"/>
      <c r="H413" s="304"/>
      <c r="I413" s="304"/>
      <c r="J413" s="304"/>
      <c r="K413" s="304"/>
      <c r="L413" s="304"/>
      <c r="M413" s="304"/>
      <c r="N413" s="417"/>
      <c r="O413" s="304"/>
      <c r="P413" s="304"/>
      <c r="Q413" s="304"/>
      <c r="R413" s="304"/>
      <c r="S413" s="304"/>
      <c r="T413" s="417"/>
      <c r="U413" s="192"/>
      <c r="V413" s="192"/>
      <c r="W413" s="270"/>
      <c r="X413" s="271"/>
      <c r="Y413" s="303"/>
      <c r="Z413" s="304"/>
      <c r="AA413" s="269"/>
      <c r="AB413" s="137"/>
      <c r="AC413" s="265"/>
      <c r="AD413" s="45"/>
      <c r="AE413" s="45"/>
      <c r="AF413" s="280"/>
      <c r="AG413" s="45"/>
      <c r="AH413" s="264"/>
      <c r="AI413" s="45"/>
      <c r="AJ413" s="265"/>
      <c r="AK413" s="137"/>
      <c r="AL413" s="218"/>
      <c r="AM413" s="218"/>
      <c r="AN413" s="270"/>
      <c r="AO413" s="271"/>
      <c r="AP413" s="192"/>
      <c r="AQ413" s="271"/>
      <c r="AR413" s="192"/>
      <c r="AS413" s="271"/>
      <c r="AT413" s="45"/>
      <c r="AU413" s="36"/>
      <c r="AV413" s="36"/>
      <c r="AW413" s="36"/>
      <c r="AX413" s="36"/>
    </row>
    <row r="414" spans="1:50" ht="18.75" customHeight="1" x14ac:dyDescent="0.2">
      <c r="A414" s="413" t="s">
        <v>650</v>
      </c>
      <c r="B414" s="422"/>
      <c r="C414" s="422"/>
      <c r="D414" s="422"/>
      <c r="E414" s="310"/>
      <c r="F414" s="416"/>
      <c r="G414" s="304"/>
      <c r="H414" s="304"/>
      <c r="I414" s="304"/>
      <c r="J414" s="304"/>
      <c r="K414" s="304"/>
      <c r="L414" s="304"/>
      <c r="M414" s="304"/>
      <c r="N414" s="417"/>
      <c r="O414" s="304"/>
      <c r="P414" s="304"/>
      <c r="Q414" s="304"/>
      <c r="R414" s="304"/>
      <c r="S414" s="304"/>
      <c r="T414" s="417"/>
      <c r="U414" s="192"/>
      <c r="V414" s="192"/>
      <c r="W414" s="270"/>
      <c r="X414" s="271"/>
      <c r="Y414" s="303"/>
      <c r="Z414" s="304"/>
      <c r="AA414" s="269"/>
      <c r="AB414" s="137"/>
      <c r="AC414" s="265"/>
      <c r="AD414" s="45"/>
      <c r="AE414" s="45"/>
      <c r="AF414" s="265"/>
      <c r="AG414" s="45"/>
      <c r="AH414" s="264"/>
      <c r="AI414" s="45"/>
      <c r="AJ414" s="265"/>
      <c r="AK414" s="137"/>
      <c r="AL414" s="218"/>
      <c r="AM414" s="218"/>
      <c r="AN414" s="270"/>
      <c r="AO414" s="271"/>
      <c r="AP414" s="192"/>
      <c r="AQ414" s="271"/>
      <c r="AR414" s="192"/>
      <c r="AS414" s="271"/>
      <c r="AT414" s="45"/>
      <c r="AU414" s="36"/>
      <c r="AV414" s="36"/>
      <c r="AW414" s="36"/>
      <c r="AX414" s="36"/>
    </row>
    <row r="415" spans="1:50" ht="5.25" customHeight="1" x14ac:dyDescent="0.2">
      <c r="A415" s="314"/>
      <c r="B415" s="314"/>
      <c r="C415" s="314"/>
      <c r="D415" s="314"/>
      <c r="E415" s="310"/>
      <c r="F415" s="416"/>
      <c r="G415" s="304"/>
      <c r="H415" s="304"/>
      <c r="I415" s="304"/>
      <c r="J415" s="304"/>
      <c r="K415" s="304"/>
      <c r="L415" s="304"/>
      <c r="M415" s="304"/>
      <c r="N415" s="417"/>
      <c r="O415" s="304"/>
      <c r="P415" s="304"/>
      <c r="Q415" s="304"/>
      <c r="R415" s="304"/>
      <c r="S415" s="304"/>
      <c r="T415" s="417"/>
      <c r="U415" s="192"/>
      <c r="V415" s="192"/>
      <c r="W415" s="270"/>
      <c r="X415" s="271"/>
      <c r="Y415" s="303"/>
      <c r="Z415" s="304"/>
      <c r="AA415" s="269"/>
      <c r="AB415" s="137"/>
      <c r="AC415" s="265"/>
      <c r="AD415" s="45"/>
      <c r="AE415" s="45"/>
      <c r="AF415" s="265"/>
      <c r="AG415" s="45"/>
      <c r="AH415" s="264"/>
      <c r="AI415" s="45"/>
      <c r="AJ415" s="265"/>
      <c r="AK415" s="137"/>
      <c r="AL415" s="285"/>
      <c r="AM415" s="218"/>
      <c r="AN415" s="270"/>
      <c r="AO415" s="271"/>
      <c r="AP415" s="192"/>
      <c r="AQ415" s="271"/>
      <c r="AR415" s="192"/>
      <c r="AS415" s="271"/>
      <c r="AT415" s="45"/>
      <c r="AU415" s="36"/>
      <c r="AV415" s="36"/>
      <c r="AW415" s="36"/>
      <c r="AX415" s="36"/>
    </row>
    <row r="416" spans="1:50" x14ac:dyDescent="0.2">
      <c r="B416" s="2"/>
      <c r="C416" t="s">
        <v>621</v>
      </c>
      <c r="E416" s="209"/>
      <c r="F416" s="210"/>
      <c r="G416" s="218"/>
      <c r="H416" s="218"/>
      <c r="I416" s="218"/>
      <c r="J416" s="218"/>
      <c r="K416" s="218"/>
      <c r="L416" s="218"/>
      <c r="M416" s="218"/>
      <c r="N416" s="219"/>
      <c r="O416" s="218"/>
      <c r="P416" s="218"/>
      <c r="Q416" s="218"/>
      <c r="R416" s="218"/>
      <c r="S416" s="218"/>
      <c r="T416" s="219"/>
      <c r="U416" s="192">
        <f t="shared" ref="U416:V418" si="136">O416+Q416+S416</f>
        <v>0</v>
      </c>
      <c r="V416" s="192">
        <f t="shared" si="136"/>
        <v>0</v>
      </c>
      <c r="W416" s="270">
        <f t="shared" ref="W416:X418" si="137">E416+G416+I416+K416+M416+U416</f>
        <v>0</v>
      </c>
      <c r="X416" s="271">
        <f t="shared" si="137"/>
        <v>0</v>
      </c>
      <c r="Y416" s="303"/>
      <c r="Z416" s="304"/>
      <c r="AA416" s="269"/>
      <c r="AB416" s="137"/>
      <c r="AC416" s="265" t="str">
        <f>'H. Other Liabilities &amp; Expenses'!D235</f>
        <v>H.1</v>
      </c>
      <c r="AD416" s="45">
        <f>'H. Other Liabilities &amp; Expenses'!L252</f>
        <v>0</v>
      </c>
      <c r="AE416" s="45"/>
      <c r="AF416" s="265"/>
      <c r="AG416" s="45"/>
      <c r="AH416" s="264"/>
      <c r="AI416" s="45"/>
      <c r="AJ416" s="265"/>
      <c r="AK416" s="137"/>
      <c r="AL416" s="218"/>
      <c r="AM416" s="218"/>
      <c r="AN416" s="270">
        <f>W416+Y416+AA416+AD416+AI416+AL416</f>
        <v>0</v>
      </c>
      <c r="AO416" s="271">
        <f>X416+Z416+AB416+AG416+AK416+AM416</f>
        <v>0</v>
      </c>
      <c r="AP416" s="192">
        <f>IF(AN416-AO416&lt;0, " ",AN416-AO416)</f>
        <v>0</v>
      </c>
      <c r="AQ416" s="271">
        <f>IF(AN416-AO416&gt;0, " ", AO416-AN416)</f>
        <v>0</v>
      </c>
      <c r="AR416" s="192"/>
      <c r="AS416" s="271"/>
      <c r="AT416" s="45"/>
      <c r="AU416" s="36"/>
      <c r="AV416" s="36"/>
      <c r="AW416" s="36"/>
      <c r="AX416" s="36"/>
    </row>
    <row r="417" spans="1:50" x14ac:dyDescent="0.2">
      <c r="B417" s="2"/>
      <c r="C417" s="184" t="s">
        <v>651</v>
      </c>
      <c r="D417" s="184"/>
      <c r="E417" s="213"/>
      <c r="F417" s="214"/>
      <c r="G417" s="222"/>
      <c r="H417" s="222"/>
      <c r="I417" s="222"/>
      <c r="J417" s="222"/>
      <c r="K417" s="222"/>
      <c r="L417" s="222"/>
      <c r="M417" s="222"/>
      <c r="N417" s="223"/>
      <c r="O417" s="222"/>
      <c r="P417" s="222"/>
      <c r="Q417" s="222"/>
      <c r="R417" s="222"/>
      <c r="S417" s="222"/>
      <c r="T417" s="223"/>
      <c r="U417" s="192">
        <f t="shared" si="136"/>
        <v>0</v>
      </c>
      <c r="V417" s="192">
        <f t="shared" si="136"/>
        <v>0</v>
      </c>
      <c r="W417" s="270">
        <f t="shared" si="137"/>
        <v>0</v>
      </c>
      <c r="X417" s="271">
        <f t="shared" si="137"/>
        <v>0</v>
      </c>
      <c r="Y417" s="307"/>
      <c r="Z417" s="308"/>
      <c r="AA417" s="276"/>
      <c r="AB417" s="186"/>
      <c r="AC417" s="277" t="str">
        <f>'H. Other Liabilities &amp; Expenses'!D235</f>
        <v>H.1</v>
      </c>
      <c r="AD417" s="185">
        <f>'H. Other Liabilities &amp; Expenses'!L253</f>
        <v>0</v>
      </c>
      <c r="AE417" s="185"/>
      <c r="AF417" s="277"/>
      <c r="AG417" s="185"/>
      <c r="AH417" s="278"/>
      <c r="AI417" s="185"/>
      <c r="AJ417" s="277"/>
      <c r="AK417" s="186"/>
      <c r="AL417" s="222"/>
      <c r="AM417" s="222"/>
      <c r="AN417" s="270">
        <f>W417+Y417+AA417+AD417+AI417+AL417</f>
        <v>0</v>
      </c>
      <c r="AO417" s="271">
        <f>X417+Z417+AB417+AG417+AK417+AM417</f>
        <v>0</v>
      </c>
      <c r="AP417" s="192">
        <f>IF(AN417+AN418-AO417-AO418&lt;0, " ",AN417+AN418-AO417-AO418)</f>
        <v>0</v>
      </c>
      <c r="AQ417" s="271">
        <f>IF(AN417+AN418-AO417-AO418&gt;0, " ", AO417+AN418-AN417-AO418)</f>
        <v>0</v>
      </c>
      <c r="AR417" s="192"/>
      <c r="AS417" s="271"/>
      <c r="AT417" s="45"/>
      <c r="AU417" s="36"/>
      <c r="AV417" s="36"/>
      <c r="AW417" s="36"/>
      <c r="AX417" s="36"/>
    </row>
    <row r="418" spans="1:50" x14ac:dyDescent="0.2">
      <c r="B418" s="2"/>
      <c r="C418" s="184"/>
      <c r="D418" s="184"/>
      <c r="E418" s="213"/>
      <c r="F418" s="214"/>
      <c r="G418" s="222"/>
      <c r="H418" s="222"/>
      <c r="I418" s="222"/>
      <c r="J418" s="222"/>
      <c r="K418" s="222"/>
      <c r="L418" s="222"/>
      <c r="M418" s="222"/>
      <c r="N418" s="223"/>
      <c r="O418" s="222"/>
      <c r="P418" s="222"/>
      <c r="Q418" s="222"/>
      <c r="R418" s="222"/>
      <c r="S418" s="222"/>
      <c r="T418" s="223"/>
      <c r="U418" s="192">
        <f t="shared" si="136"/>
        <v>0</v>
      </c>
      <c r="V418" s="192">
        <f t="shared" si="136"/>
        <v>0</v>
      </c>
      <c r="W418" s="270">
        <f t="shared" si="137"/>
        <v>0</v>
      </c>
      <c r="X418" s="271">
        <f t="shared" si="137"/>
        <v>0</v>
      </c>
      <c r="Y418" s="307"/>
      <c r="Z418" s="308"/>
      <c r="AA418" s="276"/>
      <c r="AB418" s="186"/>
      <c r="AC418" s="277" t="s">
        <v>135</v>
      </c>
      <c r="AD418" s="185">
        <f>'D.  Capital Asset Disposal'!M226</f>
        <v>0</v>
      </c>
      <c r="AE418" s="185"/>
      <c r="AF418" s="277"/>
      <c r="AG418" s="185"/>
      <c r="AH418" s="278"/>
      <c r="AI418" s="185"/>
      <c r="AJ418" s="277"/>
      <c r="AK418" s="186"/>
      <c r="AL418" s="222"/>
      <c r="AM418" s="222"/>
      <c r="AN418" s="270">
        <f>W418+Y418+AA418+AD418+AI418+AL418</f>
        <v>0</v>
      </c>
      <c r="AO418" s="271">
        <f>X418+Z418+AB418+AG418+AK418+AM418</f>
        <v>0</v>
      </c>
      <c r="AP418" s="192"/>
      <c r="AQ418" s="271"/>
      <c r="AR418" s="192"/>
      <c r="AS418" s="271"/>
      <c r="AT418" s="45"/>
      <c r="AU418" s="36"/>
      <c r="AV418" s="36"/>
      <c r="AW418" s="36"/>
      <c r="AX418" s="36"/>
    </row>
    <row r="419" spans="1:50" ht="5.25" customHeight="1" x14ac:dyDescent="0.2">
      <c r="A419" s="314"/>
      <c r="B419" s="423"/>
      <c r="C419" s="314"/>
      <c r="D419" s="314"/>
      <c r="E419" s="310"/>
      <c r="F419" s="416"/>
      <c r="G419" s="304"/>
      <c r="H419" s="304"/>
      <c r="I419" s="304"/>
      <c r="J419" s="304"/>
      <c r="K419" s="304"/>
      <c r="L419" s="304"/>
      <c r="M419" s="304"/>
      <c r="N419" s="417"/>
      <c r="O419" s="304"/>
      <c r="P419" s="304"/>
      <c r="Q419" s="304"/>
      <c r="R419" s="304"/>
      <c r="S419" s="304"/>
      <c r="T419" s="417"/>
      <c r="U419" s="192"/>
      <c r="V419" s="192"/>
      <c r="W419" s="270"/>
      <c r="X419" s="271"/>
      <c r="Y419" s="303"/>
      <c r="Z419" s="304"/>
      <c r="AA419" s="269"/>
      <c r="AB419" s="137"/>
      <c r="AC419" s="265"/>
      <c r="AD419" s="45"/>
      <c r="AE419" s="45"/>
      <c r="AF419" s="265"/>
      <c r="AG419" s="45"/>
      <c r="AH419" s="264"/>
      <c r="AI419" s="45"/>
      <c r="AJ419" s="265"/>
      <c r="AK419" s="137"/>
      <c r="AL419" s="218"/>
      <c r="AM419" s="218"/>
      <c r="AN419" s="270"/>
      <c r="AO419" s="271"/>
      <c r="AP419" s="192"/>
      <c r="AQ419" s="271"/>
      <c r="AR419" s="192"/>
      <c r="AS419" s="271"/>
      <c r="AT419" s="36"/>
      <c r="AU419" s="36"/>
      <c r="AV419" s="36"/>
      <c r="AW419" s="36"/>
      <c r="AX419" s="36"/>
    </row>
    <row r="420" spans="1:50" x14ac:dyDescent="0.2">
      <c r="B420" s="2"/>
      <c r="C420" s="184" t="s">
        <v>136</v>
      </c>
      <c r="D420" s="184"/>
      <c r="E420" s="213"/>
      <c r="F420" s="214"/>
      <c r="G420" s="222"/>
      <c r="H420" s="222"/>
      <c r="I420" s="222"/>
      <c r="J420" s="222"/>
      <c r="K420" s="222"/>
      <c r="L420" s="222"/>
      <c r="M420" s="222"/>
      <c r="N420" s="223"/>
      <c r="O420" s="222"/>
      <c r="P420" s="222"/>
      <c r="Q420" s="222"/>
      <c r="R420" s="222"/>
      <c r="S420" s="222"/>
      <c r="T420" s="223"/>
      <c r="U420" s="192">
        <f>O420+Q420+S420</f>
        <v>0</v>
      </c>
      <c r="V420" s="192">
        <f>P420+R420+T420</f>
        <v>0</v>
      </c>
      <c r="W420" s="270">
        <f>E420+G420+I420+K420+M420+U420</f>
        <v>0</v>
      </c>
      <c r="X420" s="271">
        <f>F420+H420+J420+L420+N420+V420</f>
        <v>0</v>
      </c>
      <c r="Y420" s="307"/>
      <c r="Z420" s="308"/>
      <c r="AA420" s="276"/>
      <c r="AB420" s="186">
        <f>'A. Revenue by Function'!N232</f>
        <v>0</v>
      </c>
      <c r="AC420" s="277"/>
      <c r="AD420" s="185"/>
      <c r="AE420" s="185"/>
      <c r="AF420" s="277" t="str">
        <f>'D.  Capital Asset Disposal'!$D$189</f>
        <v>D.1</v>
      </c>
      <c r="AG420" s="185">
        <f>'D.  Capital Asset Disposal'!O225</f>
        <v>0</v>
      </c>
      <c r="AH420" s="278"/>
      <c r="AI420" s="185"/>
      <c r="AJ420" s="277"/>
      <c r="AK420" s="186"/>
      <c r="AL420" s="222"/>
      <c r="AM420" s="222"/>
      <c r="AN420" s="270">
        <f>W420+Y420+AA420+AD420+AI420+AL420</f>
        <v>0</v>
      </c>
      <c r="AO420" s="271">
        <f>X420+Z420+AB420+AG420+AK420+AM420</f>
        <v>0</v>
      </c>
      <c r="AP420" s="192">
        <f>IF(AN420+AN421-(AO420+AO421)&lt;0, " ",AN420+AN421-(AO420+AO421))</f>
        <v>0</v>
      </c>
      <c r="AQ420" s="271">
        <f>IF(AN420+AN421-(AO420+AO421)&gt;0, " ", AO420+AO421-(AN420+AN421))</f>
        <v>0</v>
      </c>
      <c r="AR420" s="192"/>
      <c r="AS420" s="271"/>
      <c r="AT420" s="36"/>
      <c r="AU420" s="36"/>
      <c r="AV420" s="36"/>
      <c r="AW420" s="36"/>
      <c r="AX420" s="36"/>
    </row>
    <row r="421" spans="1:50" x14ac:dyDescent="0.2">
      <c r="B421" s="2"/>
      <c r="C421" s="184"/>
      <c r="D421" s="184"/>
      <c r="E421" s="213"/>
      <c r="F421" s="214"/>
      <c r="G421" s="222"/>
      <c r="H421" s="222"/>
      <c r="I421" s="222"/>
      <c r="J421" s="222"/>
      <c r="K421" s="222"/>
      <c r="L421" s="222"/>
      <c r="M421" s="222"/>
      <c r="N421" s="223"/>
      <c r="O421" s="222"/>
      <c r="P421" s="222"/>
      <c r="Q421" s="222"/>
      <c r="R421" s="222"/>
      <c r="S421" s="222"/>
      <c r="T421" s="223"/>
      <c r="U421" s="192">
        <f>O421+Q421+S421</f>
        <v>0</v>
      </c>
      <c r="V421" s="192">
        <f>P421+R421+T421</f>
        <v>0</v>
      </c>
      <c r="W421" s="270">
        <f>E421+G421+I421+K421+M421+U421</f>
        <v>0</v>
      </c>
      <c r="X421" s="271">
        <f>F421+H421+J421+L421+N421+V421</f>
        <v>0</v>
      </c>
      <c r="Y421" s="307"/>
      <c r="Z421" s="308"/>
      <c r="AA421" s="276"/>
      <c r="AB421" s="186"/>
      <c r="AC421" s="277"/>
      <c r="AD421" s="185"/>
      <c r="AE421" s="185"/>
      <c r="AF421" s="277" t="str">
        <f>'C. Capital Outlay &amp; Donations'!D154</f>
        <v>C.3</v>
      </c>
      <c r="AG421" s="185">
        <f>'C. Capital Outlay &amp; Donations'!M162</f>
        <v>0</v>
      </c>
      <c r="AH421" s="278"/>
      <c r="AI421" s="185"/>
      <c r="AJ421" s="277"/>
      <c r="AK421" s="186"/>
      <c r="AL421" s="222"/>
      <c r="AM421" s="222"/>
      <c r="AN421" s="270">
        <f>W421+Y421+AA421+AD421+AI421+AL421</f>
        <v>0</v>
      </c>
      <c r="AO421" s="271">
        <f>X421+Z421+AB421+AG421+AK421+AM421</f>
        <v>0</v>
      </c>
      <c r="AP421" s="192"/>
      <c r="AQ421" s="271"/>
      <c r="AR421" s="192"/>
      <c r="AS421" s="271"/>
      <c r="AT421" s="36"/>
      <c r="AU421" s="36"/>
      <c r="AV421" s="36"/>
      <c r="AW421" s="36"/>
      <c r="AX421" s="36"/>
    </row>
    <row r="422" spans="1:50" ht="5.25" customHeight="1" x14ac:dyDescent="0.2">
      <c r="A422" s="314"/>
      <c r="B422" s="423"/>
      <c r="C422" s="322"/>
      <c r="D422" s="322"/>
      <c r="E422" s="420"/>
      <c r="F422" s="318"/>
      <c r="G422" s="306"/>
      <c r="H422" s="306"/>
      <c r="I422" s="306"/>
      <c r="J422" s="306"/>
      <c r="K422" s="306"/>
      <c r="L422" s="306"/>
      <c r="M422" s="306"/>
      <c r="N422" s="421"/>
      <c r="O422" s="306"/>
      <c r="P422" s="306"/>
      <c r="Q422" s="306"/>
      <c r="R422" s="306"/>
      <c r="S422" s="306"/>
      <c r="T422" s="421"/>
      <c r="U422" s="192"/>
      <c r="V422" s="192"/>
      <c r="W422" s="270"/>
      <c r="X422" s="271"/>
      <c r="Y422" s="305"/>
      <c r="Z422" s="306"/>
      <c r="AA422" s="273"/>
      <c r="AB422" s="138"/>
      <c r="AC422" s="274"/>
      <c r="AD422" s="44"/>
      <c r="AE422" s="44"/>
      <c r="AF422" s="274"/>
      <c r="AG422" s="44"/>
      <c r="AH422" s="275"/>
      <c r="AI422" s="44"/>
      <c r="AJ422" s="274"/>
      <c r="AK422" s="138"/>
      <c r="AL422" s="220"/>
      <c r="AM422" s="220"/>
      <c r="AN422" s="270"/>
      <c r="AO422" s="271"/>
      <c r="AP422" s="192"/>
      <c r="AQ422" s="271"/>
      <c r="AR422" s="192"/>
      <c r="AS422" s="271"/>
      <c r="AT422" s="36"/>
      <c r="AU422" s="36"/>
      <c r="AV422" s="36"/>
      <c r="AW422" s="36"/>
      <c r="AX422" s="36"/>
    </row>
    <row r="423" spans="1:50" x14ac:dyDescent="0.2">
      <c r="B423" s="2"/>
      <c r="C423" s="184" t="s">
        <v>652</v>
      </c>
      <c r="D423" s="184"/>
      <c r="E423" s="213"/>
      <c r="F423" s="214"/>
      <c r="G423" s="222"/>
      <c r="H423" s="222"/>
      <c r="I423" s="222"/>
      <c r="J423" s="222"/>
      <c r="K423" s="222"/>
      <c r="L423" s="222"/>
      <c r="M423" s="222"/>
      <c r="N423" s="223"/>
      <c r="O423" s="222"/>
      <c r="P423" s="222"/>
      <c r="Q423" s="222"/>
      <c r="R423" s="222"/>
      <c r="S423" s="222"/>
      <c r="T423" s="223"/>
      <c r="U423" s="192">
        <f>O423+Q423+S423</f>
        <v>0</v>
      </c>
      <c r="V423" s="192">
        <f>P423+R423+T423</f>
        <v>0</v>
      </c>
      <c r="W423" s="270">
        <f>E423+G423+I423+K423+M423+U423</f>
        <v>0</v>
      </c>
      <c r="X423" s="271">
        <f>F423+H423+J423+L423+N423+V423</f>
        <v>0</v>
      </c>
      <c r="Y423" s="307"/>
      <c r="Z423" s="308"/>
      <c r="AA423" s="276"/>
      <c r="AB423" s="186">
        <f>'A. Revenue by Function'!N233</f>
        <v>0</v>
      </c>
      <c r="AC423" s="277"/>
      <c r="AD423" s="185"/>
      <c r="AE423" s="185"/>
      <c r="AF423" s="277" t="s">
        <v>135</v>
      </c>
      <c r="AG423" s="185">
        <f>'D.  Capital Asset Disposal'!O226</f>
        <v>0</v>
      </c>
      <c r="AH423" s="278"/>
      <c r="AI423" s="185"/>
      <c r="AJ423" s="277"/>
      <c r="AK423" s="186"/>
      <c r="AL423" s="222"/>
      <c r="AM423" s="222"/>
      <c r="AN423" s="270">
        <f>W423+Y423+AA423+AD423+AI423+AL423</f>
        <v>0</v>
      </c>
      <c r="AO423" s="271">
        <f>X423+Z423+AB423+AG423+AK423+AM423</f>
        <v>0</v>
      </c>
      <c r="AP423" s="192">
        <f>IF(AN423+AN424-AO423-AO424&lt;0, " ",AN423-AO423)</f>
        <v>0</v>
      </c>
      <c r="AQ423" s="271">
        <f>IF(AN423+AN424-AO423-AO424&gt;0, " ", AO423+AN424-AN423-AO424)</f>
        <v>0</v>
      </c>
      <c r="AR423" s="192"/>
      <c r="AS423" s="271"/>
      <c r="AT423" s="36"/>
      <c r="AU423" s="36"/>
      <c r="AV423" s="36"/>
      <c r="AW423" s="36"/>
      <c r="AX423" s="36"/>
    </row>
    <row r="424" spans="1:50" x14ac:dyDescent="0.2">
      <c r="B424" s="2"/>
      <c r="C424" s="184"/>
      <c r="D424" s="184"/>
      <c r="E424" s="213"/>
      <c r="F424" s="214"/>
      <c r="G424" s="222"/>
      <c r="H424" s="222"/>
      <c r="I424" s="222"/>
      <c r="J424" s="222"/>
      <c r="K424" s="222"/>
      <c r="L424" s="222"/>
      <c r="M424" s="222"/>
      <c r="N424" s="223"/>
      <c r="O424" s="222"/>
      <c r="P424" s="222"/>
      <c r="Q424" s="222"/>
      <c r="R424" s="222"/>
      <c r="S424" s="222"/>
      <c r="T424" s="223"/>
      <c r="U424" s="192">
        <f>O424+Q424+S424</f>
        <v>0</v>
      </c>
      <c r="V424" s="192">
        <f>P424+R424+T424</f>
        <v>0</v>
      </c>
      <c r="W424" s="270">
        <f>E424+G424+I424+K424+M424+U424</f>
        <v>0</v>
      </c>
      <c r="X424" s="271">
        <f>F424+H424+J424+L424+N424+V424</f>
        <v>0</v>
      </c>
      <c r="Y424" s="307"/>
      <c r="Z424" s="308"/>
      <c r="AA424" s="276"/>
      <c r="AB424" s="186"/>
      <c r="AC424" s="277"/>
      <c r="AD424" s="185"/>
      <c r="AE424" s="185"/>
      <c r="AF424" s="277"/>
      <c r="AG424" s="185"/>
      <c r="AH424" s="278"/>
      <c r="AI424" s="185"/>
      <c r="AJ424" s="277"/>
      <c r="AK424" s="186"/>
      <c r="AL424" s="222"/>
      <c r="AM424" s="222"/>
      <c r="AN424" s="270">
        <f>W424+Y424+AA424+AD424+AI424+AL424</f>
        <v>0</v>
      </c>
      <c r="AO424" s="271">
        <f>X424+Z424+AB424+AG424+AK424+AM424</f>
        <v>0</v>
      </c>
      <c r="AP424" s="192"/>
      <c r="AQ424" s="271"/>
      <c r="AR424" s="192"/>
      <c r="AS424" s="271"/>
      <c r="AT424" s="36"/>
      <c r="AU424" s="36"/>
      <c r="AV424" s="36"/>
      <c r="AW424" s="36"/>
      <c r="AX424" s="36"/>
    </row>
    <row r="425" spans="1:50" ht="4.5" customHeight="1" x14ac:dyDescent="0.2">
      <c r="A425" s="314"/>
      <c r="B425" s="423"/>
      <c r="C425" s="314"/>
      <c r="D425" s="314"/>
      <c r="E425" s="310"/>
      <c r="F425" s="416"/>
      <c r="G425" s="304"/>
      <c r="H425" s="304"/>
      <c r="I425" s="304"/>
      <c r="J425" s="304"/>
      <c r="K425" s="304"/>
      <c r="L425" s="304"/>
      <c r="M425" s="304"/>
      <c r="N425" s="417"/>
      <c r="O425" s="304"/>
      <c r="P425" s="304"/>
      <c r="Q425" s="304"/>
      <c r="R425" s="304"/>
      <c r="S425" s="304"/>
      <c r="T425" s="417"/>
      <c r="U425" s="306"/>
      <c r="V425" s="306"/>
      <c r="W425" s="303"/>
      <c r="X425" s="417"/>
      <c r="Y425" s="303"/>
      <c r="Z425" s="304"/>
      <c r="AA425" s="303"/>
      <c r="AB425" s="417"/>
      <c r="AC425" s="424"/>
      <c r="AD425" s="304"/>
      <c r="AE425" s="304"/>
      <c r="AF425" s="424"/>
      <c r="AG425" s="304"/>
      <c r="AH425" s="425"/>
      <c r="AI425" s="304"/>
      <c r="AJ425" s="424"/>
      <c r="AK425" s="417"/>
      <c r="AL425" s="304"/>
      <c r="AM425" s="304"/>
      <c r="AN425" s="305"/>
      <c r="AO425" s="421"/>
      <c r="AP425" s="304"/>
      <c r="AQ425" s="417"/>
      <c r="AR425" s="304"/>
      <c r="AS425" s="417"/>
      <c r="AT425" s="36"/>
      <c r="AU425" s="36"/>
      <c r="AV425" s="36"/>
      <c r="AW425" s="36"/>
      <c r="AX425" s="36"/>
    </row>
    <row r="426" spans="1:50" ht="13.5" thickBot="1" x14ac:dyDescent="0.25">
      <c r="C426" s="385" t="s">
        <v>168</v>
      </c>
      <c r="D426" s="385"/>
      <c r="E426" s="386">
        <f t="shared" ref="E426:AB426" si="138">SUM(E6:E425)</f>
        <v>0</v>
      </c>
      <c r="F426" s="387">
        <f t="shared" si="138"/>
        <v>0</v>
      </c>
      <c r="G426" s="387">
        <f t="shared" si="138"/>
        <v>0</v>
      </c>
      <c r="H426" s="387">
        <f t="shared" si="138"/>
        <v>0</v>
      </c>
      <c r="I426" s="387">
        <f t="shared" si="138"/>
        <v>0</v>
      </c>
      <c r="J426" s="387">
        <f t="shared" si="138"/>
        <v>0</v>
      </c>
      <c r="K426" s="387">
        <f t="shared" si="138"/>
        <v>0</v>
      </c>
      <c r="L426" s="387">
        <f t="shared" si="138"/>
        <v>0</v>
      </c>
      <c r="M426" s="387">
        <f t="shared" si="138"/>
        <v>0</v>
      </c>
      <c r="N426" s="388">
        <f t="shared" si="138"/>
        <v>0</v>
      </c>
      <c r="O426" s="387">
        <f t="shared" si="138"/>
        <v>0</v>
      </c>
      <c r="P426" s="387">
        <f t="shared" si="138"/>
        <v>0</v>
      </c>
      <c r="Q426" s="387">
        <f t="shared" si="138"/>
        <v>0</v>
      </c>
      <c r="R426" s="387">
        <f t="shared" si="138"/>
        <v>0</v>
      </c>
      <c r="S426" s="387">
        <f t="shared" si="138"/>
        <v>0</v>
      </c>
      <c r="T426" s="388">
        <f t="shared" si="138"/>
        <v>0</v>
      </c>
      <c r="U426" s="387">
        <f t="shared" si="138"/>
        <v>0</v>
      </c>
      <c r="V426" s="387">
        <f t="shared" si="138"/>
        <v>0</v>
      </c>
      <c r="W426" s="389">
        <f t="shared" si="138"/>
        <v>0</v>
      </c>
      <c r="X426" s="387">
        <f t="shared" si="138"/>
        <v>0</v>
      </c>
      <c r="Y426" s="390">
        <f t="shared" si="138"/>
        <v>0</v>
      </c>
      <c r="Z426" s="391">
        <f t="shared" si="138"/>
        <v>0</v>
      </c>
      <c r="AA426" s="386">
        <f t="shared" si="138"/>
        <v>0</v>
      </c>
      <c r="AB426" s="388">
        <f t="shared" si="138"/>
        <v>0</v>
      </c>
      <c r="AC426" s="393"/>
      <c r="AD426" s="387">
        <f>SUM(AD6:AD425)</f>
        <v>0</v>
      </c>
      <c r="AE426" s="393"/>
      <c r="AF426" s="393"/>
      <c r="AG426" s="387">
        <f>SUM(AG6:AG425)</f>
        <v>0</v>
      </c>
      <c r="AH426" s="392"/>
      <c r="AI426" s="387">
        <f>SUM(AI6:AI425)</f>
        <v>0</v>
      </c>
      <c r="AJ426" s="393"/>
      <c r="AK426" s="388">
        <f t="shared" ref="AK426:AS426" si="139">SUM(AK6:AK425)</f>
        <v>0</v>
      </c>
      <c r="AL426" s="387">
        <f t="shared" si="139"/>
        <v>0</v>
      </c>
      <c r="AM426" s="387">
        <f t="shared" si="139"/>
        <v>0</v>
      </c>
      <c r="AN426" s="386">
        <f t="shared" si="139"/>
        <v>0</v>
      </c>
      <c r="AO426" s="388">
        <f t="shared" si="139"/>
        <v>0</v>
      </c>
      <c r="AP426" s="387">
        <f>SUM(AP6:AP425)</f>
        <v>0</v>
      </c>
      <c r="AQ426" s="387">
        <f>SUM(AQ6:AQ425)</f>
        <v>0</v>
      </c>
      <c r="AR426" s="389">
        <f t="shared" si="139"/>
        <v>0</v>
      </c>
      <c r="AS426" s="388">
        <f t="shared" si="139"/>
        <v>0</v>
      </c>
      <c r="AT426" s="36"/>
      <c r="AU426" s="36"/>
      <c r="AV426" s="36"/>
      <c r="AW426" s="36"/>
      <c r="AX426" s="36"/>
    </row>
    <row r="427" spans="1:50" ht="13.5" thickTop="1" x14ac:dyDescent="0.2">
      <c r="E427" s="20">
        <f>E426-F426</f>
        <v>0</v>
      </c>
      <c r="F427" s="9"/>
      <c r="G427" s="9">
        <f>G426-H426</f>
        <v>0</v>
      </c>
      <c r="H427" s="45"/>
      <c r="I427" s="9">
        <f>I426-J426</f>
        <v>0</v>
      </c>
      <c r="J427" s="45"/>
      <c r="K427" s="9">
        <f>K426-L426</f>
        <v>0</v>
      </c>
      <c r="L427" s="45"/>
      <c r="M427" s="9">
        <f>M426-N426</f>
        <v>0</v>
      </c>
      <c r="N427" s="137"/>
      <c r="O427" s="344">
        <f>O426-P426</f>
        <v>0</v>
      </c>
      <c r="P427" s="45"/>
      <c r="Q427" s="9">
        <f>Q426-R426</f>
        <v>0</v>
      </c>
      <c r="R427" s="45"/>
      <c r="S427" s="9">
        <f>S426-T426</f>
        <v>0</v>
      </c>
      <c r="T427" s="137"/>
      <c r="U427" s="344">
        <f>U426-V426</f>
        <v>0</v>
      </c>
      <c r="V427" s="45"/>
      <c r="W427" s="20">
        <f>W426-X426</f>
        <v>0</v>
      </c>
      <c r="X427" s="137"/>
      <c r="Y427" s="310">
        <f>Y426-Z426</f>
        <v>0</v>
      </c>
      <c r="Z427" s="304"/>
      <c r="AA427" s="20">
        <f>AA426-AB426</f>
        <v>0</v>
      </c>
      <c r="AB427" s="137"/>
      <c r="AC427" s="265"/>
      <c r="AD427" s="45">
        <f>AD426-AG426</f>
        <v>0</v>
      </c>
      <c r="AE427" s="45"/>
      <c r="AF427" s="265"/>
      <c r="AG427" s="45"/>
      <c r="AH427" s="264"/>
      <c r="AI427" s="45">
        <f>AI426-AK426</f>
        <v>0</v>
      </c>
      <c r="AJ427" s="265"/>
      <c r="AK427" s="137"/>
      <c r="AL427" s="9">
        <f>AL426-AM426</f>
        <v>0</v>
      </c>
      <c r="AM427" s="45"/>
      <c r="AN427" s="20">
        <f>AN426-AO426</f>
        <v>0</v>
      </c>
      <c r="AO427" s="138"/>
      <c r="AP427" s="9"/>
      <c r="AQ427" s="137"/>
      <c r="AR427" s="20">
        <f>AR426-AS426</f>
        <v>0</v>
      </c>
      <c r="AS427" s="137"/>
      <c r="AT427" s="36"/>
      <c r="AU427" s="36"/>
      <c r="AV427" s="36"/>
      <c r="AW427" s="36"/>
      <c r="AX427" s="36"/>
    </row>
    <row r="428" spans="1:50" x14ac:dyDescent="0.2">
      <c r="C428" s="207" t="s">
        <v>742</v>
      </c>
      <c r="D428" s="207"/>
      <c r="E428" s="20"/>
      <c r="F428" s="9"/>
      <c r="G428" s="9"/>
      <c r="H428" s="9"/>
      <c r="I428" s="9"/>
      <c r="J428" s="9"/>
      <c r="K428" s="9"/>
      <c r="L428" s="9"/>
      <c r="M428" s="9"/>
      <c r="N428" s="346"/>
      <c r="O428" s="9"/>
      <c r="P428" s="9"/>
      <c r="Q428" s="45"/>
      <c r="R428" s="45"/>
      <c r="S428" s="45"/>
      <c r="T428" s="137"/>
      <c r="U428" s="45"/>
      <c r="V428" s="45"/>
      <c r="W428" s="269"/>
      <c r="X428" s="137"/>
      <c r="Y428" s="303"/>
      <c r="Z428" s="304"/>
      <c r="AA428" s="269"/>
      <c r="AB428" s="137"/>
      <c r="AC428" s="265"/>
      <c r="AD428" s="45"/>
      <c r="AE428" s="45"/>
      <c r="AF428" s="265"/>
      <c r="AG428" s="45"/>
      <c r="AH428" s="264"/>
      <c r="AI428" s="45"/>
      <c r="AJ428" s="265"/>
      <c r="AK428" s="137"/>
      <c r="AL428" s="45"/>
      <c r="AM428" s="45"/>
      <c r="AN428" s="273"/>
      <c r="AO428" s="138"/>
      <c r="AP428" s="192">
        <f>IF(AQ426-AP426&lt;0, " ",AQ426-AP426)</f>
        <v>0</v>
      </c>
      <c r="AQ428" s="271">
        <f>IF(AP426-AQ426&lt;0, 0,AP426-AQ426)</f>
        <v>0</v>
      </c>
      <c r="AR428" s="45"/>
      <c r="AS428" s="137"/>
      <c r="AT428" s="36"/>
      <c r="AU428" s="36"/>
      <c r="AV428" s="36"/>
      <c r="AW428" s="36"/>
      <c r="AX428" s="36"/>
    </row>
    <row r="429" spans="1:50" x14ac:dyDescent="0.2">
      <c r="E429" s="20"/>
      <c r="F429" s="9"/>
      <c r="G429" s="45"/>
      <c r="H429" s="45"/>
      <c r="I429" s="45"/>
      <c r="J429" s="45"/>
      <c r="K429" s="45"/>
      <c r="L429" s="45"/>
      <c r="M429" s="45"/>
      <c r="N429" s="137"/>
      <c r="O429" s="45"/>
      <c r="P429" s="45"/>
      <c r="Q429" s="45"/>
      <c r="R429" s="45"/>
      <c r="S429" s="45"/>
      <c r="T429" s="137"/>
      <c r="U429" s="45"/>
      <c r="V429" s="36"/>
      <c r="W429" s="269"/>
      <c r="X429" s="45"/>
      <c r="Y429" s="303"/>
      <c r="Z429" s="304"/>
      <c r="AA429" s="269"/>
      <c r="AB429" s="137"/>
      <c r="AC429" s="265"/>
      <c r="AD429" s="45"/>
      <c r="AE429" s="45"/>
      <c r="AF429" s="265"/>
      <c r="AG429" s="45"/>
      <c r="AH429" s="264"/>
      <c r="AI429" s="45"/>
      <c r="AJ429" s="265"/>
      <c r="AK429" s="137"/>
      <c r="AL429" s="45"/>
      <c r="AM429" s="45"/>
      <c r="AN429" s="273"/>
      <c r="AO429" s="138"/>
      <c r="AP429" s="45"/>
      <c r="AQ429" s="137"/>
      <c r="AR429" s="45"/>
      <c r="AS429" s="137"/>
      <c r="AT429" s="36"/>
      <c r="AU429" s="36"/>
      <c r="AV429" s="36"/>
      <c r="AW429" s="36"/>
      <c r="AX429" s="36"/>
    </row>
    <row r="430" spans="1:50" ht="13.5" thickBot="1" x14ac:dyDescent="0.25">
      <c r="C430" s="207" t="s">
        <v>461</v>
      </c>
      <c r="D430" s="207"/>
      <c r="E430" s="21"/>
      <c r="F430" s="22"/>
      <c r="G430" s="22"/>
      <c r="H430" s="22"/>
      <c r="I430" s="22"/>
      <c r="J430" s="22"/>
      <c r="K430" s="22"/>
      <c r="L430" s="22"/>
      <c r="M430" s="22"/>
      <c r="N430" s="347"/>
      <c r="O430" s="22"/>
      <c r="P430" s="22"/>
      <c r="Q430" s="155"/>
      <c r="R430" s="155"/>
      <c r="S430" s="155"/>
      <c r="T430" s="289"/>
      <c r="U430" s="155"/>
      <c r="V430" s="155"/>
      <c r="W430" s="286"/>
      <c r="X430" s="155"/>
      <c r="Y430" s="311"/>
      <c r="Z430" s="312"/>
      <c r="AA430" s="286"/>
      <c r="AB430" s="289"/>
      <c r="AC430" s="288"/>
      <c r="AD430" s="155"/>
      <c r="AE430" s="155"/>
      <c r="AF430" s="288"/>
      <c r="AG430" s="155"/>
      <c r="AH430" s="287"/>
      <c r="AI430" s="155"/>
      <c r="AJ430" s="288"/>
      <c r="AK430" s="289"/>
      <c r="AL430" s="155"/>
      <c r="AM430" s="155"/>
      <c r="AN430" s="353"/>
      <c r="AO430" s="206"/>
      <c r="AP430" s="394">
        <f>SUM(AP426:AP428)</f>
        <v>0</v>
      </c>
      <c r="AQ430" s="395">
        <f>SUM(AQ426:AQ428)</f>
        <v>0</v>
      </c>
      <c r="AR430" s="155"/>
      <c r="AS430" s="289"/>
      <c r="AT430" s="36"/>
      <c r="AU430" s="36"/>
      <c r="AV430" s="36"/>
      <c r="AW430" s="36"/>
      <c r="AX430" s="36"/>
    </row>
    <row r="431" spans="1:50" x14ac:dyDescent="0.2">
      <c r="G431" s="36"/>
      <c r="H431" s="36"/>
      <c r="I431" s="36"/>
      <c r="J431" s="36"/>
      <c r="K431" s="36"/>
      <c r="L431" s="36"/>
      <c r="M431" s="36"/>
      <c r="N431" s="36"/>
      <c r="O431" s="36"/>
      <c r="P431" s="36"/>
      <c r="Q431" s="36"/>
      <c r="R431" s="36"/>
      <c r="S431" s="36"/>
      <c r="T431" s="36"/>
      <c r="U431" s="36"/>
      <c r="V431" s="36"/>
      <c r="W431" s="36"/>
      <c r="X431" s="36"/>
      <c r="Y431" s="45"/>
      <c r="Z431" s="45"/>
      <c r="AA431" s="36"/>
      <c r="AB431" s="36"/>
      <c r="AC431" s="284"/>
      <c r="AE431" s="36"/>
      <c r="AF431" s="284"/>
      <c r="AH431" s="284"/>
      <c r="AI431" s="36"/>
      <c r="AJ431" s="284"/>
      <c r="AK431" s="36"/>
      <c r="AL431" s="36"/>
      <c r="AM431" s="36"/>
      <c r="AP431" s="36"/>
      <c r="AQ431" s="36"/>
      <c r="AR431" s="36"/>
      <c r="AS431" s="36"/>
      <c r="AT431" s="36"/>
      <c r="AU431" s="36"/>
      <c r="AV431" s="36"/>
      <c r="AW431" s="36"/>
      <c r="AX431" s="36"/>
    </row>
    <row r="432" spans="1:50" x14ac:dyDescent="0.2">
      <c r="C432" t="s">
        <v>359</v>
      </c>
      <c r="G432" s="36"/>
      <c r="H432" s="36"/>
      <c r="I432" s="36"/>
      <c r="J432" s="36"/>
      <c r="K432" s="36"/>
      <c r="L432" s="36"/>
      <c r="M432" s="36"/>
      <c r="N432" s="36" t="s">
        <v>359</v>
      </c>
      <c r="O432" s="36"/>
      <c r="P432" s="36"/>
      <c r="Q432" s="36"/>
      <c r="R432" s="36"/>
      <c r="S432" s="36"/>
      <c r="T432" s="36"/>
      <c r="U432" s="36"/>
      <c r="V432" s="36"/>
      <c r="W432" s="36"/>
      <c r="X432" s="36"/>
      <c r="Y432" s="36"/>
      <c r="Z432" s="36"/>
      <c r="AA432" s="36"/>
      <c r="AB432" s="36"/>
      <c r="AC432" s="284"/>
      <c r="AE432" s="36"/>
      <c r="AF432" s="284"/>
      <c r="AH432" s="284"/>
      <c r="AI432" s="36"/>
      <c r="AJ432" s="284"/>
      <c r="AK432" s="36"/>
      <c r="AL432" s="36"/>
      <c r="AM432" s="36"/>
      <c r="AP432" s="36"/>
      <c r="AQ432" s="36"/>
      <c r="AR432" s="36"/>
      <c r="AS432" s="36"/>
      <c r="AT432" s="36"/>
      <c r="AU432" s="36"/>
      <c r="AV432" s="36"/>
      <c r="AW432" s="36"/>
      <c r="AX432" s="36"/>
    </row>
    <row r="433" spans="1:45" x14ac:dyDescent="0.2">
      <c r="C433" t="s">
        <v>359</v>
      </c>
      <c r="N433" s="5" t="s">
        <v>359</v>
      </c>
      <c r="AR433" s="162"/>
    </row>
    <row r="434" spans="1:45" x14ac:dyDescent="0.2">
      <c r="A434" s="4" t="s">
        <v>213</v>
      </c>
      <c r="AP434" s="5"/>
    </row>
    <row r="435" spans="1:45" x14ac:dyDescent="0.2">
      <c r="A435" s="4">
        <v>1</v>
      </c>
      <c r="B435" t="s">
        <v>639</v>
      </c>
    </row>
    <row r="436" spans="1:45" ht="2.25" customHeight="1" x14ac:dyDescent="0.2">
      <c r="A436" s="4"/>
    </row>
    <row r="437" spans="1:45" x14ac:dyDescent="0.2">
      <c r="A437" s="4">
        <v>2</v>
      </c>
      <c r="B437" t="s">
        <v>115</v>
      </c>
    </row>
    <row r="438" spans="1:45" ht="2.25" customHeight="1" x14ac:dyDescent="0.2">
      <c r="A438" s="4"/>
    </row>
    <row r="439" spans="1:45" x14ac:dyDescent="0.2">
      <c r="A439" s="4">
        <v>3</v>
      </c>
      <c r="B439" t="s">
        <v>217</v>
      </c>
    </row>
    <row r="440" spans="1:45" x14ac:dyDescent="0.2">
      <c r="A440" s="4"/>
      <c r="B440" t="s">
        <v>28</v>
      </c>
    </row>
    <row r="441" spans="1:45" ht="2.25" customHeight="1" x14ac:dyDescent="0.2">
      <c r="A441" s="4"/>
    </row>
    <row r="442" spans="1:45" ht="12.75" customHeight="1" x14ac:dyDescent="0.2">
      <c r="A442" s="4">
        <v>4</v>
      </c>
      <c r="B442" s="1011" t="s">
        <v>29</v>
      </c>
      <c r="C442" s="1011"/>
      <c r="D442" s="1011"/>
      <c r="E442" s="1011"/>
      <c r="F442" s="1011"/>
      <c r="G442" s="1011"/>
      <c r="H442" s="1011"/>
      <c r="I442" s="1011"/>
      <c r="J442" s="1011"/>
      <c r="K442" s="1011"/>
      <c r="L442" s="1011"/>
      <c r="M442" s="1011"/>
      <c r="N442" s="1011"/>
      <c r="O442" s="1011"/>
      <c r="P442" s="1011"/>
      <c r="Q442" s="1011"/>
      <c r="R442" s="1011"/>
      <c r="S442" s="1011"/>
      <c r="T442" s="1011"/>
      <c r="U442" s="1011"/>
      <c r="V442" s="1011"/>
      <c r="W442" s="1011"/>
      <c r="X442" s="1011"/>
      <c r="Y442" s="1011"/>
      <c r="Z442" s="1011"/>
      <c r="AA442" s="1011"/>
      <c r="AB442" s="1011"/>
      <c r="AC442" s="1011"/>
      <c r="AD442" s="1011"/>
      <c r="AE442" s="1011"/>
      <c r="AF442" s="1011"/>
      <c r="AG442" s="151"/>
      <c r="AH442" s="34"/>
      <c r="AI442" s="34"/>
      <c r="AJ442" s="34"/>
      <c r="AK442" s="34"/>
      <c r="AL442" s="34"/>
      <c r="AM442" s="34"/>
      <c r="AN442" s="199"/>
      <c r="AO442" s="199"/>
      <c r="AP442" s="769"/>
      <c r="AQ442" s="34"/>
      <c r="AR442" s="34"/>
      <c r="AS442" s="34"/>
    </row>
    <row r="443" spans="1:45" ht="2.25" customHeight="1" x14ac:dyDescent="0.2">
      <c r="A443" s="4"/>
      <c r="B443" s="34"/>
      <c r="C443" s="34"/>
      <c r="D443" s="34"/>
      <c r="E443" s="34"/>
      <c r="F443" s="34"/>
      <c r="G443" s="34"/>
      <c r="H443" s="34"/>
      <c r="I443" s="34"/>
      <c r="J443" s="34"/>
      <c r="K443" s="34"/>
      <c r="L443" s="34"/>
      <c r="M443" s="34"/>
      <c r="N443" s="34"/>
      <c r="O443" s="34"/>
      <c r="P443" s="34"/>
      <c r="Q443" s="34"/>
      <c r="R443" s="34"/>
      <c r="S443" s="34"/>
      <c r="T443" s="34"/>
      <c r="U443" s="34"/>
      <c r="V443" s="34"/>
      <c r="W443" s="34"/>
      <c r="X443" s="34"/>
      <c r="Y443" s="34"/>
      <c r="Z443" s="34"/>
      <c r="AA443" s="34"/>
      <c r="AB443" s="34"/>
      <c r="AC443" s="34"/>
      <c r="AD443" s="34"/>
      <c r="AE443" s="34"/>
      <c r="AF443" s="34"/>
      <c r="AG443" s="151"/>
      <c r="AH443" s="34"/>
      <c r="AI443" s="34"/>
      <c r="AJ443" s="34"/>
      <c r="AK443" s="34"/>
      <c r="AL443" s="34"/>
      <c r="AM443" s="34"/>
      <c r="AN443" s="199"/>
      <c r="AO443" s="199"/>
      <c r="AP443" s="34"/>
      <c r="AQ443" s="34"/>
      <c r="AR443" s="34"/>
      <c r="AS443" s="34"/>
    </row>
    <row r="444" spans="1:45" ht="14.25" customHeight="1" x14ac:dyDescent="0.2">
      <c r="A444" s="4">
        <v>5</v>
      </c>
      <c r="B444" t="s">
        <v>194</v>
      </c>
    </row>
    <row r="445" spans="1:45" ht="2.25" customHeight="1" x14ac:dyDescent="0.2">
      <c r="A445" s="4"/>
    </row>
    <row r="446" spans="1:45" ht="15" x14ac:dyDescent="0.25">
      <c r="A446" s="4">
        <v>6</v>
      </c>
      <c r="B446" t="s">
        <v>158</v>
      </c>
    </row>
    <row r="452" spans="35:41" x14ac:dyDescent="0.2">
      <c r="AI452" s="47"/>
      <c r="AJ452" s="144"/>
      <c r="AK452" s="47"/>
      <c r="AL452" s="47"/>
      <c r="AM452" s="47"/>
      <c r="AN452" s="200"/>
      <c r="AO452" s="200"/>
    </row>
  </sheetData>
  <sheetProtection algorithmName="SHA-512" hashValue="XEXZW3r7q9D1yF9A28VRbatZRs+SQ1FqC8hwgwpI85E5ahC2piUbKV7LnP3ljyTbnSs5s1JUcAPo1wiLL2GzQw==" saltValue="R0HY8Jp5GOtqeuiO+cTEsg==" spinCount="100000" sheet="1" objects="1" scenarios="1"/>
  <mergeCells count="55">
    <mergeCell ref="B442:AF442"/>
    <mergeCell ref="W4:X4"/>
    <mergeCell ref="Y3:Z3"/>
    <mergeCell ref="Y4:Z4"/>
    <mergeCell ref="U4:V4"/>
    <mergeCell ref="B215:B217"/>
    <mergeCell ref="A260:C260"/>
    <mergeCell ref="B195:B197"/>
    <mergeCell ref="A400:C400"/>
    <mergeCell ref="B220:B222"/>
    <mergeCell ref="B235:B237"/>
    <mergeCell ref="B190:B192"/>
    <mergeCell ref="B245:B247"/>
    <mergeCell ref="B240:B242"/>
    <mergeCell ref="B225:B227"/>
    <mergeCell ref="B230:B232"/>
    <mergeCell ref="B210:B212"/>
    <mergeCell ref="B127:B149"/>
    <mergeCell ref="B170:B172"/>
    <mergeCell ref="B175:B177"/>
    <mergeCell ref="B165:B167"/>
    <mergeCell ref="B185:B187"/>
    <mergeCell ref="B205:B207"/>
    <mergeCell ref="B200:B202"/>
    <mergeCell ref="B180:B182"/>
    <mergeCell ref="S4:T4"/>
    <mergeCell ref="AR3:AS3"/>
    <mergeCell ref="AR4:AS4"/>
    <mergeCell ref="AC4:AG4"/>
    <mergeCell ref="AP3:AQ3"/>
    <mergeCell ref="AP4:AQ4"/>
    <mergeCell ref="AH3:AK3"/>
    <mergeCell ref="AH4:AK4"/>
    <mergeCell ref="AN4:AO4"/>
    <mergeCell ref="AL3:AM4"/>
    <mergeCell ref="W3:X3"/>
    <mergeCell ref="O4:P4"/>
    <mergeCell ref="Q4:R4"/>
    <mergeCell ref="E3:L3"/>
    <mergeCell ref="G4:H4"/>
    <mergeCell ref="M4:N4"/>
    <mergeCell ref="K4:L4"/>
    <mergeCell ref="I4:J4"/>
    <mergeCell ref="E4:F4"/>
    <mergeCell ref="AA2:AB2"/>
    <mergeCell ref="AL2:AM2"/>
    <mergeCell ref="E1:L1"/>
    <mergeCell ref="W1:X2"/>
    <mergeCell ref="O3:T3"/>
    <mergeCell ref="U1:V2"/>
    <mergeCell ref="AT123:AT124"/>
    <mergeCell ref="AU123:AU124"/>
    <mergeCell ref="AC1:AG1"/>
    <mergeCell ref="AC2:AG2"/>
    <mergeCell ref="AH1:AK2"/>
  </mergeCells>
  <phoneticPr fontId="0" type="noConversion"/>
  <printOptions gridLines="1"/>
  <pageMargins left="0.28000000000000003" right="0.28999999999999998" top="1.1599999999999999" bottom="0.65" header="0.42" footer="0.5"/>
  <pageSetup paperSize="5" scale="20" fitToHeight="0" orientation="portrait" r:id="rId1"/>
  <headerFooter alignWithMargins="0">
    <oddHeader>&amp;L&amp;D&amp;C&amp;"Arial,Bold"&amp;14Carolina County Board of Education
GASB 34 Conversion Worksheet
&amp;11to prepare the Government-wide Statements - (including  adjustments and consolidations)&amp;RPage &amp;P of &amp;N</oddHeader>
    <oddFooter>&amp;L&amp;F</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F4CDD-A9DF-4E60-9954-D65F17201B13}">
  <sheetPr>
    <pageSetUpPr fitToPage="1"/>
  </sheetPr>
  <dimension ref="A1:AI623"/>
  <sheetViews>
    <sheetView workbookViewId="0"/>
  </sheetViews>
  <sheetFormatPr defaultColWidth="9.140625" defaultRowHeight="15.75" x14ac:dyDescent="0.25"/>
  <cols>
    <col min="1" max="1" width="14.28515625" style="887" customWidth="1"/>
    <col min="2" max="2" width="41.7109375" style="856" customWidth="1"/>
    <col min="3" max="3" width="17.5703125" style="856" customWidth="1"/>
    <col min="4" max="4" width="17.28515625" style="857" customWidth="1"/>
    <col min="5" max="5" width="15" style="856" customWidth="1"/>
    <col min="6" max="6" width="14.7109375" style="857" customWidth="1"/>
    <col min="7" max="7" width="11.5703125" style="857" customWidth="1"/>
    <col min="8" max="8" width="17.5703125" style="857" customWidth="1"/>
    <col min="9" max="9" width="17" style="857" customWidth="1"/>
    <col min="10" max="10" width="2.85546875" style="857" customWidth="1"/>
    <col min="11" max="13" width="17" style="857" customWidth="1"/>
    <col min="14" max="14" width="19.140625" style="857" customWidth="1"/>
    <col min="15" max="15" width="17" style="857" customWidth="1"/>
    <col min="16" max="16" width="3.140625" style="857" customWidth="1"/>
    <col min="17" max="17" width="20" style="857" customWidth="1"/>
    <col min="18" max="18" width="22.85546875" style="857" customWidth="1"/>
    <col min="19" max="19" width="15.28515625" style="857" customWidth="1"/>
    <col min="20" max="27" width="16.42578125" style="857" customWidth="1"/>
    <col min="28" max="28" width="12.42578125" style="857" customWidth="1"/>
    <col min="29" max="29" width="12.7109375" style="857" bestFit="1" customWidth="1"/>
    <col min="30" max="16384" width="9.140625" style="857"/>
  </cols>
  <sheetData>
    <row r="1" spans="1:35" ht="18" customHeight="1" x14ac:dyDescent="0.25">
      <c r="A1" s="891"/>
      <c r="B1" s="891"/>
      <c r="C1" s="859"/>
      <c r="D1" s="859"/>
      <c r="E1" s="857"/>
      <c r="H1" s="860"/>
      <c r="R1" s="859"/>
      <c r="S1" s="859"/>
    </row>
    <row r="2" spans="1:35" ht="22.5" customHeight="1" x14ac:dyDescent="0.35">
      <c r="A2" s="891"/>
      <c r="B2" s="891"/>
      <c r="C2" s="892"/>
      <c r="D2" s="892"/>
      <c r="E2" s="857"/>
      <c r="F2" s="892"/>
      <c r="G2" s="892"/>
      <c r="H2" s="892"/>
      <c r="I2" s="892"/>
      <c r="J2" s="892"/>
      <c r="K2" s="892"/>
      <c r="L2" s="892"/>
      <c r="M2" s="892"/>
      <c r="N2" s="892"/>
      <c r="O2" s="892"/>
      <c r="P2" s="892"/>
      <c r="Q2" s="892"/>
      <c r="R2" s="892"/>
      <c r="S2" s="892"/>
      <c r="T2" s="892"/>
      <c r="U2" s="892"/>
      <c r="V2" s="892"/>
      <c r="W2" s="892"/>
      <c r="X2" s="892"/>
      <c r="Y2" s="892"/>
      <c r="Z2" s="892"/>
      <c r="AA2" s="892"/>
    </row>
    <row r="3" spans="1:35" s="867" customFormat="1" ht="15" customHeight="1" x14ac:dyDescent="0.2">
      <c r="A3" s="861"/>
      <c r="B3" s="862"/>
      <c r="C3" s="862"/>
      <c r="D3" s="863"/>
      <c r="E3" s="1256" t="s">
        <v>1089</v>
      </c>
      <c r="F3" s="1256"/>
      <c r="G3" s="1256"/>
      <c r="H3" s="1256"/>
      <c r="I3" s="1256"/>
      <c r="J3" s="864"/>
      <c r="K3" s="1256" t="s">
        <v>745</v>
      </c>
      <c r="L3" s="1256"/>
      <c r="M3" s="1256"/>
      <c r="N3" s="1256"/>
      <c r="O3" s="1256"/>
      <c r="P3" s="864"/>
      <c r="Q3" s="1256" t="s">
        <v>1206</v>
      </c>
      <c r="R3" s="1256"/>
      <c r="S3" s="1256"/>
      <c r="T3" s="865"/>
      <c r="U3" s="866"/>
      <c r="V3" s="865"/>
      <c r="W3" s="865"/>
      <c r="X3" s="865"/>
      <c r="Y3" s="865"/>
      <c r="Z3" s="865"/>
      <c r="AA3" s="865"/>
    </row>
    <row r="4" spans="1:35" s="867" customFormat="1" ht="106.5" customHeight="1" x14ac:dyDescent="0.2">
      <c r="A4" s="893" t="s">
        <v>1207</v>
      </c>
      <c r="B4" s="894" t="s">
        <v>1208</v>
      </c>
      <c r="C4" s="895" t="s">
        <v>1209</v>
      </c>
      <c r="D4" s="896" t="s">
        <v>1210</v>
      </c>
      <c r="E4" s="895" t="s">
        <v>1211</v>
      </c>
      <c r="F4" s="895" t="s">
        <v>1212</v>
      </c>
      <c r="G4" s="895" t="s">
        <v>1213</v>
      </c>
      <c r="H4" s="895" t="s">
        <v>1214</v>
      </c>
      <c r="I4" s="895" t="s">
        <v>1215</v>
      </c>
      <c r="J4" s="895"/>
      <c r="K4" s="895" t="s">
        <v>1211</v>
      </c>
      <c r="L4" s="895" t="s">
        <v>1212</v>
      </c>
      <c r="M4" s="895" t="s">
        <v>1213</v>
      </c>
      <c r="N4" s="895" t="s">
        <v>1214</v>
      </c>
      <c r="O4" s="895" t="s">
        <v>1216</v>
      </c>
      <c r="P4" s="895"/>
      <c r="Q4" s="895" t="s">
        <v>1217</v>
      </c>
      <c r="R4" s="895" t="s">
        <v>1218</v>
      </c>
      <c r="S4" s="895" t="s">
        <v>1219</v>
      </c>
      <c r="T4" s="870"/>
      <c r="U4" s="870"/>
      <c r="V4" s="870"/>
      <c r="W4" s="870"/>
      <c r="X4" s="870"/>
      <c r="Y4" s="870"/>
      <c r="Z4" s="870"/>
      <c r="AA4" s="870"/>
    </row>
    <row r="5" spans="1:35" ht="12.75" customHeight="1" x14ac:dyDescent="0.25">
      <c r="A5" s="875"/>
      <c r="B5" s="875"/>
      <c r="C5" s="875"/>
      <c r="D5" s="875"/>
      <c r="E5" s="875"/>
      <c r="F5" s="875"/>
      <c r="G5" s="875"/>
      <c r="H5" s="875"/>
      <c r="I5" s="875"/>
      <c r="J5" s="875"/>
      <c r="K5" s="875"/>
      <c r="L5" s="875"/>
      <c r="M5" s="875"/>
      <c r="N5" s="875"/>
      <c r="O5" s="875"/>
      <c r="P5" s="875"/>
      <c r="Q5" s="897"/>
      <c r="R5" s="875"/>
      <c r="S5" s="875"/>
      <c r="T5" s="875"/>
      <c r="U5" s="875"/>
      <c r="V5" s="875"/>
      <c r="W5" s="875"/>
      <c r="X5" s="875"/>
      <c r="Y5" s="875"/>
      <c r="Z5" s="875"/>
      <c r="AA5" s="875"/>
    </row>
    <row r="6" spans="1:35" ht="12.75" customHeight="1" x14ac:dyDescent="0.25">
      <c r="A6" s="872" t="s">
        <v>533</v>
      </c>
      <c r="B6" s="873" t="s">
        <v>1220</v>
      </c>
      <c r="C6" s="874">
        <v>0</v>
      </c>
      <c r="D6" s="874">
        <v>0</v>
      </c>
      <c r="E6" s="874">
        <v>0</v>
      </c>
      <c r="F6" s="874">
        <v>0</v>
      </c>
      <c r="G6" s="874">
        <v>0</v>
      </c>
      <c r="H6" s="874">
        <v>0</v>
      </c>
      <c r="I6" s="874">
        <v>0</v>
      </c>
      <c r="J6" s="875"/>
      <c r="K6" s="874">
        <v>0</v>
      </c>
      <c r="L6" s="874">
        <v>0</v>
      </c>
      <c r="M6" s="874">
        <v>0</v>
      </c>
      <c r="N6" s="874">
        <v>0</v>
      </c>
      <c r="O6" s="874">
        <v>0</v>
      </c>
      <c r="P6" s="874"/>
      <c r="Q6" s="874">
        <v>0</v>
      </c>
      <c r="R6" s="874">
        <v>0</v>
      </c>
      <c r="S6" s="874">
        <v>0</v>
      </c>
      <c r="T6" s="875"/>
      <c r="U6" s="875"/>
      <c r="V6" s="875"/>
      <c r="W6" s="875"/>
      <c r="X6" s="875"/>
      <c r="Y6" s="875"/>
      <c r="Z6" s="875"/>
      <c r="AA6" s="875"/>
    </row>
    <row r="7" spans="1:35" x14ac:dyDescent="0.25">
      <c r="A7" s="876">
        <v>10200</v>
      </c>
      <c r="B7" s="873" t="s">
        <v>1221</v>
      </c>
      <c r="C7" s="873">
        <v>40447705</v>
      </c>
      <c r="D7" s="874">
        <v>31701074</v>
      </c>
      <c r="E7" s="874">
        <v>0</v>
      </c>
      <c r="F7" s="874">
        <v>0</v>
      </c>
      <c r="G7" s="874">
        <v>0</v>
      </c>
      <c r="H7" s="874">
        <v>1281645</v>
      </c>
      <c r="I7" s="874">
        <f>SUM(E7:H7)</f>
        <v>1281645</v>
      </c>
      <c r="J7" s="874"/>
      <c r="K7" s="874">
        <v>2273025</v>
      </c>
      <c r="L7" s="874">
        <v>11781</v>
      </c>
      <c r="M7" s="874">
        <v>8730331</v>
      </c>
      <c r="N7" s="874">
        <v>0</v>
      </c>
      <c r="O7" s="874">
        <f>SUM(K7:N7)</f>
        <v>11015137</v>
      </c>
      <c r="P7" s="874"/>
      <c r="Q7" s="874">
        <f>S7-R7</f>
        <v>1571688</v>
      </c>
      <c r="R7" s="874">
        <v>256330</v>
      </c>
      <c r="S7" s="874">
        <v>1828018</v>
      </c>
      <c r="T7" s="878"/>
      <c r="U7" s="878"/>
      <c r="V7" s="878"/>
      <c r="W7" s="878"/>
      <c r="X7" s="878"/>
      <c r="Y7" s="878"/>
      <c r="Z7" s="878"/>
      <c r="AA7" s="878"/>
      <c r="AB7" s="879"/>
      <c r="AC7" s="879"/>
      <c r="AD7" s="879"/>
      <c r="AE7" s="879"/>
      <c r="AF7" s="879"/>
      <c r="AG7" s="879"/>
      <c r="AH7" s="879"/>
      <c r="AI7" s="879"/>
    </row>
    <row r="8" spans="1:35" x14ac:dyDescent="0.25">
      <c r="A8" s="876">
        <v>10400</v>
      </c>
      <c r="B8" s="873" t="s">
        <v>1222</v>
      </c>
      <c r="C8" s="873">
        <v>117982350</v>
      </c>
      <c r="D8" s="874">
        <v>93084903</v>
      </c>
      <c r="E8" s="874">
        <v>0</v>
      </c>
      <c r="F8" s="874">
        <v>0</v>
      </c>
      <c r="G8" s="874">
        <v>0</v>
      </c>
      <c r="H8" s="874">
        <v>4762755</v>
      </c>
      <c r="I8" s="874">
        <f t="shared" ref="I8:I71" si="0">SUM(E8:H8)</f>
        <v>4762755</v>
      </c>
      <c r="J8" s="874"/>
      <c r="K8" s="874">
        <v>6674359</v>
      </c>
      <c r="L8" s="874">
        <v>34594</v>
      </c>
      <c r="M8" s="874">
        <v>25635157</v>
      </c>
      <c r="N8" s="874">
        <v>0</v>
      </c>
      <c r="O8" s="874">
        <f t="shared" ref="O8:O71" si="1">SUM(K8:N8)</f>
        <v>32344110</v>
      </c>
      <c r="P8" s="874"/>
      <c r="Q8" s="874">
        <f t="shared" ref="Q8:Q71" si="2">S8-R8</f>
        <v>4615000</v>
      </c>
      <c r="R8" s="874">
        <v>952554</v>
      </c>
      <c r="S8" s="874">
        <v>5567554</v>
      </c>
      <c r="T8" s="878"/>
      <c r="U8" s="878"/>
      <c r="V8" s="878"/>
      <c r="W8" s="878"/>
      <c r="X8" s="878"/>
      <c r="Y8" s="878"/>
      <c r="Z8" s="878"/>
      <c r="AA8" s="878"/>
      <c r="AB8" s="879"/>
      <c r="AC8" s="879"/>
      <c r="AD8" s="879"/>
      <c r="AE8" s="879"/>
      <c r="AF8" s="879"/>
      <c r="AG8" s="879"/>
      <c r="AH8" s="879"/>
      <c r="AI8" s="879"/>
    </row>
    <row r="9" spans="1:35" x14ac:dyDescent="0.25">
      <c r="A9" s="876">
        <v>10500</v>
      </c>
      <c r="B9" s="873" t="s">
        <v>1223</v>
      </c>
      <c r="C9" s="873">
        <v>26620073</v>
      </c>
      <c r="D9" s="874">
        <v>22756790</v>
      </c>
      <c r="E9" s="874">
        <v>0</v>
      </c>
      <c r="F9" s="874">
        <v>0</v>
      </c>
      <c r="G9" s="874">
        <v>0</v>
      </c>
      <c r="H9" s="874">
        <v>2945415</v>
      </c>
      <c r="I9" s="874">
        <f t="shared" si="0"/>
        <v>2945415</v>
      </c>
      <c r="J9" s="874"/>
      <c r="K9" s="874">
        <v>1631704</v>
      </c>
      <c r="L9" s="874">
        <v>8457</v>
      </c>
      <c r="M9" s="874">
        <v>6267116</v>
      </c>
      <c r="N9" s="874">
        <v>0</v>
      </c>
      <c r="O9" s="874">
        <f t="shared" si="1"/>
        <v>7907277</v>
      </c>
      <c r="P9" s="874"/>
      <c r="Q9" s="874">
        <f t="shared" si="2"/>
        <v>1128245</v>
      </c>
      <c r="R9" s="874">
        <v>589079</v>
      </c>
      <c r="S9" s="874">
        <v>1717324</v>
      </c>
      <c r="T9" s="878"/>
      <c r="U9" s="878"/>
      <c r="V9" s="878"/>
      <c r="W9" s="878"/>
      <c r="X9" s="878"/>
      <c r="Y9" s="878"/>
      <c r="Z9" s="878"/>
      <c r="AA9" s="878"/>
      <c r="AB9" s="879"/>
      <c r="AC9" s="879"/>
      <c r="AD9" s="879"/>
      <c r="AE9" s="879"/>
      <c r="AF9" s="879"/>
      <c r="AG9" s="879"/>
      <c r="AH9" s="879"/>
      <c r="AI9" s="879"/>
    </row>
    <row r="10" spans="1:35" x14ac:dyDescent="0.25">
      <c r="A10" s="876">
        <v>10700</v>
      </c>
      <c r="B10" s="873" t="s">
        <v>1224</v>
      </c>
      <c r="C10" s="873">
        <v>161898199</v>
      </c>
      <c r="D10" s="874">
        <v>132608146</v>
      </c>
      <c r="E10" s="874">
        <v>0</v>
      </c>
      <c r="F10" s="874">
        <v>0</v>
      </c>
      <c r="G10" s="874">
        <v>0</v>
      </c>
      <c r="H10" s="874">
        <v>12075945</v>
      </c>
      <c r="I10" s="874">
        <f t="shared" si="0"/>
        <v>12075945</v>
      </c>
      <c r="J10" s="874"/>
      <c r="K10" s="874">
        <v>9508248</v>
      </c>
      <c r="L10" s="874">
        <v>49283</v>
      </c>
      <c r="M10" s="874">
        <v>36519678</v>
      </c>
      <c r="N10" s="874">
        <v>0</v>
      </c>
      <c r="O10" s="874">
        <f t="shared" si="1"/>
        <v>46077209</v>
      </c>
      <c r="P10" s="874"/>
      <c r="Q10" s="874">
        <f t="shared" si="2"/>
        <v>6574499</v>
      </c>
      <c r="R10" s="874">
        <v>2415185</v>
      </c>
      <c r="S10" s="874">
        <v>8989684</v>
      </c>
      <c r="T10" s="878"/>
      <c r="U10" s="878"/>
      <c r="V10" s="878"/>
      <c r="W10" s="878"/>
      <c r="X10" s="878"/>
      <c r="Y10" s="878"/>
      <c r="Z10" s="878"/>
      <c r="AA10" s="878"/>
      <c r="AB10" s="879"/>
      <c r="AC10" s="879"/>
      <c r="AD10" s="879"/>
      <c r="AE10" s="879"/>
      <c r="AF10" s="879"/>
      <c r="AG10" s="879"/>
      <c r="AH10" s="879"/>
      <c r="AI10" s="879"/>
    </row>
    <row r="11" spans="1:35" x14ac:dyDescent="0.25">
      <c r="A11" s="876">
        <v>10800</v>
      </c>
      <c r="B11" s="873" t="s">
        <v>1225</v>
      </c>
      <c r="C11" s="873">
        <v>707709228</v>
      </c>
      <c r="D11" s="874">
        <v>578237397</v>
      </c>
      <c r="E11" s="874">
        <v>0</v>
      </c>
      <c r="F11" s="874">
        <v>0</v>
      </c>
      <c r="G11" s="874">
        <v>0</v>
      </c>
      <c r="H11" s="874">
        <v>50587925</v>
      </c>
      <c r="I11" s="874">
        <f t="shared" si="0"/>
        <v>50587925</v>
      </c>
      <c r="J11" s="874"/>
      <c r="K11" s="874">
        <v>41460685</v>
      </c>
      <c r="L11" s="874">
        <v>214898</v>
      </c>
      <c r="M11" s="874">
        <v>159243939</v>
      </c>
      <c r="N11" s="874">
        <v>0</v>
      </c>
      <c r="O11" s="874">
        <f t="shared" si="1"/>
        <v>200919522</v>
      </c>
      <c r="P11" s="874"/>
      <c r="Q11" s="874">
        <f t="shared" si="2"/>
        <v>28668082</v>
      </c>
      <c r="R11" s="874">
        <v>10117587</v>
      </c>
      <c r="S11" s="874">
        <v>38785669</v>
      </c>
      <c r="T11" s="878"/>
      <c r="U11" s="878"/>
      <c r="V11" s="878"/>
      <c r="W11" s="878"/>
      <c r="X11" s="878"/>
      <c r="Y11" s="878"/>
      <c r="Z11" s="878"/>
      <c r="AA11" s="878"/>
      <c r="AB11" s="879"/>
      <c r="AC11" s="879"/>
      <c r="AD11" s="879"/>
      <c r="AE11" s="879"/>
      <c r="AF11" s="879"/>
      <c r="AG11" s="879"/>
      <c r="AH11" s="879"/>
      <c r="AI11" s="879"/>
    </row>
    <row r="12" spans="1:35" x14ac:dyDescent="0.25">
      <c r="A12" s="876">
        <v>10850</v>
      </c>
      <c r="B12" s="873" t="s">
        <v>1226</v>
      </c>
      <c r="C12" s="873">
        <v>5039288</v>
      </c>
      <c r="D12" s="874">
        <v>4077013</v>
      </c>
      <c r="E12" s="874">
        <v>0</v>
      </c>
      <c r="F12" s="874">
        <v>0</v>
      </c>
      <c r="G12" s="874">
        <v>0</v>
      </c>
      <c r="H12" s="874">
        <v>361430</v>
      </c>
      <c r="I12" s="874">
        <f t="shared" si="0"/>
        <v>361430</v>
      </c>
      <c r="J12" s="874"/>
      <c r="K12" s="874">
        <v>292329</v>
      </c>
      <c r="L12" s="874">
        <v>1515</v>
      </c>
      <c r="M12" s="874">
        <v>1122791</v>
      </c>
      <c r="N12" s="874">
        <v>0</v>
      </c>
      <c r="O12" s="874">
        <f t="shared" si="1"/>
        <v>1416635</v>
      </c>
      <c r="P12" s="874"/>
      <c r="Q12" s="874">
        <f t="shared" si="2"/>
        <v>202132</v>
      </c>
      <c r="R12" s="874">
        <v>72285</v>
      </c>
      <c r="S12" s="874">
        <v>274417</v>
      </c>
      <c r="T12" s="878"/>
      <c r="U12" s="878"/>
      <c r="V12" s="878"/>
      <c r="W12" s="878"/>
      <c r="X12" s="878"/>
      <c r="Y12" s="878"/>
      <c r="Z12" s="878"/>
      <c r="AA12" s="878"/>
      <c r="AB12" s="879"/>
      <c r="AC12" s="879"/>
      <c r="AD12" s="879"/>
      <c r="AE12" s="879"/>
      <c r="AF12" s="879"/>
      <c r="AG12" s="879"/>
      <c r="AH12" s="879"/>
      <c r="AI12" s="879"/>
    </row>
    <row r="13" spans="1:35" x14ac:dyDescent="0.25">
      <c r="A13" s="876">
        <v>10900</v>
      </c>
      <c r="B13" s="873" t="s">
        <v>1227</v>
      </c>
      <c r="C13" s="873">
        <v>68140964</v>
      </c>
      <c r="D13" s="874">
        <v>50617538</v>
      </c>
      <c r="E13" s="874">
        <v>0</v>
      </c>
      <c r="F13" s="874">
        <v>0</v>
      </c>
      <c r="G13" s="874">
        <v>0</v>
      </c>
      <c r="H13" s="874">
        <v>0</v>
      </c>
      <c r="I13" s="874">
        <f t="shared" si="0"/>
        <v>0</v>
      </c>
      <c r="J13" s="874"/>
      <c r="K13" s="874">
        <v>3629371</v>
      </c>
      <c r="L13" s="874">
        <v>18812</v>
      </c>
      <c r="M13" s="874">
        <v>13939839</v>
      </c>
      <c r="N13" s="874">
        <v>478320</v>
      </c>
      <c r="O13" s="874">
        <f t="shared" si="1"/>
        <v>18066342</v>
      </c>
      <c r="P13" s="874"/>
      <c r="Q13" s="874">
        <f t="shared" si="2"/>
        <v>2509536</v>
      </c>
      <c r="R13" s="874">
        <v>-95661</v>
      </c>
      <c r="S13" s="874">
        <v>2413875</v>
      </c>
      <c r="T13" s="878"/>
      <c r="U13" s="878"/>
      <c r="V13" s="878"/>
      <c r="W13" s="878"/>
      <c r="X13" s="878"/>
      <c r="Y13" s="878"/>
      <c r="Z13" s="878"/>
      <c r="AA13" s="878"/>
      <c r="AB13" s="879"/>
      <c r="AC13" s="879"/>
      <c r="AD13" s="879"/>
      <c r="AE13" s="879"/>
      <c r="AF13" s="879"/>
      <c r="AG13" s="879"/>
      <c r="AH13" s="879"/>
      <c r="AI13" s="879"/>
    </row>
    <row r="14" spans="1:35" x14ac:dyDescent="0.25">
      <c r="A14" s="876">
        <v>10910</v>
      </c>
      <c r="B14" s="873" t="s">
        <v>1228</v>
      </c>
      <c r="C14" s="873">
        <v>10261033</v>
      </c>
      <c r="D14" s="874">
        <v>8324716</v>
      </c>
      <c r="E14" s="874">
        <v>0</v>
      </c>
      <c r="F14" s="874">
        <v>0</v>
      </c>
      <c r="G14" s="874">
        <v>0</v>
      </c>
      <c r="H14" s="874">
        <v>653445</v>
      </c>
      <c r="I14" s="874">
        <f t="shared" si="0"/>
        <v>653445</v>
      </c>
      <c r="J14" s="874"/>
      <c r="K14" s="874">
        <v>596897</v>
      </c>
      <c r="L14" s="874">
        <v>3094</v>
      </c>
      <c r="M14" s="874">
        <v>2292589</v>
      </c>
      <c r="N14" s="874">
        <v>0</v>
      </c>
      <c r="O14" s="874">
        <f t="shared" si="1"/>
        <v>2892580</v>
      </c>
      <c r="P14" s="874"/>
      <c r="Q14" s="874">
        <f t="shared" si="2"/>
        <v>412726</v>
      </c>
      <c r="R14" s="874">
        <v>130693</v>
      </c>
      <c r="S14" s="874">
        <v>543419</v>
      </c>
      <c r="T14" s="878"/>
      <c r="U14" s="878"/>
      <c r="V14" s="878"/>
      <c r="W14" s="878"/>
      <c r="X14" s="878"/>
      <c r="Y14" s="878"/>
      <c r="Z14" s="878"/>
      <c r="AA14" s="878"/>
      <c r="AB14" s="879"/>
      <c r="AC14" s="879"/>
      <c r="AD14" s="879"/>
      <c r="AE14" s="879"/>
      <c r="AF14" s="879"/>
      <c r="AG14" s="879"/>
      <c r="AH14" s="879"/>
      <c r="AI14" s="879"/>
    </row>
    <row r="15" spans="1:35" x14ac:dyDescent="0.25">
      <c r="A15" s="876">
        <v>10930</v>
      </c>
      <c r="B15" s="873" t="s">
        <v>1229</v>
      </c>
      <c r="C15" s="873">
        <v>90747009</v>
      </c>
      <c r="D15" s="874">
        <v>78559570</v>
      </c>
      <c r="E15" s="874">
        <v>0</v>
      </c>
      <c r="F15" s="874">
        <v>0</v>
      </c>
      <c r="G15" s="874">
        <v>0</v>
      </c>
      <c r="H15" s="874">
        <v>11580795</v>
      </c>
      <c r="I15" s="874">
        <f t="shared" si="0"/>
        <v>11580795</v>
      </c>
      <c r="J15" s="874"/>
      <c r="K15" s="874">
        <v>5632866</v>
      </c>
      <c r="L15" s="874">
        <v>29196</v>
      </c>
      <c r="M15" s="874">
        <v>21634947</v>
      </c>
      <c r="N15" s="874">
        <v>0</v>
      </c>
      <c r="O15" s="874">
        <f t="shared" si="1"/>
        <v>27297009</v>
      </c>
      <c r="P15" s="874"/>
      <c r="Q15" s="874">
        <f t="shared" si="2"/>
        <v>3894857</v>
      </c>
      <c r="R15" s="874">
        <v>2316162</v>
      </c>
      <c r="S15" s="874">
        <v>6211019</v>
      </c>
      <c r="T15" s="878"/>
      <c r="U15" s="878"/>
      <c r="V15" s="878"/>
      <c r="W15" s="878"/>
      <c r="X15" s="878"/>
      <c r="Y15" s="878"/>
      <c r="Z15" s="878"/>
      <c r="AA15" s="878"/>
      <c r="AB15" s="879"/>
      <c r="AC15" s="879"/>
      <c r="AD15" s="879"/>
      <c r="AE15" s="879"/>
      <c r="AF15" s="879"/>
      <c r="AG15" s="879"/>
      <c r="AH15" s="879"/>
      <c r="AI15" s="879"/>
    </row>
    <row r="16" spans="1:35" x14ac:dyDescent="0.25">
      <c r="A16" s="876">
        <v>10940</v>
      </c>
      <c r="B16" s="873" t="s">
        <v>1230</v>
      </c>
      <c r="C16" s="873">
        <v>24905302</v>
      </c>
      <c r="D16" s="874">
        <v>19846062</v>
      </c>
      <c r="E16" s="874">
        <v>0</v>
      </c>
      <c r="F16" s="874">
        <v>0</v>
      </c>
      <c r="G16" s="874">
        <v>0</v>
      </c>
      <c r="H16" s="874">
        <v>1274345</v>
      </c>
      <c r="I16" s="874">
        <f t="shared" si="0"/>
        <v>1274345</v>
      </c>
      <c r="J16" s="874"/>
      <c r="K16" s="874">
        <v>1422999</v>
      </c>
      <c r="L16" s="874">
        <v>7376</v>
      </c>
      <c r="M16" s="874">
        <v>5465515</v>
      </c>
      <c r="N16" s="874">
        <v>0</v>
      </c>
      <c r="O16" s="874">
        <f t="shared" si="1"/>
        <v>6895890</v>
      </c>
      <c r="P16" s="874"/>
      <c r="Q16" s="874">
        <f t="shared" si="2"/>
        <v>983936</v>
      </c>
      <c r="R16" s="874">
        <v>254865</v>
      </c>
      <c r="S16" s="874">
        <v>1238801</v>
      </c>
      <c r="T16" s="878"/>
      <c r="U16" s="878"/>
      <c r="V16" s="878"/>
      <c r="W16" s="878"/>
      <c r="X16" s="878"/>
      <c r="Y16" s="878"/>
      <c r="Z16" s="878"/>
      <c r="AA16" s="878"/>
      <c r="AB16" s="879"/>
      <c r="AC16" s="879"/>
      <c r="AD16" s="879"/>
      <c r="AE16" s="879"/>
      <c r="AF16" s="879"/>
      <c r="AG16" s="879"/>
      <c r="AH16" s="879"/>
      <c r="AI16" s="879"/>
    </row>
    <row r="17" spans="1:35" x14ac:dyDescent="0.25">
      <c r="A17" s="876">
        <v>10950</v>
      </c>
      <c r="B17" s="873" t="s">
        <v>1231</v>
      </c>
      <c r="C17" s="873">
        <v>32637513</v>
      </c>
      <c r="D17" s="874">
        <v>23690030</v>
      </c>
      <c r="E17" s="874">
        <v>0</v>
      </c>
      <c r="F17" s="874">
        <v>0</v>
      </c>
      <c r="G17" s="874">
        <v>0</v>
      </c>
      <c r="H17" s="874">
        <v>0</v>
      </c>
      <c r="I17" s="874">
        <f t="shared" si="0"/>
        <v>0</v>
      </c>
      <c r="J17" s="874"/>
      <c r="K17" s="874">
        <v>1698619</v>
      </c>
      <c r="L17" s="874">
        <v>8804</v>
      </c>
      <c r="M17" s="874">
        <v>6524126</v>
      </c>
      <c r="N17" s="874">
        <v>961860</v>
      </c>
      <c r="O17" s="874">
        <f t="shared" si="1"/>
        <v>9193409</v>
      </c>
      <c r="P17" s="874"/>
      <c r="Q17" s="874">
        <f t="shared" si="2"/>
        <v>1174514</v>
      </c>
      <c r="R17" s="874">
        <v>-192367</v>
      </c>
      <c r="S17" s="874">
        <v>982147</v>
      </c>
      <c r="T17" s="878"/>
      <c r="U17" s="878"/>
      <c r="V17" s="878"/>
      <c r="W17" s="878"/>
      <c r="X17" s="878"/>
      <c r="Y17" s="878"/>
      <c r="Z17" s="878"/>
      <c r="AA17" s="878"/>
      <c r="AB17" s="879"/>
      <c r="AC17" s="879"/>
      <c r="AD17" s="879"/>
      <c r="AE17" s="879"/>
      <c r="AF17" s="879"/>
      <c r="AG17" s="879"/>
      <c r="AH17" s="879"/>
      <c r="AI17" s="879"/>
    </row>
    <row r="18" spans="1:35" x14ac:dyDescent="0.25">
      <c r="A18" s="876">
        <v>11300</v>
      </c>
      <c r="B18" s="873" t="s">
        <v>1232</v>
      </c>
      <c r="C18" s="873">
        <v>189660798</v>
      </c>
      <c r="D18" s="874">
        <v>137563488</v>
      </c>
      <c r="E18" s="874">
        <v>0</v>
      </c>
      <c r="F18" s="874">
        <v>0</v>
      </c>
      <c r="G18" s="874">
        <v>0</v>
      </c>
      <c r="H18" s="874">
        <v>0</v>
      </c>
      <c r="I18" s="874">
        <f t="shared" si="0"/>
        <v>0</v>
      </c>
      <c r="J18" s="874"/>
      <c r="K18" s="874">
        <v>9863555</v>
      </c>
      <c r="L18" s="874">
        <v>51125</v>
      </c>
      <c r="M18" s="874">
        <v>37884357</v>
      </c>
      <c r="N18" s="874">
        <v>5337610</v>
      </c>
      <c r="O18" s="874">
        <f t="shared" si="1"/>
        <v>53136647</v>
      </c>
      <c r="P18" s="874"/>
      <c r="Q18" s="874">
        <f t="shared" si="2"/>
        <v>6820177</v>
      </c>
      <c r="R18" s="874">
        <v>-1067522</v>
      </c>
      <c r="S18" s="874">
        <v>5752655</v>
      </c>
      <c r="T18" s="878"/>
      <c r="U18" s="878"/>
      <c r="V18" s="878"/>
      <c r="W18" s="878"/>
      <c r="X18" s="878"/>
      <c r="Y18" s="878"/>
      <c r="Z18" s="878"/>
      <c r="AA18" s="878"/>
      <c r="AB18" s="879"/>
      <c r="AC18" s="879"/>
      <c r="AD18" s="879"/>
      <c r="AE18" s="879"/>
      <c r="AF18" s="879"/>
      <c r="AG18" s="879"/>
      <c r="AH18" s="879"/>
      <c r="AI18" s="879"/>
    </row>
    <row r="19" spans="1:35" x14ac:dyDescent="0.25">
      <c r="A19" s="876">
        <v>11310</v>
      </c>
      <c r="B19" s="873" t="s">
        <v>1233</v>
      </c>
      <c r="C19" s="873">
        <v>18265093</v>
      </c>
      <c r="D19" s="874">
        <v>14467153</v>
      </c>
      <c r="E19" s="874">
        <v>0</v>
      </c>
      <c r="F19" s="874">
        <v>0</v>
      </c>
      <c r="G19" s="874">
        <v>0</v>
      </c>
      <c r="H19" s="874">
        <v>845275</v>
      </c>
      <c r="I19" s="874">
        <f t="shared" si="0"/>
        <v>845275</v>
      </c>
      <c r="J19" s="874"/>
      <c r="K19" s="874">
        <v>1037321</v>
      </c>
      <c r="L19" s="874">
        <v>5377</v>
      </c>
      <c r="M19" s="874">
        <v>3984188</v>
      </c>
      <c r="N19" s="874">
        <v>0</v>
      </c>
      <c r="O19" s="874">
        <f t="shared" si="1"/>
        <v>5026886</v>
      </c>
      <c r="P19" s="874"/>
      <c r="Q19" s="874">
        <f t="shared" si="2"/>
        <v>717258</v>
      </c>
      <c r="R19" s="874">
        <v>169050</v>
      </c>
      <c r="S19" s="874">
        <v>886308</v>
      </c>
      <c r="T19" s="878"/>
      <c r="U19" s="878"/>
      <c r="V19" s="878"/>
      <c r="W19" s="878"/>
      <c r="X19" s="878"/>
      <c r="Y19" s="878"/>
      <c r="Z19" s="878"/>
      <c r="AA19" s="878"/>
      <c r="AB19" s="879"/>
      <c r="AC19" s="879"/>
      <c r="AD19" s="879"/>
      <c r="AE19" s="879"/>
      <c r="AF19" s="879"/>
      <c r="AG19" s="879"/>
      <c r="AH19" s="879"/>
      <c r="AI19" s="879"/>
    </row>
    <row r="20" spans="1:35" x14ac:dyDescent="0.25">
      <c r="A20" s="876">
        <v>11600</v>
      </c>
      <c r="B20" s="873" t="s">
        <v>1234</v>
      </c>
      <c r="C20" s="873">
        <v>77965021</v>
      </c>
      <c r="D20" s="874">
        <v>62613997</v>
      </c>
      <c r="E20" s="874">
        <v>0</v>
      </c>
      <c r="F20" s="874">
        <v>0</v>
      </c>
      <c r="G20" s="874">
        <v>0</v>
      </c>
      <c r="H20" s="874">
        <v>4257770</v>
      </c>
      <c r="I20" s="874">
        <f t="shared" si="0"/>
        <v>4257770</v>
      </c>
      <c r="J20" s="874"/>
      <c r="K20" s="874">
        <v>4489539</v>
      </c>
      <c r="L20" s="874">
        <v>23270</v>
      </c>
      <c r="M20" s="874">
        <v>17243609</v>
      </c>
      <c r="N20" s="874">
        <v>0</v>
      </c>
      <c r="O20" s="874">
        <f t="shared" si="1"/>
        <v>21756418</v>
      </c>
      <c r="P20" s="874"/>
      <c r="Q20" s="874">
        <f t="shared" si="2"/>
        <v>3104301</v>
      </c>
      <c r="R20" s="874">
        <v>851551</v>
      </c>
      <c r="S20" s="874">
        <v>3955852</v>
      </c>
      <c r="T20" s="878"/>
      <c r="U20" s="878"/>
      <c r="V20" s="878"/>
      <c r="W20" s="878"/>
      <c r="X20" s="878"/>
      <c r="Y20" s="878"/>
      <c r="Z20" s="878"/>
      <c r="AA20" s="878"/>
      <c r="AB20" s="879"/>
      <c r="AC20" s="879"/>
      <c r="AD20" s="879"/>
      <c r="AE20" s="879"/>
      <c r="AF20" s="879"/>
      <c r="AG20" s="879"/>
      <c r="AH20" s="879"/>
      <c r="AI20" s="879"/>
    </row>
    <row r="21" spans="1:35" x14ac:dyDescent="0.25">
      <c r="A21" s="876">
        <v>11900</v>
      </c>
      <c r="B21" s="873" t="s">
        <v>1235</v>
      </c>
      <c r="C21" s="873">
        <v>9058251</v>
      </c>
      <c r="D21" s="874">
        <v>6513734</v>
      </c>
      <c r="E21" s="874">
        <v>0</v>
      </c>
      <c r="F21" s="874">
        <v>0</v>
      </c>
      <c r="G21" s="874">
        <v>0</v>
      </c>
      <c r="H21" s="874">
        <v>0</v>
      </c>
      <c r="I21" s="874">
        <f t="shared" si="0"/>
        <v>0</v>
      </c>
      <c r="J21" s="874"/>
      <c r="K21" s="874">
        <v>467047</v>
      </c>
      <c r="L21" s="874">
        <v>2421</v>
      </c>
      <c r="M21" s="874">
        <v>1793853</v>
      </c>
      <c r="N21" s="874">
        <v>352550</v>
      </c>
      <c r="O21" s="874">
        <f t="shared" si="1"/>
        <v>2615871</v>
      </c>
      <c r="P21" s="874"/>
      <c r="Q21" s="874">
        <f t="shared" si="2"/>
        <v>322940</v>
      </c>
      <c r="R21" s="874">
        <v>-70514</v>
      </c>
      <c r="S21" s="874">
        <v>252426</v>
      </c>
      <c r="T21" s="878"/>
      <c r="U21" s="878"/>
      <c r="V21" s="878"/>
      <c r="W21" s="878"/>
      <c r="X21" s="878"/>
      <c r="Y21" s="878"/>
      <c r="Z21" s="878"/>
      <c r="AA21" s="878"/>
      <c r="AB21" s="879"/>
      <c r="AC21" s="879"/>
      <c r="AD21" s="879"/>
      <c r="AE21" s="879"/>
      <c r="AF21" s="879"/>
      <c r="AG21" s="879"/>
      <c r="AH21" s="879"/>
      <c r="AI21" s="879"/>
    </row>
    <row r="22" spans="1:35" x14ac:dyDescent="0.25">
      <c r="A22" s="876">
        <v>12100</v>
      </c>
      <c r="B22" s="873" t="s">
        <v>1236</v>
      </c>
      <c r="C22" s="873">
        <v>10691180</v>
      </c>
      <c r="D22" s="874">
        <v>8085569</v>
      </c>
      <c r="E22" s="874">
        <v>0</v>
      </c>
      <c r="F22" s="874">
        <v>0</v>
      </c>
      <c r="G22" s="874">
        <v>0</v>
      </c>
      <c r="H22" s="874">
        <v>31340</v>
      </c>
      <c r="I22" s="874">
        <f t="shared" si="0"/>
        <v>31340</v>
      </c>
      <c r="J22" s="874"/>
      <c r="K22" s="874">
        <v>579750</v>
      </c>
      <c r="L22" s="874">
        <v>3005</v>
      </c>
      <c r="M22" s="874">
        <v>2226729</v>
      </c>
      <c r="N22" s="874">
        <v>0</v>
      </c>
      <c r="O22" s="874">
        <f t="shared" si="1"/>
        <v>2809484</v>
      </c>
      <c r="P22" s="874"/>
      <c r="Q22" s="874">
        <f t="shared" si="2"/>
        <v>400870</v>
      </c>
      <c r="R22" s="874">
        <v>6271</v>
      </c>
      <c r="S22" s="874">
        <v>407141</v>
      </c>
      <c r="T22" s="878"/>
      <c r="U22" s="878"/>
      <c r="V22" s="878"/>
      <c r="W22" s="878"/>
      <c r="X22" s="878"/>
      <c r="Y22" s="878"/>
      <c r="Z22" s="878"/>
      <c r="AA22" s="878"/>
      <c r="AB22" s="879"/>
      <c r="AC22" s="879"/>
      <c r="AD22" s="879"/>
      <c r="AE22" s="879"/>
      <c r="AF22" s="879"/>
      <c r="AG22" s="879"/>
      <c r="AH22" s="879"/>
      <c r="AI22" s="879"/>
    </row>
    <row r="23" spans="1:35" x14ac:dyDescent="0.25">
      <c r="A23" s="876">
        <v>12150</v>
      </c>
      <c r="B23" s="873" t="s">
        <v>1237</v>
      </c>
      <c r="C23" s="873">
        <v>1598454</v>
      </c>
      <c r="D23" s="874">
        <v>1204359</v>
      </c>
      <c r="E23" s="874">
        <v>0</v>
      </c>
      <c r="F23" s="874">
        <v>0</v>
      </c>
      <c r="G23" s="874">
        <v>0</v>
      </c>
      <c r="H23" s="874">
        <v>0</v>
      </c>
      <c r="I23" s="874">
        <f t="shared" si="0"/>
        <v>0</v>
      </c>
      <c r="J23" s="874"/>
      <c r="K23" s="874">
        <v>86355</v>
      </c>
      <c r="L23" s="874">
        <v>448</v>
      </c>
      <c r="M23" s="874">
        <v>331675</v>
      </c>
      <c r="N23" s="874">
        <v>5865</v>
      </c>
      <c r="O23" s="874">
        <f t="shared" si="1"/>
        <v>424343</v>
      </c>
      <c r="P23" s="874"/>
      <c r="Q23" s="874">
        <f t="shared" si="2"/>
        <v>59710</v>
      </c>
      <c r="R23" s="874">
        <v>-1173</v>
      </c>
      <c r="S23" s="874">
        <v>58537</v>
      </c>
      <c r="T23" s="878"/>
      <c r="U23" s="878"/>
      <c r="V23" s="878"/>
      <c r="W23" s="878"/>
      <c r="X23" s="878"/>
      <c r="Y23" s="878"/>
      <c r="Z23" s="878"/>
      <c r="AA23" s="878"/>
      <c r="AB23" s="879"/>
      <c r="AC23" s="879"/>
      <c r="AD23" s="879"/>
      <c r="AE23" s="879"/>
      <c r="AF23" s="879"/>
      <c r="AG23" s="879"/>
      <c r="AH23" s="879"/>
      <c r="AI23" s="879"/>
    </row>
    <row r="24" spans="1:35" x14ac:dyDescent="0.25">
      <c r="A24" s="876">
        <v>12160</v>
      </c>
      <c r="B24" s="873" t="s">
        <v>1238</v>
      </c>
      <c r="C24" s="873">
        <v>70225886</v>
      </c>
      <c r="D24" s="874">
        <v>53160533</v>
      </c>
      <c r="E24" s="874">
        <v>0</v>
      </c>
      <c r="F24" s="874">
        <v>0</v>
      </c>
      <c r="G24" s="874">
        <v>0</v>
      </c>
      <c r="H24" s="874">
        <v>470275</v>
      </c>
      <c r="I24" s="874">
        <f t="shared" si="0"/>
        <v>470275</v>
      </c>
      <c r="J24" s="874"/>
      <c r="K24" s="874">
        <v>3811708</v>
      </c>
      <c r="L24" s="874">
        <v>19757</v>
      </c>
      <c r="M24" s="874">
        <v>14640168</v>
      </c>
      <c r="N24" s="874">
        <v>0</v>
      </c>
      <c r="O24" s="874">
        <f t="shared" si="1"/>
        <v>18471633</v>
      </c>
      <c r="P24" s="874"/>
      <c r="Q24" s="874">
        <f t="shared" si="2"/>
        <v>2635614</v>
      </c>
      <c r="R24" s="874">
        <v>94050</v>
      </c>
      <c r="S24" s="874">
        <v>2729664</v>
      </c>
      <c r="T24" s="878"/>
      <c r="U24" s="878"/>
      <c r="V24" s="878"/>
      <c r="W24" s="878"/>
      <c r="X24" s="878"/>
      <c r="Y24" s="878"/>
      <c r="Z24" s="878"/>
      <c r="AA24" s="878"/>
      <c r="AB24" s="879"/>
      <c r="AC24" s="879"/>
      <c r="AD24" s="879"/>
      <c r="AE24" s="879"/>
      <c r="AF24" s="879"/>
      <c r="AG24" s="879"/>
      <c r="AH24" s="879"/>
      <c r="AI24" s="879"/>
    </row>
    <row r="25" spans="1:35" x14ac:dyDescent="0.25">
      <c r="A25" s="876">
        <v>12220</v>
      </c>
      <c r="B25" s="873" t="s">
        <v>1239</v>
      </c>
      <c r="C25" s="873">
        <v>1734212093</v>
      </c>
      <c r="D25" s="874">
        <v>1361296816</v>
      </c>
      <c r="E25" s="874">
        <v>0</v>
      </c>
      <c r="F25" s="874">
        <v>0</v>
      </c>
      <c r="G25" s="874">
        <v>0</v>
      </c>
      <c r="H25" s="874">
        <v>64328090</v>
      </c>
      <c r="I25" s="874">
        <f t="shared" si="0"/>
        <v>64328090</v>
      </c>
      <c r="J25" s="874"/>
      <c r="K25" s="874">
        <v>97607486</v>
      </c>
      <c r="L25" s="874">
        <v>505917</v>
      </c>
      <c r="M25" s="874">
        <v>374894928</v>
      </c>
      <c r="N25" s="874">
        <v>0</v>
      </c>
      <c r="O25" s="874">
        <f t="shared" si="1"/>
        <v>473008331</v>
      </c>
      <c r="P25" s="874"/>
      <c r="Q25" s="874">
        <f t="shared" si="2"/>
        <v>67490911</v>
      </c>
      <c r="R25" s="874">
        <v>12865620</v>
      </c>
      <c r="S25" s="874">
        <v>80356531</v>
      </c>
      <c r="T25" s="878"/>
      <c r="U25" s="878"/>
      <c r="V25" s="878"/>
      <c r="W25" s="878"/>
      <c r="X25" s="878"/>
      <c r="Y25" s="878"/>
      <c r="Z25" s="878"/>
      <c r="AA25" s="878"/>
      <c r="AB25" s="879"/>
      <c r="AC25" s="879"/>
      <c r="AD25" s="879"/>
      <c r="AE25" s="879"/>
      <c r="AF25" s="879"/>
      <c r="AG25" s="879"/>
      <c r="AH25" s="879"/>
      <c r="AI25" s="879"/>
    </row>
    <row r="26" spans="1:35" x14ac:dyDescent="0.25">
      <c r="A26" s="876">
        <v>12510</v>
      </c>
      <c r="B26" s="873" t="s">
        <v>1240</v>
      </c>
      <c r="C26" s="873">
        <v>194297024</v>
      </c>
      <c r="D26" s="874">
        <v>149194287</v>
      </c>
      <c r="E26" s="874">
        <v>0</v>
      </c>
      <c r="F26" s="874">
        <v>0</v>
      </c>
      <c r="G26" s="874">
        <v>0</v>
      </c>
      <c r="H26" s="874">
        <v>3936690</v>
      </c>
      <c r="I26" s="874">
        <f t="shared" si="0"/>
        <v>3936690</v>
      </c>
      <c r="J26" s="874"/>
      <c r="K26" s="874">
        <v>10697505</v>
      </c>
      <c r="L26" s="874">
        <v>55447</v>
      </c>
      <c r="M26" s="874">
        <v>41087426</v>
      </c>
      <c r="N26" s="874">
        <v>0</v>
      </c>
      <c r="O26" s="874">
        <f t="shared" si="1"/>
        <v>51840378</v>
      </c>
      <c r="P26" s="874"/>
      <c r="Q26" s="874">
        <f t="shared" si="2"/>
        <v>7396813</v>
      </c>
      <c r="R26" s="874">
        <v>787338</v>
      </c>
      <c r="S26" s="874">
        <v>8184151</v>
      </c>
      <c r="T26" s="878"/>
      <c r="U26" s="878"/>
      <c r="V26" s="878"/>
      <c r="W26" s="878"/>
      <c r="X26" s="878"/>
      <c r="Y26" s="878"/>
      <c r="Z26" s="878"/>
      <c r="AA26" s="878"/>
      <c r="AB26" s="879"/>
      <c r="AC26" s="879"/>
      <c r="AD26" s="879"/>
      <c r="AE26" s="879"/>
      <c r="AF26" s="879"/>
      <c r="AG26" s="879"/>
      <c r="AH26" s="879"/>
      <c r="AI26" s="879"/>
    </row>
    <row r="27" spans="1:35" x14ac:dyDescent="0.25">
      <c r="A27" s="876">
        <v>12600</v>
      </c>
      <c r="B27" s="873" t="s">
        <v>1241</v>
      </c>
      <c r="C27" s="873">
        <v>52253227</v>
      </c>
      <c r="D27" s="874">
        <v>40992712</v>
      </c>
      <c r="E27" s="874">
        <v>0</v>
      </c>
      <c r="F27" s="874">
        <v>0</v>
      </c>
      <c r="G27" s="874">
        <v>0</v>
      </c>
      <c r="H27" s="874">
        <v>2010450</v>
      </c>
      <c r="I27" s="874">
        <f t="shared" si="0"/>
        <v>2010450</v>
      </c>
      <c r="J27" s="874"/>
      <c r="K27" s="874">
        <v>2939253</v>
      </c>
      <c r="L27" s="874">
        <v>15235</v>
      </c>
      <c r="M27" s="874">
        <v>11289206</v>
      </c>
      <c r="N27" s="874">
        <v>0</v>
      </c>
      <c r="O27" s="874">
        <f t="shared" si="1"/>
        <v>14243694</v>
      </c>
      <c r="P27" s="874"/>
      <c r="Q27" s="874">
        <f t="shared" si="2"/>
        <v>2032353</v>
      </c>
      <c r="R27" s="874">
        <v>402089</v>
      </c>
      <c r="S27" s="874">
        <v>2434442</v>
      </c>
      <c r="T27" s="878"/>
      <c r="U27" s="878"/>
      <c r="V27" s="878"/>
      <c r="W27" s="878"/>
      <c r="X27" s="878"/>
      <c r="Y27" s="878"/>
      <c r="Z27" s="878"/>
      <c r="AA27" s="878"/>
      <c r="AB27" s="879"/>
      <c r="AC27" s="879"/>
      <c r="AD27" s="879"/>
      <c r="AE27" s="879"/>
      <c r="AF27" s="879"/>
      <c r="AG27" s="879"/>
      <c r="AH27" s="879"/>
      <c r="AI27" s="879"/>
    </row>
    <row r="28" spans="1:35" x14ac:dyDescent="0.25">
      <c r="A28" s="876">
        <v>12700</v>
      </c>
      <c r="B28" s="873" t="s">
        <v>1242</v>
      </c>
      <c r="C28" s="873">
        <v>41331596</v>
      </c>
      <c r="D28" s="874">
        <v>31324741</v>
      </c>
      <c r="E28" s="874">
        <v>0</v>
      </c>
      <c r="F28" s="874">
        <v>0</v>
      </c>
      <c r="G28" s="874">
        <v>0</v>
      </c>
      <c r="H28" s="874">
        <v>373655</v>
      </c>
      <c r="I28" s="874">
        <f t="shared" si="0"/>
        <v>373655</v>
      </c>
      <c r="J28" s="874"/>
      <c r="K28" s="874">
        <v>2246042</v>
      </c>
      <c r="L28" s="874">
        <v>11642</v>
      </c>
      <c r="M28" s="874">
        <v>8626691</v>
      </c>
      <c r="N28" s="874">
        <v>0</v>
      </c>
      <c r="O28" s="874">
        <f t="shared" si="1"/>
        <v>10884375</v>
      </c>
      <c r="P28" s="874"/>
      <c r="Q28" s="874">
        <f t="shared" si="2"/>
        <v>1553030</v>
      </c>
      <c r="R28" s="874">
        <v>74725</v>
      </c>
      <c r="S28" s="874">
        <v>1627755</v>
      </c>
      <c r="T28" s="878"/>
      <c r="U28" s="878"/>
      <c r="V28" s="878"/>
      <c r="W28" s="878"/>
      <c r="X28" s="878"/>
      <c r="Y28" s="878"/>
      <c r="Z28" s="878"/>
      <c r="AA28" s="878"/>
      <c r="AB28" s="879"/>
      <c r="AC28" s="879"/>
      <c r="AD28" s="879"/>
      <c r="AE28" s="879"/>
      <c r="AF28" s="879"/>
      <c r="AG28" s="879"/>
      <c r="AH28" s="879"/>
      <c r="AI28" s="879"/>
    </row>
    <row r="29" spans="1:35" x14ac:dyDescent="0.25">
      <c r="A29" s="876">
        <v>13500</v>
      </c>
      <c r="B29" s="873" t="s">
        <v>1243</v>
      </c>
      <c r="C29" s="873">
        <v>153807098</v>
      </c>
      <c r="D29" s="874">
        <v>128196901</v>
      </c>
      <c r="E29" s="874">
        <v>0</v>
      </c>
      <c r="F29" s="874">
        <v>0</v>
      </c>
      <c r="G29" s="874">
        <v>0</v>
      </c>
      <c r="H29" s="874">
        <v>13858905</v>
      </c>
      <c r="I29" s="874">
        <f t="shared" si="0"/>
        <v>13858905</v>
      </c>
      <c r="J29" s="874"/>
      <c r="K29" s="874">
        <v>9191954</v>
      </c>
      <c r="L29" s="874">
        <v>47644</v>
      </c>
      <c r="M29" s="874">
        <v>35304841</v>
      </c>
      <c r="N29" s="874">
        <v>0</v>
      </c>
      <c r="O29" s="874">
        <f t="shared" si="1"/>
        <v>44544439</v>
      </c>
      <c r="P29" s="874"/>
      <c r="Q29" s="874">
        <f t="shared" si="2"/>
        <v>6355797</v>
      </c>
      <c r="R29" s="874">
        <v>2771779</v>
      </c>
      <c r="S29" s="874">
        <v>9127576</v>
      </c>
      <c r="T29" s="878"/>
      <c r="U29" s="878"/>
      <c r="V29" s="878"/>
      <c r="W29" s="878"/>
      <c r="X29" s="878"/>
      <c r="Y29" s="878"/>
      <c r="Z29" s="878"/>
      <c r="AA29" s="878"/>
      <c r="AB29" s="879"/>
      <c r="AC29" s="879"/>
      <c r="AD29" s="879"/>
      <c r="AE29" s="879"/>
      <c r="AF29" s="879"/>
      <c r="AG29" s="879"/>
      <c r="AH29" s="879"/>
      <c r="AI29" s="879"/>
    </row>
    <row r="30" spans="1:35" x14ac:dyDescent="0.25">
      <c r="A30" s="876">
        <v>13700</v>
      </c>
      <c r="B30" s="873" t="s">
        <v>1244</v>
      </c>
      <c r="C30" s="873">
        <v>18648145</v>
      </c>
      <c r="D30" s="874">
        <v>13588813</v>
      </c>
      <c r="E30" s="874">
        <v>0</v>
      </c>
      <c r="F30" s="874">
        <v>0</v>
      </c>
      <c r="G30" s="874">
        <v>0</v>
      </c>
      <c r="H30" s="874">
        <v>0</v>
      </c>
      <c r="I30" s="874">
        <f t="shared" si="0"/>
        <v>0</v>
      </c>
      <c r="J30" s="874"/>
      <c r="K30" s="874">
        <v>974343</v>
      </c>
      <c r="L30" s="874">
        <v>5050</v>
      </c>
      <c r="M30" s="874">
        <v>3742297</v>
      </c>
      <c r="N30" s="874">
        <v>444475</v>
      </c>
      <c r="O30" s="874">
        <f t="shared" si="1"/>
        <v>5166165</v>
      </c>
      <c r="P30" s="874"/>
      <c r="Q30" s="874">
        <f t="shared" si="2"/>
        <v>673712</v>
      </c>
      <c r="R30" s="874">
        <v>-88896</v>
      </c>
      <c r="S30" s="874">
        <v>584816</v>
      </c>
      <c r="T30" s="878"/>
      <c r="U30" s="878"/>
      <c r="V30" s="878"/>
      <c r="W30" s="878"/>
      <c r="X30" s="878"/>
      <c r="Y30" s="878"/>
      <c r="Z30" s="878"/>
      <c r="AA30" s="878"/>
      <c r="AB30" s="879"/>
      <c r="AC30" s="879"/>
      <c r="AD30" s="879"/>
      <c r="AE30" s="879"/>
      <c r="AF30" s="879"/>
      <c r="AG30" s="879"/>
      <c r="AH30" s="879"/>
      <c r="AI30" s="879"/>
    </row>
    <row r="31" spans="1:35" x14ac:dyDescent="0.25">
      <c r="A31" s="876">
        <v>14300</v>
      </c>
      <c r="B31" s="873" t="s">
        <v>1245</v>
      </c>
      <c r="C31" s="873">
        <v>53095208</v>
      </c>
      <c r="D31" s="874">
        <v>47058333</v>
      </c>
      <c r="E31" s="874">
        <v>0</v>
      </c>
      <c r="F31" s="874">
        <v>0</v>
      </c>
      <c r="G31" s="874">
        <v>0</v>
      </c>
      <c r="H31" s="874">
        <v>7824325</v>
      </c>
      <c r="I31" s="874">
        <f t="shared" si="0"/>
        <v>7824325</v>
      </c>
      <c r="J31" s="874"/>
      <c r="K31" s="874">
        <v>3374169</v>
      </c>
      <c r="L31" s="874">
        <v>17489</v>
      </c>
      <c r="M31" s="874">
        <v>12959650</v>
      </c>
      <c r="N31" s="874">
        <v>0</v>
      </c>
      <c r="O31" s="874">
        <f t="shared" si="1"/>
        <v>16351308</v>
      </c>
      <c r="P31" s="874"/>
      <c r="Q31" s="874">
        <f t="shared" si="2"/>
        <v>2333077</v>
      </c>
      <c r="R31" s="874">
        <v>1564860</v>
      </c>
      <c r="S31" s="874">
        <v>3897937</v>
      </c>
      <c r="T31" s="878"/>
      <c r="U31" s="878"/>
      <c r="V31" s="878"/>
      <c r="W31" s="878"/>
      <c r="X31" s="878"/>
      <c r="Y31" s="878"/>
      <c r="Z31" s="878"/>
      <c r="AA31" s="878"/>
      <c r="AB31" s="879"/>
      <c r="AC31" s="879"/>
      <c r="AD31" s="879"/>
      <c r="AE31" s="879"/>
      <c r="AF31" s="879"/>
      <c r="AG31" s="879"/>
      <c r="AH31" s="879"/>
      <c r="AI31" s="879"/>
    </row>
    <row r="32" spans="1:35" ht="26.25" x14ac:dyDescent="0.25">
      <c r="A32" s="876">
        <v>14300.1</v>
      </c>
      <c r="B32" s="873" t="s">
        <v>1246</v>
      </c>
      <c r="C32" s="873">
        <v>5560605</v>
      </c>
      <c r="D32" s="874">
        <v>5541457</v>
      </c>
      <c r="E32" s="874">
        <v>0</v>
      </c>
      <c r="F32" s="874">
        <v>0</v>
      </c>
      <c r="G32" s="874">
        <v>0</v>
      </c>
      <c r="H32" s="874">
        <v>1518000</v>
      </c>
      <c r="I32" s="874">
        <f t="shared" si="0"/>
        <v>1518000</v>
      </c>
      <c r="J32" s="874"/>
      <c r="K32" s="874">
        <v>397333</v>
      </c>
      <c r="L32" s="874">
        <v>2059</v>
      </c>
      <c r="M32" s="874">
        <v>1526092</v>
      </c>
      <c r="N32" s="874">
        <v>0</v>
      </c>
      <c r="O32" s="874">
        <f t="shared" si="1"/>
        <v>1925484</v>
      </c>
      <c r="P32" s="874"/>
      <c r="Q32" s="874">
        <f t="shared" si="2"/>
        <v>274737</v>
      </c>
      <c r="R32" s="874">
        <v>303600</v>
      </c>
      <c r="S32" s="874">
        <v>578337</v>
      </c>
      <c r="T32" s="878"/>
      <c r="U32" s="878"/>
      <c r="V32" s="878"/>
      <c r="W32" s="878"/>
      <c r="X32" s="878"/>
      <c r="Y32" s="878"/>
      <c r="Z32" s="878"/>
      <c r="AA32" s="878"/>
      <c r="AB32" s="879"/>
      <c r="AC32" s="879"/>
      <c r="AD32" s="879"/>
      <c r="AE32" s="879"/>
      <c r="AF32" s="879"/>
      <c r="AG32" s="879"/>
      <c r="AH32" s="879"/>
      <c r="AI32" s="879"/>
    </row>
    <row r="33" spans="1:35" x14ac:dyDescent="0.25">
      <c r="A33" s="876">
        <v>18400</v>
      </c>
      <c r="B33" s="873" t="s">
        <v>1247</v>
      </c>
      <c r="C33" s="873">
        <v>203378738</v>
      </c>
      <c r="D33" s="874">
        <v>159857963</v>
      </c>
      <c r="E33" s="874">
        <v>0</v>
      </c>
      <c r="F33" s="874">
        <v>0</v>
      </c>
      <c r="G33" s="874">
        <v>0</v>
      </c>
      <c r="H33" s="874">
        <v>7778080</v>
      </c>
      <c r="I33" s="874">
        <f t="shared" si="0"/>
        <v>7778080</v>
      </c>
      <c r="J33" s="874"/>
      <c r="K33" s="874">
        <v>11462110</v>
      </c>
      <c r="L33" s="874">
        <v>59410</v>
      </c>
      <c r="M33" s="874">
        <v>44024153</v>
      </c>
      <c r="N33" s="874">
        <v>0</v>
      </c>
      <c r="O33" s="874">
        <f t="shared" si="1"/>
        <v>55545673</v>
      </c>
      <c r="P33" s="874"/>
      <c r="Q33" s="874">
        <f t="shared" si="2"/>
        <v>7925501</v>
      </c>
      <c r="R33" s="874">
        <v>1555615</v>
      </c>
      <c r="S33" s="874">
        <v>9481116</v>
      </c>
      <c r="T33" s="878"/>
      <c r="U33" s="878"/>
      <c r="V33" s="878"/>
      <c r="W33" s="878"/>
      <c r="X33" s="878"/>
      <c r="Y33" s="878"/>
      <c r="Z33" s="878"/>
      <c r="AA33" s="878"/>
      <c r="AB33" s="879"/>
      <c r="AC33" s="879"/>
      <c r="AD33" s="879"/>
      <c r="AE33" s="879"/>
      <c r="AF33" s="879"/>
      <c r="AG33" s="879"/>
      <c r="AH33" s="879"/>
      <c r="AI33" s="879"/>
    </row>
    <row r="34" spans="1:35" x14ac:dyDescent="0.25">
      <c r="A34" s="876">
        <v>18600</v>
      </c>
      <c r="B34" s="873" t="s">
        <v>1248</v>
      </c>
      <c r="C34" s="873">
        <v>856640</v>
      </c>
      <c r="D34" s="874">
        <v>478866</v>
      </c>
      <c r="E34" s="874">
        <v>0</v>
      </c>
      <c r="F34" s="874">
        <v>0</v>
      </c>
      <c r="G34" s="874">
        <v>0</v>
      </c>
      <c r="H34" s="874">
        <v>0</v>
      </c>
      <c r="I34" s="874">
        <f t="shared" si="0"/>
        <v>0</v>
      </c>
      <c r="J34" s="874"/>
      <c r="K34" s="874">
        <v>34336</v>
      </c>
      <c r="L34" s="874">
        <v>178</v>
      </c>
      <c r="M34" s="874">
        <v>131878</v>
      </c>
      <c r="N34" s="874">
        <v>183680</v>
      </c>
      <c r="O34" s="874">
        <f t="shared" si="1"/>
        <v>350072</v>
      </c>
      <c r="P34" s="874"/>
      <c r="Q34" s="874">
        <f t="shared" si="2"/>
        <v>23741</v>
      </c>
      <c r="R34" s="874">
        <v>-36734</v>
      </c>
      <c r="S34" s="874">
        <v>-12993</v>
      </c>
      <c r="T34" s="878"/>
      <c r="U34" s="878"/>
      <c r="V34" s="878"/>
      <c r="W34" s="878"/>
      <c r="X34" s="878"/>
      <c r="Y34" s="878"/>
      <c r="Z34" s="878"/>
      <c r="AA34" s="878"/>
      <c r="AB34" s="879"/>
      <c r="AC34" s="879"/>
      <c r="AD34" s="879"/>
      <c r="AE34" s="879"/>
      <c r="AF34" s="879"/>
      <c r="AG34" s="879"/>
      <c r="AH34" s="879"/>
      <c r="AI34" s="879"/>
    </row>
    <row r="35" spans="1:35" x14ac:dyDescent="0.25">
      <c r="A35" s="876">
        <v>18690</v>
      </c>
      <c r="B35" s="873" t="s">
        <v>1249</v>
      </c>
      <c r="C35" s="873">
        <v>180738</v>
      </c>
      <c r="D35" s="874">
        <v>0</v>
      </c>
      <c r="E35" s="874">
        <v>0</v>
      </c>
      <c r="F35" s="874">
        <v>0</v>
      </c>
      <c r="G35" s="874">
        <v>0</v>
      </c>
      <c r="H35" s="874">
        <v>0</v>
      </c>
      <c r="I35" s="874">
        <f t="shared" si="0"/>
        <v>0</v>
      </c>
      <c r="J35" s="874"/>
      <c r="K35" s="874">
        <v>0</v>
      </c>
      <c r="L35" s="874">
        <v>0</v>
      </c>
      <c r="M35" s="874">
        <v>0</v>
      </c>
      <c r="N35" s="874">
        <v>147680</v>
      </c>
      <c r="O35" s="874">
        <f t="shared" si="1"/>
        <v>147680</v>
      </c>
      <c r="P35" s="874"/>
      <c r="Q35" s="874">
        <f t="shared" si="2"/>
        <v>0</v>
      </c>
      <c r="R35" s="874">
        <v>-29538</v>
      </c>
      <c r="S35" s="874">
        <v>-29538</v>
      </c>
      <c r="T35" s="878"/>
      <c r="U35" s="878"/>
      <c r="V35" s="878"/>
      <c r="W35" s="878"/>
      <c r="X35" s="878"/>
      <c r="Y35" s="878"/>
      <c r="Z35" s="878"/>
      <c r="AA35" s="878"/>
      <c r="AB35" s="879"/>
      <c r="AC35" s="879"/>
      <c r="AD35" s="879"/>
      <c r="AE35" s="879"/>
      <c r="AF35" s="879"/>
      <c r="AG35" s="879"/>
      <c r="AH35" s="879"/>
      <c r="AI35" s="879"/>
    </row>
    <row r="36" spans="1:35" x14ac:dyDescent="0.25">
      <c r="A36" s="876">
        <v>18740</v>
      </c>
      <c r="B36" s="873" t="s">
        <v>1250</v>
      </c>
      <c r="C36" s="873">
        <v>258662</v>
      </c>
      <c r="D36" s="874">
        <v>221627</v>
      </c>
      <c r="E36" s="874">
        <v>0</v>
      </c>
      <c r="F36" s="874">
        <v>0</v>
      </c>
      <c r="G36" s="874">
        <v>0</v>
      </c>
      <c r="H36" s="874">
        <v>30455</v>
      </c>
      <c r="I36" s="874">
        <f t="shared" si="0"/>
        <v>30455</v>
      </c>
      <c r="J36" s="874"/>
      <c r="K36" s="874">
        <v>15891</v>
      </c>
      <c r="L36" s="874">
        <v>82</v>
      </c>
      <c r="M36" s="874">
        <v>61035</v>
      </c>
      <c r="N36" s="874">
        <v>0</v>
      </c>
      <c r="O36" s="874">
        <f t="shared" si="1"/>
        <v>77008</v>
      </c>
      <c r="P36" s="874"/>
      <c r="Q36" s="874">
        <f t="shared" si="2"/>
        <v>10988</v>
      </c>
      <c r="R36" s="874">
        <v>6089</v>
      </c>
      <c r="S36" s="874">
        <v>17077</v>
      </c>
      <c r="T36" s="878"/>
      <c r="U36" s="878"/>
      <c r="V36" s="878"/>
      <c r="W36" s="878"/>
      <c r="X36" s="878"/>
      <c r="Y36" s="878"/>
      <c r="Z36" s="878"/>
      <c r="AA36" s="878"/>
      <c r="AB36" s="879"/>
      <c r="AC36" s="879"/>
      <c r="AD36" s="879"/>
      <c r="AE36" s="879"/>
      <c r="AF36" s="879"/>
      <c r="AG36" s="879"/>
      <c r="AH36" s="879"/>
      <c r="AI36" s="879"/>
    </row>
    <row r="37" spans="1:35" ht="26.25" x14ac:dyDescent="0.25">
      <c r="A37" s="876">
        <v>18780</v>
      </c>
      <c r="B37" s="873" t="s">
        <v>1251</v>
      </c>
      <c r="C37" s="873">
        <v>519337</v>
      </c>
      <c r="D37" s="874">
        <v>389219</v>
      </c>
      <c r="E37" s="874">
        <v>0</v>
      </c>
      <c r="F37" s="874">
        <v>0</v>
      </c>
      <c r="G37" s="874">
        <v>0</v>
      </c>
      <c r="H37" s="874">
        <v>240</v>
      </c>
      <c r="I37" s="874">
        <f t="shared" si="0"/>
        <v>240</v>
      </c>
      <c r="J37" s="874"/>
      <c r="K37" s="874">
        <v>27908</v>
      </c>
      <c r="L37" s="874">
        <v>145</v>
      </c>
      <c r="M37" s="874">
        <v>107189</v>
      </c>
      <c r="N37" s="874">
        <v>0</v>
      </c>
      <c r="O37" s="874">
        <f t="shared" si="1"/>
        <v>135242</v>
      </c>
      <c r="P37" s="874"/>
      <c r="Q37" s="874">
        <f t="shared" si="2"/>
        <v>19297</v>
      </c>
      <c r="R37" s="874">
        <v>50</v>
      </c>
      <c r="S37" s="874">
        <v>19347</v>
      </c>
      <c r="T37" s="878"/>
      <c r="U37" s="878"/>
      <c r="V37" s="878"/>
      <c r="W37" s="878"/>
      <c r="X37" s="878"/>
      <c r="Y37" s="878"/>
      <c r="Z37" s="878"/>
      <c r="AA37" s="878"/>
      <c r="AB37" s="879"/>
      <c r="AC37" s="879"/>
      <c r="AD37" s="879"/>
      <c r="AE37" s="879"/>
      <c r="AF37" s="879"/>
      <c r="AG37" s="879"/>
      <c r="AH37" s="879"/>
      <c r="AI37" s="879"/>
    </row>
    <row r="38" spans="1:35" x14ac:dyDescent="0.25">
      <c r="A38" s="876">
        <v>19005</v>
      </c>
      <c r="B38" s="873" t="s">
        <v>1252</v>
      </c>
      <c r="C38" s="873">
        <v>27964598</v>
      </c>
      <c r="D38" s="874">
        <v>21847962</v>
      </c>
      <c r="E38" s="874">
        <v>0</v>
      </c>
      <c r="F38" s="874">
        <v>0</v>
      </c>
      <c r="G38" s="874">
        <v>0</v>
      </c>
      <c r="H38" s="874">
        <v>988095</v>
      </c>
      <c r="I38" s="874">
        <f t="shared" si="0"/>
        <v>988095</v>
      </c>
      <c r="J38" s="874"/>
      <c r="K38" s="874">
        <v>1566539</v>
      </c>
      <c r="L38" s="874">
        <v>8120</v>
      </c>
      <c r="M38" s="874">
        <v>6016829</v>
      </c>
      <c r="N38" s="874">
        <v>0</v>
      </c>
      <c r="O38" s="874">
        <f t="shared" si="1"/>
        <v>7591488</v>
      </c>
      <c r="P38" s="874"/>
      <c r="Q38" s="874">
        <f t="shared" si="2"/>
        <v>1083187</v>
      </c>
      <c r="R38" s="874">
        <v>197619</v>
      </c>
      <c r="S38" s="874">
        <v>1280806</v>
      </c>
      <c r="T38" s="878"/>
      <c r="U38" s="878"/>
      <c r="V38" s="878"/>
      <c r="W38" s="878"/>
      <c r="X38" s="878"/>
      <c r="Y38" s="878"/>
      <c r="Z38" s="878"/>
      <c r="AA38" s="878"/>
      <c r="AB38" s="879"/>
      <c r="AC38" s="879"/>
      <c r="AD38" s="879"/>
      <c r="AE38" s="879"/>
      <c r="AF38" s="879"/>
      <c r="AG38" s="879"/>
      <c r="AH38" s="879"/>
      <c r="AI38" s="879"/>
    </row>
    <row r="39" spans="1:35" x14ac:dyDescent="0.25">
      <c r="A39" s="876">
        <v>19100</v>
      </c>
      <c r="B39" s="873" t="s">
        <v>1253</v>
      </c>
      <c r="C39" s="873">
        <v>2483290054</v>
      </c>
      <c r="D39" s="874">
        <v>1997326196</v>
      </c>
      <c r="E39" s="874">
        <v>0</v>
      </c>
      <c r="F39" s="874">
        <v>0</v>
      </c>
      <c r="G39" s="874">
        <v>0</v>
      </c>
      <c r="H39" s="874">
        <v>141324590</v>
      </c>
      <c r="I39" s="874">
        <f t="shared" si="0"/>
        <v>141324590</v>
      </c>
      <c r="J39" s="874"/>
      <c r="K39" s="874">
        <v>143211962</v>
      </c>
      <c r="L39" s="874">
        <v>742293</v>
      </c>
      <c r="M39" s="874">
        <v>550054515</v>
      </c>
      <c r="N39" s="874">
        <v>0</v>
      </c>
      <c r="O39" s="874">
        <f t="shared" si="1"/>
        <v>694008770</v>
      </c>
      <c r="P39" s="874"/>
      <c r="Q39" s="874">
        <f t="shared" si="2"/>
        <v>99024227</v>
      </c>
      <c r="R39" s="874">
        <v>28264917</v>
      </c>
      <c r="S39" s="874">
        <v>127289144</v>
      </c>
      <c r="T39" s="878"/>
      <c r="U39" s="878"/>
      <c r="V39" s="878"/>
      <c r="W39" s="878"/>
      <c r="X39" s="878"/>
      <c r="Y39" s="878"/>
      <c r="Z39" s="878"/>
      <c r="AA39" s="878"/>
      <c r="AB39" s="879"/>
      <c r="AC39" s="879"/>
      <c r="AD39" s="879"/>
      <c r="AE39" s="879"/>
      <c r="AF39" s="879"/>
      <c r="AG39" s="879"/>
      <c r="AH39" s="879"/>
      <c r="AI39" s="879"/>
    </row>
    <row r="40" spans="1:35" x14ac:dyDescent="0.25">
      <c r="A40" s="898">
        <v>20100</v>
      </c>
      <c r="B40" s="899" t="s">
        <v>1254</v>
      </c>
      <c r="C40" s="899">
        <v>469946641</v>
      </c>
      <c r="D40" s="900">
        <v>316660087</v>
      </c>
      <c r="E40" s="900">
        <v>0</v>
      </c>
      <c r="F40" s="900">
        <v>0</v>
      </c>
      <c r="G40" s="900">
        <v>0</v>
      </c>
      <c r="H40" s="900">
        <v>0</v>
      </c>
      <c r="I40" s="900">
        <f t="shared" si="0"/>
        <v>0</v>
      </c>
      <c r="J40" s="900"/>
      <c r="K40" s="900">
        <v>22705111</v>
      </c>
      <c r="L40" s="900">
        <v>117685</v>
      </c>
      <c r="M40" s="900">
        <v>87206742</v>
      </c>
      <c r="N40" s="900">
        <v>40773225</v>
      </c>
      <c r="O40" s="900">
        <f t="shared" si="1"/>
        <v>150802763</v>
      </c>
      <c r="P40" s="900"/>
      <c r="Q40" s="900">
        <f t="shared" si="2"/>
        <v>15699499</v>
      </c>
      <c r="R40" s="900">
        <v>-8154648</v>
      </c>
      <c r="S40" s="900">
        <v>7544851</v>
      </c>
      <c r="T40" s="878"/>
      <c r="U40" s="878"/>
      <c r="V40" s="878"/>
      <c r="W40" s="878"/>
      <c r="X40" s="878"/>
      <c r="Y40" s="878"/>
      <c r="Z40" s="878"/>
      <c r="AA40" s="878"/>
      <c r="AB40" s="879"/>
      <c r="AC40" s="879"/>
      <c r="AD40" s="879"/>
      <c r="AE40" s="879"/>
      <c r="AF40" s="879"/>
      <c r="AG40" s="879"/>
      <c r="AH40" s="879"/>
      <c r="AI40" s="879"/>
    </row>
    <row r="41" spans="1:35" x14ac:dyDescent="0.25">
      <c r="A41" s="876">
        <v>20200</v>
      </c>
      <c r="B41" s="873" t="s">
        <v>1255</v>
      </c>
      <c r="C41" s="873">
        <v>60834895</v>
      </c>
      <c r="D41" s="874">
        <v>44537750</v>
      </c>
      <c r="E41" s="874">
        <v>0</v>
      </c>
      <c r="F41" s="874">
        <v>0</v>
      </c>
      <c r="G41" s="874">
        <v>0</v>
      </c>
      <c r="H41" s="874">
        <v>0</v>
      </c>
      <c r="I41" s="874">
        <f t="shared" si="0"/>
        <v>0</v>
      </c>
      <c r="J41" s="874"/>
      <c r="K41" s="874">
        <v>3193439</v>
      </c>
      <c r="L41" s="874">
        <v>16552</v>
      </c>
      <c r="M41" s="874">
        <v>12265493</v>
      </c>
      <c r="N41" s="874">
        <v>1222840</v>
      </c>
      <c r="O41" s="874">
        <f t="shared" si="1"/>
        <v>16698324</v>
      </c>
      <c r="P41" s="874"/>
      <c r="Q41" s="874">
        <f t="shared" si="2"/>
        <v>2208110</v>
      </c>
      <c r="R41" s="874">
        <v>-244571</v>
      </c>
      <c r="S41" s="874">
        <v>1963539</v>
      </c>
      <c r="T41" s="878"/>
      <c r="U41" s="878"/>
      <c r="V41" s="878"/>
      <c r="W41" s="878"/>
      <c r="X41" s="878"/>
      <c r="Y41" s="878"/>
      <c r="Z41" s="878"/>
      <c r="AA41" s="878"/>
      <c r="AB41" s="879"/>
      <c r="AC41" s="879"/>
      <c r="AD41" s="879"/>
      <c r="AE41" s="879"/>
      <c r="AF41" s="879"/>
      <c r="AG41" s="879"/>
      <c r="AH41" s="879"/>
      <c r="AI41" s="879"/>
    </row>
    <row r="42" spans="1:35" x14ac:dyDescent="0.25">
      <c r="A42" s="876">
        <v>20300</v>
      </c>
      <c r="B42" s="873" t="s">
        <v>1256</v>
      </c>
      <c r="C42" s="873">
        <v>1137036767</v>
      </c>
      <c r="D42" s="874">
        <v>747188074</v>
      </c>
      <c r="E42" s="874">
        <v>0</v>
      </c>
      <c r="F42" s="874">
        <v>0</v>
      </c>
      <c r="G42" s="874">
        <v>0</v>
      </c>
      <c r="H42" s="874">
        <v>0</v>
      </c>
      <c r="I42" s="874">
        <f t="shared" si="0"/>
        <v>0</v>
      </c>
      <c r="J42" s="874"/>
      <c r="K42" s="874">
        <v>53574759</v>
      </c>
      <c r="L42" s="874">
        <v>277687</v>
      </c>
      <c r="M42" s="874">
        <v>205772184</v>
      </c>
      <c r="N42" s="874">
        <v>120053320</v>
      </c>
      <c r="O42" s="874">
        <f t="shared" si="1"/>
        <v>379677950</v>
      </c>
      <c r="P42" s="874"/>
      <c r="Q42" s="874">
        <f t="shared" si="2"/>
        <v>37044385</v>
      </c>
      <c r="R42" s="874">
        <v>-24010664</v>
      </c>
      <c r="S42" s="874">
        <v>13033721</v>
      </c>
      <c r="T42" s="878"/>
      <c r="U42" s="878"/>
      <c r="V42" s="878"/>
      <c r="W42" s="878"/>
      <c r="X42" s="878"/>
      <c r="Y42" s="878"/>
      <c r="Z42" s="878"/>
      <c r="AA42" s="878"/>
      <c r="AB42" s="879"/>
      <c r="AC42" s="879"/>
      <c r="AD42" s="879"/>
      <c r="AE42" s="879"/>
      <c r="AF42" s="879"/>
      <c r="AG42" s="879"/>
      <c r="AH42" s="879"/>
      <c r="AI42" s="879"/>
    </row>
    <row r="43" spans="1:35" x14ac:dyDescent="0.25">
      <c r="A43" s="876">
        <v>20400</v>
      </c>
      <c r="B43" s="873" t="s">
        <v>1257</v>
      </c>
      <c r="C43" s="873">
        <v>55367077</v>
      </c>
      <c r="D43" s="874">
        <v>36078513</v>
      </c>
      <c r="E43" s="874">
        <v>0</v>
      </c>
      <c r="F43" s="874">
        <v>0</v>
      </c>
      <c r="G43" s="874">
        <v>0</v>
      </c>
      <c r="H43" s="874">
        <v>0</v>
      </c>
      <c r="I43" s="874">
        <f t="shared" si="0"/>
        <v>0</v>
      </c>
      <c r="J43" s="874"/>
      <c r="K43" s="874">
        <v>2586896</v>
      </c>
      <c r="L43" s="874">
        <v>13408</v>
      </c>
      <c r="M43" s="874">
        <v>9935858</v>
      </c>
      <c r="N43" s="874">
        <v>6097391</v>
      </c>
      <c r="O43" s="874">
        <f t="shared" si="1"/>
        <v>18633553</v>
      </c>
      <c r="P43" s="874"/>
      <c r="Q43" s="874">
        <f t="shared" si="2"/>
        <v>1788715</v>
      </c>
      <c r="R43" s="874">
        <v>-1219479</v>
      </c>
      <c r="S43" s="874">
        <v>569236</v>
      </c>
      <c r="T43" s="878"/>
      <c r="U43" s="878"/>
      <c r="V43" s="878"/>
      <c r="W43" s="878"/>
      <c r="X43" s="878"/>
      <c r="Y43" s="878"/>
      <c r="Z43" s="878"/>
      <c r="AA43" s="878"/>
      <c r="AB43" s="879"/>
      <c r="AC43" s="879"/>
      <c r="AD43" s="879"/>
      <c r="AE43" s="879"/>
      <c r="AF43" s="879"/>
      <c r="AG43" s="879"/>
      <c r="AH43" s="879"/>
      <c r="AI43" s="879"/>
    </row>
    <row r="44" spans="1:35" x14ac:dyDescent="0.25">
      <c r="A44" s="876">
        <v>20600</v>
      </c>
      <c r="B44" s="873" t="s">
        <v>1258</v>
      </c>
      <c r="C44" s="873">
        <v>123409080</v>
      </c>
      <c r="D44" s="874">
        <v>85022391</v>
      </c>
      <c r="E44" s="874">
        <v>0</v>
      </c>
      <c r="F44" s="874">
        <v>0</v>
      </c>
      <c r="G44" s="874">
        <v>0</v>
      </c>
      <c r="H44" s="874">
        <v>0</v>
      </c>
      <c r="I44" s="874">
        <f t="shared" si="0"/>
        <v>0</v>
      </c>
      <c r="J44" s="874"/>
      <c r="K44" s="874">
        <v>6096262</v>
      </c>
      <c r="L44" s="874">
        <v>31598</v>
      </c>
      <c r="M44" s="874">
        <v>23414778</v>
      </c>
      <c r="N44" s="874">
        <v>8489880</v>
      </c>
      <c r="O44" s="874">
        <f t="shared" si="1"/>
        <v>38032518</v>
      </c>
      <c r="P44" s="874"/>
      <c r="Q44" s="874">
        <f t="shared" si="2"/>
        <v>4215274</v>
      </c>
      <c r="R44" s="874">
        <v>-1697975</v>
      </c>
      <c r="S44" s="874">
        <v>2517299</v>
      </c>
      <c r="T44" s="878"/>
      <c r="U44" s="878"/>
      <c r="V44" s="878"/>
      <c r="W44" s="878"/>
      <c r="X44" s="878"/>
      <c r="Y44" s="878"/>
      <c r="Z44" s="878"/>
      <c r="AA44" s="878"/>
      <c r="AB44" s="879"/>
      <c r="AC44" s="879"/>
      <c r="AD44" s="879"/>
      <c r="AE44" s="879"/>
      <c r="AF44" s="879"/>
      <c r="AG44" s="879"/>
      <c r="AH44" s="879"/>
      <c r="AI44" s="879"/>
    </row>
    <row r="45" spans="1:35" x14ac:dyDescent="0.25">
      <c r="A45" s="876">
        <v>20700</v>
      </c>
      <c r="B45" s="873" t="s">
        <v>1259</v>
      </c>
      <c r="C45" s="873">
        <v>271297256</v>
      </c>
      <c r="D45" s="874">
        <v>178919711</v>
      </c>
      <c r="E45" s="874">
        <v>0</v>
      </c>
      <c r="F45" s="874">
        <v>0</v>
      </c>
      <c r="G45" s="874">
        <v>0</v>
      </c>
      <c r="H45" s="874">
        <v>0</v>
      </c>
      <c r="I45" s="874">
        <f t="shared" si="0"/>
        <v>0</v>
      </c>
      <c r="J45" s="874"/>
      <c r="K45" s="874">
        <v>12828872</v>
      </c>
      <c r="L45" s="874">
        <v>66494</v>
      </c>
      <c r="M45" s="874">
        <v>49273671</v>
      </c>
      <c r="N45" s="874">
        <v>27411495</v>
      </c>
      <c r="O45" s="874">
        <f t="shared" si="1"/>
        <v>89580532</v>
      </c>
      <c r="P45" s="874"/>
      <c r="Q45" s="874">
        <f t="shared" si="2"/>
        <v>8870552</v>
      </c>
      <c r="R45" s="874">
        <v>-5482303</v>
      </c>
      <c r="S45" s="874">
        <v>3388249</v>
      </c>
      <c r="T45" s="878"/>
      <c r="U45" s="878"/>
      <c r="V45" s="878"/>
      <c r="W45" s="878"/>
      <c r="X45" s="878"/>
      <c r="Y45" s="878"/>
      <c r="Z45" s="878"/>
      <c r="AA45" s="878"/>
      <c r="AB45" s="879"/>
      <c r="AC45" s="879"/>
      <c r="AD45" s="879"/>
      <c r="AE45" s="879"/>
      <c r="AF45" s="879"/>
      <c r="AG45" s="879"/>
      <c r="AH45" s="879"/>
      <c r="AI45" s="879"/>
    </row>
    <row r="46" spans="1:35" x14ac:dyDescent="0.25">
      <c r="A46" s="876">
        <v>20800</v>
      </c>
      <c r="B46" s="873" t="s">
        <v>1260</v>
      </c>
      <c r="C46" s="873">
        <v>214061520</v>
      </c>
      <c r="D46" s="874">
        <v>143564788</v>
      </c>
      <c r="E46" s="874">
        <v>0</v>
      </c>
      <c r="F46" s="874">
        <v>0</v>
      </c>
      <c r="G46" s="874">
        <v>0</v>
      </c>
      <c r="H46" s="874">
        <v>0</v>
      </c>
      <c r="I46" s="874">
        <f t="shared" si="0"/>
        <v>0</v>
      </c>
      <c r="J46" s="874"/>
      <c r="K46" s="874">
        <v>10293859</v>
      </c>
      <c r="L46" s="874">
        <v>53355</v>
      </c>
      <c r="M46" s="874">
        <v>39537087</v>
      </c>
      <c r="N46" s="874">
        <v>19183275</v>
      </c>
      <c r="O46" s="874">
        <f t="shared" si="1"/>
        <v>69067576</v>
      </c>
      <c r="P46" s="874"/>
      <c r="Q46" s="874">
        <f t="shared" si="2"/>
        <v>7117712</v>
      </c>
      <c r="R46" s="874">
        <v>-3836657</v>
      </c>
      <c r="S46" s="874">
        <v>3281055</v>
      </c>
      <c r="T46" s="878"/>
      <c r="U46" s="878"/>
      <c r="V46" s="878"/>
      <c r="W46" s="878"/>
      <c r="X46" s="878"/>
      <c r="Y46" s="878"/>
      <c r="Z46" s="878"/>
      <c r="AA46" s="878"/>
      <c r="AB46" s="879"/>
      <c r="AC46" s="879"/>
      <c r="AD46" s="879"/>
      <c r="AE46" s="879"/>
      <c r="AF46" s="879"/>
      <c r="AG46" s="879"/>
      <c r="AH46" s="879"/>
      <c r="AI46" s="879"/>
    </row>
    <row r="47" spans="1:35" x14ac:dyDescent="0.25">
      <c r="A47" s="876">
        <v>20900</v>
      </c>
      <c r="B47" s="873" t="s">
        <v>1261</v>
      </c>
      <c r="C47" s="873">
        <v>441056660</v>
      </c>
      <c r="D47" s="874">
        <v>293363921</v>
      </c>
      <c r="E47" s="874">
        <v>0</v>
      </c>
      <c r="F47" s="874">
        <v>0</v>
      </c>
      <c r="G47" s="874">
        <v>0</v>
      </c>
      <c r="H47" s="874">
        <v>0</v>
      </c>
      <c r="I47" s="874">
        <f t="shared" si="0"/>
        <v>0</v>
      </c>
      <c r="J47" s="874"/>
      <c r="K47" s="874">
        <v>21034733</v>
      </c>
      <c r="L47" s="874">
        <v>109027</v>
      </c>
      <c r="M47" s="874">
        <v>80791085</v>
      </c>
      <c r="N47" s="874">
        <v>42278370</v>
      </c>
      <c r="O47" s="874">
        <f t="shared" si="1"/>
        <v>144213215</v>
      </c>
      <c r="P47" s="874"/>
      <c r="Q47" s="874">
        <f t="shared" si="2"/>
        <v>14544512</v>
      </c>
      <c r="R47" s="874">
        <v>-8455670</v>
      </c>
      <c r="S47" s="874">
        <v>6088842</v>
      </c>
      <c r="T47" s="878"/>
      <c r="U47" s="878"/>
      <c r="V47" s="878"/>
      <c r="W47" s="878"/>
      <c r="X47" s="878"/>
      <c r="Y47" s="878"/>
      <c r="Z47" s="878"/>
      <c r="AA47" s="878"/>
      <c r="AB47" s="879"/>
      <c r="AC47" s="879"/>
      <c r="AD47" s="879"/>
      <c r="AE47" s="879"/>
      <c r="AF47" s="879"/>
      <c r="AG47" s="879"/>
      <c r="AH47" s="879"/>
      <c r="AI47" s="879"/>
    </row>
    <row r="48" spans="1:35" x14ac:dyDescent="0.25">
      <c r="A48" s="876">
        <v>21200</v>
      </c>
      <c r="B48" s="873" t="s">
        <v>1262</v>
      </c>
      <c r="C48" s="873">
        <v>144479386</v>
      </c>
      <c r="D48" s="874">
        <v>93510444</v>
      </c>
      <c r="E48" s="874">
        <v>0</v>
      </c>
      <c r="F48" s="874">
        <v>0</v>
      </c>
      <c r="G48" s="874">
        <v>0</v>
      </c>
      <c r="H48" s="874">
        <v>0</v>
      </c>
      <c r="I48" s="874">
        <f t="shared" si="0"/>
        <v>0</v>
      </c>
      <c r="J48" s="874"/>
      <c r="K48" s="874">
        <v>6704871</v>
      </c>
      <c r="L48" s="874">
        <v>34753</v>
      </c>
      <c r="M48" s="874">
        <v>25752349</v>
      </c>
      <c r="N48" s="874">
        <v>16842865</v>
      </c>
      <c r="O48" s="874">
        <f t="shared" si="1"/>
        <v>49334838</v>
      </c>
      <c r="P48" s="874"/>
      <c r="Q48" s="874">
        <f t="shared" si="2"/>
        <v>4636098</v>
      </c>
      <c r="R48" s="874">
        <v>-3368568</v>
      </c>
      <c r="S48" s="874">
        <v>1267530</v>
      </c>
      <c r="T48" s="878"/>
      <c r="U48" s="878"/>
      <c r="V48" s="878"/>
      <c r="W48" s="878"/>
      <c r="X48" s="878"/>
      <c r="Y48" s="878"/>
      <c r="Z48" s="878"/>
      <c r="AA48" s="878"/>
      <c r="AB48" s="879"/>
      <c r="AC48" s="879"/>
      <c r="AD48" s="879"/>
      <c r="AE48" s="879"/>
      <c r="AF48" s="879"/>
      <c r="AG48" s="879"/>
      <c r="AH48" s="879"/>
      <c r="AI48" s="879"/>
    </row>
    <row r="49" spans="1:35" x14ac:dyDescent="0.25">
      <c r="A49" s="876">
        <v>21300</v>
      </c>
      <c r="B49" s="873" t="s">
        <v>1263</v>
      </c>
      <c r="C49" s="873">
        <v>1730002793</v>
      </c>
      <c r="D49" s="874">
        <v>1161399772</v>
      </c>
      <c r="E49" s="874">
        <v>0</v>
      </c>
      <c r="F49" s="874">
        <v>0</v>
      </c>
      <c r="G49" s="874">
        <v>0</v>
      </c>
      <c r="H49" s="874">
        <v>0</v>
      </c>
      <c r="I49" s="874">
        <f t="shared" si="0"/>
        <v>0</v>
      </c>
      <c r="J49" s="874"/>
      <c r="K49" s="874">
        <v>83274500</v>
      </c>
      <c r="L49" s="874">
        <v>431626</v>
      </c>
      <c r="M49" s="874">
        <v>319844195</v>
      </c>
      <c r="N49" s="874">
        <v>155303000</v>
      </c>
      <c r="O49" s="874">
        <f t="shared" si="1"/>
        <v>558853321</v>
      </c>
      <c r="P49" s="874"/>
      <c r="Q49" s="874">
        <f t="shared" si="2"/>
        <v>57580336</v>
      </c>
      <c r="R49" s="874">
        <v>-31060601</v>
      </c>
      <c r="S49" s="874">
        <v>26519735</v>
      </c>
      <c r="T49" s="878"/>
      <c r="U49" s="878"/>
      <c r="V49" s="878"/>
      <c r="W49" s="878"/>
      <c r="X49" s="878"/>
      <c r="Y49" s="878"/>
      <c r="Z49" s="878"/>
      <c r="AA49" s="878"/>
      <c r="AB49" s="879"/>
      <c r="AC49" s="879"/>
      <c r="AD49" s="879"/>
      <c r="AE49" s="879"/>
      <c r="AF49" s="879"/>
      <c r="AG49" s="879"/>
      <c r="AH49" s="879"/>
      <c r="AI49" s="879"/>
    </row>
    <row r="50" spans="1:35" x14ac:dyDescent="0.25">
      <c r="A50" s="876">
        <v>21520</v>
      </c>
      <c r="B50" s="873" t="s">
        <v>836</v>
      </c>
      <c r="C50" s="873">
        <v>3153294783</v>
      </c>
      <c r="D50" s="874">
        <v>2085455588</v>
      </c>
      <c r="E50" s="874">
        <v>0</v>
      </c>
      <c r="F50" s="874">
        <v>0</v>
      </c>
      <c r="G50" s="874">
        <v>0</v>
      </c>
      <c r="H50" s="874">
        <v>0</v>
      </c>
      <c r="I50" s="874">
        <f t="shared" si="0"/>
        <v>0</v>
      </c>
      <c r="J50" s="874"/>
      <c r="K50" s="874">
        <v>149531002</v>
      </c>
      <c r="L50" s="874">
        <v>775045</v>
      </c>
      <c r="M50" s="874">
        <v>574324948</v>
      </c>
      <c r="N50" s="874">
        <v>318521045</v>
      </c>
      <c r="O50" s="874">
        <f t="shared" si="1"/>
        <v>1043152040</v>
      </c>
      <c r="P50" s="874"/>
      <c r="Q50" s="874">
        <f t="shared" si="2"/>
        <v>103393541</v>
      </c>
      <c r="R50" s="874">
        <v>-63704212</v>
      </c>
      <c r="S50" s="874">
        <v>39689329</v>
      </c>
      <c r="T50" s="878"/>
      <c r="U50" s="878"/>
      <c r="V50" s="878"/>
      <c r="W50" s="878"/>
      <c r="X50" s="878"/>
      <c r="Y50" s="878"/>
      <c r="Z50" s="878"/>
      <c r="AA50" s="878"/>
      <c r="AB50" s="879"/>
      <c r="AC50" s="879"/>
      <c r="AD50" s="879"/>
      <c r="AE50" s="879"/>
      <c r="AF50" s="879"/>
      <c r="AG50" s="879"/>
      <c r="AH50" s="879"/>
      <c r="AI50" s="879"/>
    </row>
    <row r="51" spans="1:35" x14ac:dyDescent="0.25">
      <c r="A51" s="876">
        <v>21525</v>
      </c>
      <c r="B51" s="873" t="s">
        <v>1264</v>
      </c>
      <c r="C51" s="873">
        <v>76362188</v>
      </c>
      <c r="D51" s="874">
        <v>54765104</v>
      </c>
      <c r="E51" s="874">
        <v>0</v>
      </c>
      <c r="F51" s="874">
        <v>0</v>
      </c>
      <c r="G51" s="874">
        <v>0</v>
      </c>
      <c r="H51" s="874">
        <v>0</v>
      </c>
      <c r="I51" s="874">
        <f t="shared" si="0"/>
        <v>0</v>
      </c>
      <c r="J51" s="874"/>
      <c r="K51" s="874">
        <v>3926759</v>
      </c>
      <c r="L51" s="874">
        <v>20353</v>
      </c>
      <c r="M51" s="874">
        <v>15082060</v>
      </c>
      <c r="N51" s="874">
        <v>3010915</v>
      </c>
      <c r="O51" s="874">
        <f t="shared" si="1"/>
        <v>22040087</v>
      </c>
      <c r="P51" s="874"/>
      <c r="Q51" s="874">
        <f t="shared" si="2"/>
        <v>2715166</v>
      </c>
      <c r="R51" s="874">
        <v>-602180</v>
      </c>
      <c r="S51" s="874">
        <v>2112986</v>
      </c>
      <c r="T51" s="878"/>
      <c r="U51" s="878"/>
      <c r="V51" s="878"/>
      <c r="W51" s="878"/>
      <c r="X51" s="878"/>
      <c r="Y51" s="878"/>
      <c r="Z51" s="878"/>
      <c r="AA51" s="878"/>
      <c r="AB51" s="879"/>
      <c r="AC51" s="879"/>
      <c r="AD51" s="879"/>
      <c r="AE51" s="879"/>
      <c r="AF51" s="879"/>
      <c r="AG51" s="879"/>
      <c r="AH51" s="879"/>
      <c r="AI51" s="879"/>
    </row>
    <row r="52" spans="1:35" x14ac:dyDescent="0.25">
      <c r="A52" s="876">
        <v>21525.1</v>
      </c>
      <c r="B52" s="901" t="s">
        <v>1265</v>
      </c>
      <c r="C52" s="873">
        <v>4212555</v>
      </c>
      <c r="D52" s="874">
        <v>3829724</v>
      </c>
      <c r="E52" s="874">
        <v>0</v>
      </c>
      <c r="F52" s="874">
        <v>0</v>
      </c>
      <c r="G52" s="874">
        <v>0</v>
      </c>
      <c r="H52" s="874">
        <v>784590</v>
      </c>
      <c r="I52" s="874">
        <f t="shared" si="0"/>
        <v>784590</v>
      </c>
      <c r="J52" s="874"/>
      <c r="K52" s="874">
        <v>274598</v>
      </c>
      <c r="L52" s="874">
        <v>1423</v>
      </c>
      <c r="M52" s="874">
        <v>1054688</v>
      </c>
      <c r="N52" s="874">
        <v>0</v>
      </c>
      <c r="O52" s="874">
        <f t="shared" si="1"/>
        <v>1330709</v>
      </c>
      <c r="P52" s="874"/>
      <c r="Q52" s="874">
        <f t="shared" si="2"/>
        <v>189872</v>
      </c>
      <c r="R52" s="874">
        <v>156916</v>
      </c>
      <c r="S52" s="874">
        <v>346788</v>
      </c>
      <c r="T52" s="878"/>
      <c r="U52" s="878"/>
      <c r="V52" s="878"/>
      <c r="W52" s="878"/>
      <c r="X52" s="878"/>
      <c r="Y52" s="878"/>
      <c r="Z52" s="878"/>
      <c r="AA52" s="878"/>
      <c r="AB52" s="879"/>
      <c r="AC52" s="879"/>
      <c r="AD52" s="879"/>
      <c r="AE52" s="879"/>
      <c r="AF52" s="879"/>
      <c r="AG52" s="879"/>
      <c r="AH52" s="879"/>
      <c r="AI52" s="879"/>
    </row>
    <row r="53" spans="1:35" x14ac:dyDescent="0.25">
      <c r="A53" s="876">
        <v>21550</v>
      </c>
      <c r="B53" s="873" t="s">
        <v>1266</v>
      </c>
      <c r="C53" s="873">
        <v>1704201125</v>
      </c>
      <c r="D53" s="874">
        <v>1267142058</v>
      </c>
      <c r="E53" s="874">
        <v>0</v>
      </c>
      <c r="F53" s="874">
        <v>0</v>
      </c>
      <c r="G53" s="874">
        <v>0</v>
      </c>
      <c r="H53" s="874">
        <v>0</v>
      </c>
      <c r="I53" s="874">
        <f t="shared" si="0"/>
        <v>0</v>
      </c>
      <c r="J53" s="874"/>
      <c r="K53" s="874">
        <v>90856416</v>
      </c>
      <c r="L53" s="874">
        <v>470925</v>
      </c>
      <c r="M53" s="874">
        <v>348965138</v>
      </c>
      <c r="N53" s="874">
        <v>20138385</v>
      </c>
      <c r="O53" s="874">
        <f t="shared" si="1"/>
        <v>460430864</v>
      </c>
      <c r="P53" s="874"/>
      <c r="Q53" s="874">
        <f t="shared" si="2"/>
        <v>62822869</v>
      </c>
      <c r="R53" s="874">
        <v>-4027680</v>
      </c>
      <c r="S53" s="874">
        <v>58795189</v>
      </c>
      <c r="T53" s="878"/>
      <c r="U53" s="878"/>
      <c r="V53" s="878"/>
      <c r="W53" s="878"/>
      <c r="X53" s="878"/>
      <c r="Y53" s="878"/>
      <c r="Z53" s="878"/>
      <c r="AA53" s="878"/>
      <c r="AB53" s="879"/>
      <c r="AC53" s="879"/>
      <c r="AD53" s="879"/>
      <c r="AE53" s="879"/>
      <c r="AF53" s="879"/>
      <c r="AG53" s="879"/>
      <c r="AH53" s="879"/>
      <c r="AI53" s="879"/>
    </row>
    <row r="54" spans="1:35" x14ac:dyDescent="0.25">
      <c r="A54" s="876">
        <v>21570</v>
      </c>
      <c r="B54" s="873" t="s">
        <v>1267</v>
      </c>
      <c r="C54" s="873">
        <v>6846056</v>
      </c>
      <c r="D54" s="874">
        <v>5376185</v>
      </c>
      <c r="E54" s="874">
        <v>0</v>
      </c>
      <c r="F54" s="874">
        <v>0</v>
      </c>
      <c r="G54" s="874">
        <v>0</v>
      </c>
      <c r="H54" s="874">
        <v>260335</v>
      </c>
      <c r="I54" s="874">
        <f t="shared" si="0"/>
        <v>260335</v>
      </c>
      <c r="J54" s="874"/>
      <c r="K54" s="874">
        <v>385482</v>
      </c>
      <c r="L54" s="874">
        <v>1998</v>
      </c>
      <c r="M54" s="874">
        <v>1480577</v>
      </c>
      <c r="N54" s="874">
        <v>0</v>
      </c>
      <c r="O54" s="874">
        <f t="shared" si="1"/>
        <v>1868057</v>
      </c>
      <c r="P54" s="874"/>
      <c r="Q54" s="874">
        <f t="shared" si="2"/>
        <v>266543</v>
      </c>
      <c r="R54" s="874">
        <v>52065</v>
      </c>
      <c r="S54" s="874">
        <v>318608</v>
      </c>
      <c r="T54" s="878"/>
      <c r="U54" s="878"/>
      <c r="V54" s="878"/>
      <c r="W54" s="878"/>
      <c r="X54" s="878"/>
      <c r="Y54" s="878"/>
      <c r="Z54" s="878"/>
      <c r="AA54" s="878"/>
      <c r="AB54" s="879"/>
      <c r="AC54" s="879"/>
      <c r="AD54" s="879"/>
      <c r="AE54" s="879"/>
      <c r="AF54" s="879"/>
      <c r="AG54" s="879"/>
      <c r="AH54" s="879"/>
      <c r="AI54" s="879"/>
    </row>
    <row r="55" spans="1:35" x14ac:dyDescent="0.25">
      <c r="A55" s="876">
        <v>21800</v>
      </c>
      <c r="B55" s="873" t="s">
        <v>1268</v>
      </c>
      <c r="C55" s="873">
        <v>254977835</v>
      </c>
      <c r="D55" s="874">
        <v>170592206</v>
      </c>
      <c r="E55" s="874">
        <v>0</v>
      </c>
      <c r="F55" s="874">
        <v>0</v>
      </c>
      <c r="G55" s="874">
        <v>0</v>
      </c>
      <c r="H55" s="874">
        <v>0</v>
      </c>
      <c r="I55" s="874">
        <f t="shared" si="0"/>
        <v>0</v>
      </c>
      <c r="J55" s="874"/>
      <c r="K55" s="874">
        <v>12231775</v>
      </c>
      <c r="L55" s="874">
        <v>63399</v>
      </c>
      <c r="M55" s="874">
        <v>46980315</v>
      </c>
      <c r="N55" s="874">
        <v>23557585</v>
      </c>
      <c r="O55" s="874">
        <f t="shared" si="1"/>
        <v>82833074</v>
      </c>
      <c r="P55" s="874"/>
      <c r="Q55" s="874">
        <f t="shared" si="2"/>
        <v>8457688</v>
      </c>
      <c r="R55" s="874">
        <v>-4711513</v>
      </c>
      <c r="S55" s="874">
        <v>3746175</v>
      </c>
      <c r="T55" s="878"/>
      <c r="U55" s="878"/>
      <c r="V55" s="878"/>
      <c r="W55" s="878"/>
      <c r="X55" s="878"/>
      <c r="Y55" s="878"/>
      <c r="Z55" s="878"/>
      <c r="AA55" s="878"/>
      <c r="AB55" s="879"/>
      <c r="AC55" s="879"/>
      <c r="AD55" s="879"/>
      <c r="AE55" s="879"/>
      <c r="AF55" s="879"/>
      <c r="AG55" s="879"/>
      <c r="AH55" s="879"/>
      <c r="AI55" s="879"/>
    </row>
    <row r="56" spans="1:35" x14ac:dyDescent="0.25">
      <c r="A56" s="876">
        <v>21900</v>
      </c>
      <c r="B56" s="873" t="s">
        <v>1269</v>
      </c>
      <c r="C56" s="873">
        <v>146863084</v>
      </c>
      <c r="D56" s="874">
        <v>99363488</v>
      </c>
      <c r="E56" s="874">
        <v>0</v>
      </c>
      <c r="F56" s="874">
        <v>0</v>
      </c>
      <c r="G56" s="874">
        <v>0</v>
      </c>
      <c r="H56" s="874">
        <v>0</v>
      </c>
      <c r="I56" s="874">
        <f t="shared" si="0"/>
        <v>0</v>
      </c>
      <c r="J56" s="874"/>
      <c r="K56" s="874">
        <v>7124545</v>
      </c>
      <c r="L56" s="874">
        <v>36928</v>
      </c>
      <c r="M56" s="874">
        <v>27364251</v>
      </c>
      <c r="N56" s="874">
        <v>12197075</v>
      </c>
      <c r="O56" s="874">
        <f t="shared" si="1"/>
        <v>46722799</v>
      </c>
      <c r="P56" s="874"/>
      <c r="Q56" s="874">
        <f t="shared" si="2"/>
        <v>4926282</v>
      </c>
      <c r="R56" s="874">
        <v>-2439417</v>
      </c>
      <c r="S56" s="874">
        <v>2486865</v>
      </c>
      <c r="T56" s="878"/>
      <c r="U56" s="878"/>
      <c r="V56" s="878"/>
      <c r="W56" s="878"/>
      <c r="X56" s="878"/>
      <c r="Y56" s="878"/>
      <c r="Z56" s="878"/>
      <c r="AA56" s="878"/>
      <c r="AB56" s="879"/>
      <c r="AC56" s="879"/>
      <c r="AD56" s="879"/>
      <c r="AE56" s="879"/>
      <c r="AF56" s="879"/>
      <c r="AG56" s="879"/>
      <c r="AH56" s="879"/>
      <c r="AI56" s="879"/>
    </row>
    <row r="57" spans="1:35" x14ac:dyDescent="0.25">
      <c r="A57" s="876">
        <v>22000</v>
      </c>
      <c r="B57" s="873" t="s">
        <v>1270</v>
      </c>
      <c r="C57" s="873">
        <v>144310612</v>
      </c>
      <c r="D57" s="874">
        <v>106617885</v>
      </c>
      <c r="E57" s="874">
        <v>0</v>
      </c>
      <c r="F57" s="874">
        <v>0</v>
      </c>
      <c r="G57" s="874">
        <v>0</v>
      </c>
      <c r="H57" s="874">
        <v>0</v>
      </c>
      <c r="I57" s="874">
        <f t="shared" si="0"/>
        <v>0</v>
      </c>
      <c r="J57" s="874"/>
      <c r="K57" s="874">
        <v>7644698</v>
      </c>
      <c r="L57" s="874">
        <v>39624</v>
      </c>
      <c r="M57" s="874">
        <v>29362079</v>
      </c>
      <c r="N57" s="874">
        <v>1817280</v>
      </c>
      <c r="O57" s="874">
        <f t="shared" si="1"/>
        <v>38863681</v>
      </c>
      <c r="P57" s="874"/>
      <c r="Q57" s="874">
        <f t="shared" si="2"/>
        <v>5285944</v>
      </c>
      <c r="R57" s="874">
        <v>-363459</v>
      </c>
      <c r="S57" s="874">
        <v>4922485</v>
      </c>
      <c r="T57" s="878"/>
      <c r="U57" s="878"/>
      <c r="V57" s="878"/>
      <c r="W57" s="878"/>
      <c r="X57" s="878"/>
      <c r="Y57" s="878"/>
      <c r="Z57" s="878"/>
      <c r="AA57" s="878"/>
      <c r="AB57" s="879"/>
      <c r="AC57" s="879"/>
      <c r="AD57" s="879"/>
      <c r="AE57" s="879"/>
      <c r="AF57" s="879"/>
      <c r="AG57" s="879"/>
      <c r="AH57" s="879"/>
      <c r="AI57" s="879"/>
    </row>
    <row r="58" spans="1:35" x14ac:dyDescent="0.25">
      <c r="A58" s="876">
        <v>23000</v>
      </c>
      <c r="B58" s="873" t="s">
        <v>1271</v>
      </c>
      <c r="C58" s="873">
        <v>110965161</v>
      </c>
      <c r="D58" s="874">
        <v>77954552</v>
      </c>
      <c r="E58" s="874">
        <v>0</v>
      </c>
      <c r="F58" s="874">
        <v>0</v>
      </c>
      <c r="G58" s="874">
        <v>0</v>
      </c>
      <c r="H58" s="874">
        <v>0</v>
      </c>
      <c r="I58" s="874">
        <f t="shared" si="0"/>
        <v>0</v>
      </c>
      <c r="J58" s="874"/>
      <c r="K58" s="874">
        <v>5589485</v>
      </c>
      <c r="L58" s="874">
        <v>28971</v>
      </c>
      <c r="M58" s="874">
        <v>21468328</v>
      </c>
      <c r="N58" s="874">
        <v>6131135</v>
      </c>
      <c r="O58" s="874">
        <f t="shared" si="1"/>
        <v>33217919</v>
      </c>
      <c r="P58" s="874"/>
      <c r="Q58" s="874">
        <f t="shared" si="2"/>
        <v>3864862</v>
      </c>
      <c r="R58" s="874">
        <v>-1226229</v>
      </c>
      <c r="S58" s="874">
        <v>2638633</v>
      </c>
      <c r="T58" s="878"/>
      <c r="U58" s="878"/>
      <c r="V58" s="878"/>
      <c r="W58" s="878"/>
      <c r="X58" s="878"/>
      <c r="Y58" s="878"/>
      <c r="Z58" s="878"/>
      <c r="AA58" s="878"/>
      <c r="AB58" s="879"/>
      <c r="AC58" s="879"/>
      <c r="AD58" s="879"/>
      <c r="AE58" s="879"/>
      <c r="AF58" s="879"/>
      <c r="AG58" s="879"/>
      <c r="AH58" s="879"/>
      <c r="AI58" s="879"/>
    </row>
    <row r="59" spans="1:35" x14ac:dyDescent="0.25">
      <c r="A59" s="876">
        <v>23100</v>
      </c>
      <c r="B59" s="873" t="s">
        <v>1272</v>
      </c>
      <c r="C59" s="873">
        <v>643326249</v>
      </c>
      <c r="D59" s="874">
        <v>451110687</v>
      </c>
      <c r="E59" s="874">
        <v>0</v>
      </c>
      <c r="F59" s="874">
        <v>0</v>
      </c>
      <c r="G59" s="874">
        <v>0</v>
      </c>
      <c r="H59" s="874">
        <v>0</v>
      </c>
      <c r="I59" s="874">
        <f t="shared" si="0"/>
        <v>0</v>
      </c>
      <c r="J59" s="874"/>
      <c r="K59" s="874">
        <v>32345466</v>
      </c>
      <c r="L59" s="874">
        <v>167652</v>
      </c>
      <c r="M59" s="874">
        <v>124233824</v>
      </c>
      <c r="N59" s="874">
        <v>36367310</v>
      </c>
      <c r="O59" s="874">
        <f t="shared" si="1"/>
        <v>193114252</v>
      </c>
      <c r="P59" s="874"/>
      <c r="Q59" s="874">
        <f t="shared" si="2"/>
        <v>22365344</v>
      </c>
      <c r="R59" s="874">
        <v>-7273464</v>
      </c>
      <c r="S59" s="874">
        <v>15091880</v>
      </c>
      <c r="T59" s="878"/>
      <c r="U59" s="878"/>
      <c r="V59" s="878"/>
      <c r="W59" s="878"/>
      <c r="X59" s="878"/>
      <c r="Y59" s="878"/>
      <c r="Z59" s="878"/>
      <c r="AA59" s="878"/>
      <c r="AB59" s="879"/>
      <c r="AC59" s="879"/>
      <c r="AD59" s="879"/>
      <c r="AE59" s="879"/>
      <c r="AF59" s="879"/>
      <c r="AG59" s="879"/>
      <c r="AH59" s="879"/>
      <c r="AI59" s="879"/>
    </row>
    <row r="60" spans="1:35" x14ac:dyDescent="0.25">
      <c r="A60" s="876">
        <v>23200</v>
      </c>
      <c r="B60" s="873" t="s">
        <v>1273</v>
      </c>
      <c r="C60" s="873">
        <v>339091357</v>
      </c>
      <c r="D60" s="874">
        <v>230381927</v>
      </c>
      <c r="E60" s="874">
        <v>0</v>
      </c>
      <c r="F60" s="874">
        <v>0</v>
      </c>
      <c r="G60" s="874">
        <v>0</v>
      </c>
      <c r="H60" s="874">
        <v>0</v>
      </c>
      <c r="I60" s="874">
        <f t="shared" si="0"/>
        <v>0</v>
      </c>
      <c r="J60" s="874"/>
      <c r="K60" s="874">
        <v>16518808</v>
      </c>
      <c r="L60" s="874">
        <v>85620</v>
      </c>
      <c r="M60" s="874">
        <v>63446131</v>
      </c>
      <c r="N60" s="874">
        <v>28001280</v>
      </c>
      <c r="O60" s="874">
        <f t="shared" si="1"/>
        <v>108051839</v>
      </c>
      <c r="P60" s="874"/>
      <c r="Q60" s="874">
        <f t="shared" si="2"/>
        <v>11421966</v>
      </c>
      <c r="R60" s="874">
        <v>-5600255</v>
      </c>
      <c r="S60" s="874">
        <v>5821711</v>
      </c>
      <c r="T60" s="878"/>
      <c r="U60" s="878"/>
      <c r="V60" s="878"/>
      <c r="W60" s="878"/>
      <c r="X60" s="878"/>
      <c r="Y60" s="878"/>
      <c r="Z60" s="878"/>
      <c r="AA60" s="878"/>
      <c r="AB60" s="879"/>
      <c r="AC60" s="879"/>
      <c r="AD60" s="879"/>
      <c r="AE60" s="879"/>
      <c r="AF60" s="879"/>
      <c r="AG60" s="879"/>
      <c r="AH60" s="879"/>
      <c r="AI60" s="879"/>
    </row>
    <row r="61" spans="1:35" x14ac:dyDescent="0.25">
      <c r="A61" s="876">
        <v>30000</v>
      </c>
      <c r="B61" s="873" t="s">
        <v>1274</v>
      </c>
      <c r="C61" s="873">
        <v>38027979</v>
      </c>
      <c r="D61" s="874">
        <v>29604942</v>
      </c>
      <c r="E61" s="874">
        <v>0</v>
      </c>
      <c r="F61" s="874">
        <v>0</v>
      </c>
      <c r="G61" s="874">
        <v>0</v>
      </c>
      <c r="H61" s="874">
        <v>1002035</v>
      </c>
      <c r="I61" s="874">
        <f t="shared" si="0"/>
        <v>1002035</v>
      </c>
      <c r="J61" s="874"/>
      <c r="K61" s="874">
        <v>2122729</v>
      </c>
      <c r="L61" s="874">
        <v>11002</v>
      </c>
      <c r="M61" s="874">
        <v>8153066</v>
      </c>
      <c r="N61" s="874">
        <v>0</v>
      </c>
      <c r="O61" s="874">
        <f t="shared" si="1"/>
        <v>10286797</v>
      </c>
      <c r="P61" s="874"/>
      <c r="Q61" s="874">
        <f t="shared" si="2"/>
        <v>1467766</v>
      </c>
      <c r="R61" s="874">
        <v>200406</v>
      </c>
      <c r="S61" s="874">
        <v>1668172</v>
      </c>
      <c r="T61" s="878"/>
      <c r="U61" s="878"/>
      <c r="V61" s="878"/>
      <c r="W61" s="878"/>
      <c r="X61" s="878"/>
      <c r="Y61" s="878"/>
      <c r="Z61" s="878"/>
      <c r="AA61" s="878"/>
      <c r="AB61" s="879"/>
      <c r="AC61" s="879"/>
      <c r="AD61" s="879"/>
      <c r="AE61" s="879"/>
      <c r="AF61" s="879"/>
      <c r="AG61" s="879"/>
      <c r="AH61" s="879"/>
      <c r="AI61" s="879"/>
    </row>
    <row r="62" spans="1:35" x14ac:dyDescent="0.25">
      <c r="A62" s="876">
        <v>30100</v>
      </c>
      <c r="B62" s="873" t="s">
        <v>1275</v>
      </c>
      <c r="C62" s="873">
        <v>336184984</v>
      </c>
      <c r="D62" s="874">
        <v>257905302</v>
      </c>
      <c r="E62" s="874">
        <v>0</v>
      </c>
      <c r="F62" s="874">
        <v>0</v>
      </c>
      <c r="G62" s="874">
        <v>0</v>
      </c>
      <c r="H62" s="874">
        <v>4344170</v>
      </c>
      <c r="I62" s="874">
        <f t="shared" si="0"/>
        <v>4344170</v>
      </c>
      <c r="J62" s="874"/>
      <c r="K62" s="874">
        <v>18492285</v>
      </c>
      <c r="L62" s="874">
        <v>95849</v>
      </c>
      <c r="M62" s="874">
        <v>71025943</v>
      </c>
      <c r="N62" s="874">
        <v>0</v>
      </c>
      <c r="O62" s="874">
        <f t="shared" si="1"/>
        <v>89614077</v>
      </c>
      <c r="P62" s="874"/>
      <c r="Q62" s="874">
        <f t="shared" si="2"/>
        <v>12786531</v>
      </c>
      <c r="R62" s="874">
        <v>868831</v>
      </c>
      <c r="S62" s="874">
        <v>13655362</v>
      </c>
      <c r="T62" s="878"/>
      <c r="U62" s="878"/>
      <c r="V62" s="878"/>
      <c r="W62" s="878"/>
      <c r="X62" s="878"/>
      <c r="Y62" s="878"/>
      <c r="Z62" s="878"/>
      <c r="AA62" s="878"/>
      <c r="AB62" s="879"/>
      <c r="AC62" s="879"/>
      <c r="AD62" s="879"/>
      <c r="AE62" s="879"/>
      <c r="AF62" s="879"/>
      <c r="AG62" s="879"/>
      <c r="AH62" s="879"/>
      <c r="AI62" s="879"/>
    </row>
    <row r="63" spans="1:35" x14ac:dyDescent="0.25">
      <c r="A63" s="876">
        <v>30102</v>
      </c>
      <c r="B63" s="873" t="s">
        <v>1276</v>
      </c>
      <c r="C63" s="873">
        <v>6275645</v>
      </c>
      <c r="D63" s="874">
        <v>4797110</v>
      </c>
      <c r="E63" s="874">
        <v>0</v>
      </c>
      <c r="F63" s="874">
        <v>0</v>
      </c>
      <c r="G63" s="874">
        <v>0</v>
      </c>
      <c r="H63" s="874">
        <v>57545</v>
      </c>
      <c r="I63" s="874">
        <f t="shared" si="0"/>
        <v>57545</v>
      </c>
      <c r="J63" s="874"/>
      <c r="K63" s="874">
        <v>343962</v>
      </c>
      <c r="L63" s="874">
        <v>1783</v>
      </c>
      <c r="M63" s="874">
        <v>1321102</v>
      </c>
      <c r="N63" s="874">
        <v>0</v>
      </c>
      <c r="O63" s="874">
        <f t="shared" si="1"/>
        <v>1666847</v>
      </c>
      <c r="P63" s="874"/>
      <c r="Q63" s="874">
        <f t="shared" si="2"/>
        <v>237833</v>
      </c>
      <c r="R63" s="874">
        <v>11507</v>
      </c>
      <c r="S63" s="874">
        <v>249340</v>
      </c>
      <c r="T63" s="878"/>
      <c r="U63" s="878"/>
      <c r="V63" s="878"/>
      <c r="W63" s="878"/>
      <c r="X63" s="878"/>
      <c r="Y63" s="878"/>
      <c r="Z63" s="878"/>
      <c r="AA63" s="878"/>
      <c r="AB63" s="879"/>
      <c r="AC63" s="879"/>
      <c r="AD63" s="879"/>
      <c r="AE63" s="879"/>
      <c r="AF63" s="879"/>
      <c r="AG63" s="879"/>
      <c r="AH63" s="879"/>
      <c r="AI63" s="879"/>
    </row>
    <row r="64" spans="1:35" x14ac:dyDescent="0.25">
      <c r="A64" s="876">
        <v>30103</v>
      </c>
      <c r="B64" s="873" t="s">
        <v>1277</v>
      </c>
      <c r="C64" s="873">
        <v>7180309</v>
      </c>
      <c r="D64" s="874">
        <v>6459441</v>
      </c>
      <c r="E64" s="874">
        <v>0</v>
      </c>
      <c r="F64" s="874">
        <v>0</v>
      </c>
      <c r="G64" s="874">
        <v>0</v>
      </c>
      <c r="H64" s="874">
        <v>1134010</v>
      </c>
      <c r="I64" s="874">
        <f t="shared" si="0"/>
        <v>1134010</v>
      </c>
      <c r="J64" s="874"/>
      <c r="K64" s="874">
        <v>463154</v>
      </c>
      <c r="L64" s="874">
        <v>2401</v>
      </c>
      <c r="M64" s="874">
        <v>1778901</v>
      </c>
      <c r="N64" s="874">
        <v>0</v>
      </c>
      <c r="O64" s="874">
        <f t="shared" si="1"/>
        <v>2244456</v>
      </c>
      <c r="P64" s="874"/>
      <c r="Q64" s="874">
        <f t="shared" si="2"/>
        <v>320249</v>
      </c>
      <c r="R64" s="874">
        <v>226798</v>
      </c>
      <c r="S64" s="874">
        <v>547047</v>
      </c>
      <c r="T64" s="878"/>
      <c r="U64" s="878"/>
      <c r="V64" s="878"/>
      <c r="W64" s="878"/>
      <c r="X64" s="878"/>
      <c r="Y64" s="878"/>
      <c r="Z64" s="878"/>
      <c r="AA64" s="878"/>
      <c r="AB64" s="879"/>
      <c r="AC64" s="879"/>
      <c r="AD64" s="879"/>
      <c r="AE64" s="879"/>
      <c r="AF64" s="879"/>
      <c r="AG64" s="879"/>
      <c r="AH64" s="879"/>
      <c r="AI64" s="879"/>
    </row>
    <row r="65" spans="1:35" x14ac:dyDescent="0.25">
      <c r="A65" s="876">
        <v>30104</v>
      </c>
      <c r="B65" s="873" t="s">
        <v>1278</v>
      </c>
      <c r="C65" s="873">
        <v>4578588</v>
      </c>
      <c r="D65" s="874">
        <v>3834837</v>
      </c>
      <c r="E65" s="874">
        <v>0</v>
      </c>
      <c r="F65" s="874">
        <v>0</v>
      </c>
      <c r="G65" s="874">
        <v>0</v>
      </c>
      <c r="H65" s="874">
        <v>399460</v>
      </c>
      <c r="I65" s="874">
        <f t="shared" si="0"/>
        <v>399460</v>
      </c>
      <c r="J65" s="874"/>
      <c r="K65" s="874">
        <v>274965</v>
      </c>
      <c r="L65" s="874">
        <v>1425</v>
      </c>
      <c r="M65" s="874">
        <v>1056097</v>
      </c>
      <c r="N65" s="874">
        <v>0</v>
      </c>
      <c r="O65" s="874">
        <f t="shared" si="1"/>
        <v>1332487</v>
      </c>
      <c r="P65" s="874"/>
      <c r="Q65" s="874">
        <f t="shared" si="2"/>
        <v>190125</v>
      </c>
      <c r="R65" s="874">
        <v>79895</v>
      </c>
      <c r="S65" s="874">
        <v>270020</v>
      </c>
      <c r="T65" s="878"/>
      <c r="U65" s="878"/>
      <c r="V65" s="878"/>
      <c r="W65" s="878"/>
      <c r="X65" s="878"/>
      <c r="Y65" s="878"/>
      <c r="Z65" s="878"/>
      <c r="AA65" s="878"/>
      <c r="AB65" s="879"/>
      <c r="AC65" s="879"/>
      <c r="AD65" s="879"/>
      <c r="AE65" s="879"/>
      <c r="AF65" s="879"/>
      <c r="AG65" s="879"/>
      <c r="AH65" s="879"/>
      <c r="AI65" s="879"/>
    </row>
    <row r="66" spans="1:35" x14ac:dyDescent="0.25">
      <c r="A66" s="876">
        <v>30105</v>
      </c>
      <c r="B66" s="873" t="s">
        <v>1279</v>
      </c>
      <c r="C66" s="873">
        <v>31176776</v>
      </c>
      <c r="D66" s="874">
        <v>23973545</v>
      </c>
      <c r="E66" s="874">
        <v>0</v>
      </c>
      <c r="F66" s="874">
        <v>0</v>
      </c>
      <c r="G66" s="874">
        <v>0</v>
      </c>
      <c r="H66" s="874">
        <v>613935</v>
      </c>
      <c r="I66" s="874">
        <f t="shared" si="0"/>
        <v>613935</v>
      </c>
      <c r="J66" s="874"/>
      <c r="K66" s="874">
        <v>1718947</v>
      </c>
      <c r="L66" s="874">
        <v>8910</v>
      </c>
      <c r="M66" s="874">
        <v>6602205</v>
      </c>
      <c r="N66" s="874">
        <v>0</v>
      </c>
      <c r="O66" s="874">
        <f t="shared" si="1"/>
        <v>8330062</v>
      </c>
      <c r="P66" s="874"/>
      <c r="Q66" s="874">
        <f t="shared" si="2"/>
        <v>1188570</v>
      </c>
      <c r="R66" s="874">
        <v>122789</v>
      </c>
      <c r="S66" s="874">
        <v>1311359</v>
      </c>
      <c r="T66" s="878"/>
      <c r="U66" s="878"/>
      <c r="V66" s="878"/>
      <c r="W66" s="878"/>
      <c r="X66" s="878"/>
      <c r="Y66" s="878"/>
      <c r="Z66" s="878"/>
      <c r="AA66" s="878"/>
      <c r="AB66" s="879"/>
      <c r="AC66" s="879"/>
      <c r="AD66" s="879"/>
      <c r="AE66" s="879"/>
      <c r="AF66" s="879"/>
      <c r="AG66" s="879"/>
      <c r="AH66" s="879"/>
      <c r="AI66" s="879"/>
    </row>
    <row r="67" spans="1:35" x14ac:dyDescent="0.25">
      <c r="A67" s="876">
        <v>30200</v>
      </c>
      <c r="B67" s="873" t="s">
        <v>1280</v>
      </c>
      <c r="C67" s="873">
        <v>73894467</v>
      </c>
      <c r="D67" s="874">
        <v>58993316</v>
      </c>
      <c r="E67" s="874">
        <v>0</v>
      </c>
      <c r="F67" s="874">
        <v>0</v>
      </c>
      <c r="G67" s="874">
        <v>0</v>
      </c>
      <c r="H67" s="874">
        <v>3558905</v>
      </c>
      <c r="I67" s="874">
        <f t="shared" si="0"/>
        <v>3558905</v>
      </c>
      <c r="J67" s="874"/>
      <c r="K67" s="874">
        <v>4229929</v>
      </c>
      <c r="L67" s="874">
        <v>21924</v>
      </c>
      <c r="M67" s="874">
        <v>16246490</v>
      </c>
      <c r="N67" s="874">
        <v>0</v>
      </c>
      <c r="O67" s="874">
        <f t="shared" si="1"/>
        <v>20498343</v>
      </c>
      <c r="P67" s="874"/>
      <c r="Q67" s="874">
        <f t="shared" si="2"/>
        <v>2924794</v>
      </c>
      <c r="R67" s="874">
        <v>711780</v>
      </c>
      <c r="S67" s="874">
        <v>3636574</v>
      </c>
      <c r="T67" s="878"/>
      <c r="U67" s="878"/>
      <c r="V67" s="878"/>
      <c r="W67" s="878"/>
      <c r="X67" s="878"/>
      <c r="Y67" s="878"/>
      <c r="Z67" s="878"/>
      <c r="AA67" s="878"/>
      <c r="AB67" s="879"/>
      <c r="AC67" s="879"/>
      <c r="AD67" s="879"/>
      <c r="AE67" s="879"/>
      <c r="AF67" s="879"/>
      <c r="AG67" s="879"/>
      <c r="AH67" s="879"/>
      <c r="AI67" s="879"/>
    </row>
    <row r="68" spans="1:35" x14ac:dyDescent="0.25">
      <c r="A68" s="876">
        <v>30300</v>
      </c>
      <c r="B68" s="873" t="s">
        <v>1281</v>
      </c>
      <c r="C68" s="873">
        <v>25325691</v>
      </c>
      <c r="D68" s="874">
        <v>18666048</v>
      </c>
      <c r="E68" s="874">
        <v>0</v>
      </c>
      <c r="F68" s="874">
        <v>0</v>
      </c>
      <c r="G68" s="874">
        <v>0</v>
      </c>
      <c r="H68" s="874">
        <v>0</v>
      </c>
      <c r="I68" s="874">
        <f t="shared" si="0"/>
        <v>0</v>
      </c>
      <c r="J68" s="874"/>
      <c r="K68" s="874">
        <v>1338390</v>
      </c>
      <c r="L68" s="874">
        <v>6937</v>
      </c>
      <c r="M68" s="874">
        <v>5140544</v>
      </c>
      <c r="N68" s="874">
        <v>474800</v>
      </c>
      <c r="O68" s="874">
        <f t="shared" si="1"/>
        <v>6960671</v>
      </c>
      <c r="P68" s="874"/>
      <c r="Q68" s="874">
        <f t="shared" si="2"/>
        <v>925433</v>
      </c>
      <c r="R68" s="874">
        <v>-94962</v>
      </c>
      <c r="S68" s="874">
        <v>830471</v>
      </c>
      <c r="T68" s="878"/>
      <c r="U68" s="878"/>
      <c r="V68" s="878"/>
      <c r="W68" s="878"/>
      <c r="X68" s="878"/>
      <c r="Y68" s="878"/>
      <c r="Z68" s="878"/>
      <c r="AA68" s="878"/>
      <c r="AB68" s="879"/>
      <c r="AC68" s="879"/>
      <c r="AD68" s="879"/>
      <c r="AE68" s="879"/>
      <c r="AF68" s="879"/>
      <c r="AG68" s="879"/>
      <c r="AH68" s="879"/>
      <c r="AI68" s="879"/>
    </row>
    <row r="69" spans="1:35" x14ac:dyDescent="0.25">
      <c r="A69" s="876">
        <v>30400</v>
      </c>
      <c r="B69" s="873" t="s">
        <v>1282</v>
      </c>
      <c r="C69" s="873">
        <v>46640606</v>
      </c>
      <c r="D69" s="874">
        <v>35396207</v>
      </c>
      <c r="E69" s="874">
        <v>0</v>
      </c>
      <c r="F69" s="874">
        <v>0</v>
      </c>
      <c r="G69" s="874">
        <v>0</v>
      </c>
      <c r="H69" s="874">
        <v>314735</v>
      </c>
      <c r="I69" s="874">
        <f t="shared" si="0"/>
        <v>314735</v>
      </c>
      <c r="J69" s="874"/>
      <c r="K69" s="874">
        <v>2537973</v>
      </c>
      <c r="L69" s="874">
        <v>13155</v>
      </c>
      <c r="M69" s="874">
        <v>9747954</v>
      </c>
      <c r="N69" s="874">
        <v>0</v>
      </c>
      <c r="O69" s="874">
        <f t="shared" si="1"/>
        <v>12299082</v>
      </c>
      <c r="P69" s="874"/>
      <c r="Q69" s="874">
        <f t="shared" si="2"/>
        <v>1754887</v>
      </c>
      <c r="R69" s="874">
        <v>62947</v>
      </c>
      <c r="S69" s="874">
        <v>1817834</v>
      </c>
      <c r="T69" s="878"/>
      <c r="U69" s="878"/>
      <c r="V69" s="878"/>
      <c r="W69" s="878"/>
      <c r="X69" s="878"/>
      <c r="Y69" s="878"/>
      <c r="Z69" s="878"/>
      <c r="AA69" s="878"/>
      <c r="AB69" s="879"/>
      <c r="AC69" s="879"/>
      <c r="AD69" s="879"/>
      <c r="AE69" s="879"/>
      <c r="AF69" s="879"/>
      <c r="AG69" s="879"/>
      <c r="AH69" s="879"/>
      <c r="AI69" s="879"/>
    </row>
    <row r="70" spans="1:35" x14ac:dyDescent="0.25">
      <c r="A70" s="876">
        <v>30405</v>
      </c>
      <c r="B70" s="873" t="s">
        <v>1283</v>
      </c>
      <c r="C70" s="873">
        <v>32358660</v>
      </c>
      <c r="D70" s="874">
        <v>22715152</v>
      </c>
      <c r="E70" s="874">
        <v>0</v>
      </c>
      <c r="F70" s="874">
        <v>0</v>
      </c>
      <c r="G70" s="874">
        <v>0</v>
      </c>
      <c r="H70" s="874">
        <v>0</v>
      </c>
      <c r="I70" s="874">
        <f t="shared" si="0"/>
        <v>0</v>
      </c>
      <c r="J70" s="874"/>
      <c r="K70" s="874">
        <v>1628718</v>
      </c>
      <c r="L70" s="874">
        <v>8442</v>
      </c>
      <c r="M70" s="874">
        <v>6255649</v>
      </c>
      <c r="N70" s="874">
        <v>1835120</v>
      </c>
      <c r="O70" s="874">
        <f t="shared" si="1"/>
        <v>9727929</v>
      </c>
      <c r="P70" s="874"/>
      <c r="Q70" s="874">
        <f t="shared" si="2"/>
        <v>1126181</v>
      </c>
      <c r="R70" s="874">
        <v>-367022</v>
      </c>
      <c r="S70" s="874">
        <v>759159</v>
      </c>
      <c r="T70" s="878"/>
      <c r="U70" s="878"/>
      <c r="V70" s="878"/>
      <c r="W70" s="878"/>
      <c r="X70" s="878"/>
      <c r="Y70" s="878"/>
      <c r="Z70" s="878"/>
      <c r="AA70" s="878"/>
      <c r="AB70" s="879"/>
      <c r="AC70" s="879"/>
      <c r="AD70" s="879"/>
      <c r="AE70" s="879"/>
      <c r="AF70" s="879"/>
      <c r="AG70" s="879"/>
      <c r="AH70" s="879"/>
      <c r="AI70" s="879"/>
    </row>
    <row r="71" spans="1:35" x14ac:dyDescent="0.25">
      <c r="A71" s="876">
        <v>30500</v>
      </c>
      <c r="B71" s="873" t="s">
        <v>1284</v>
      </c>
      <c r="C71" s="873">
        <v>49174198</v>
      </c>
      <c r="D71" s="874">
        <v>38072097</v>
      </c>
      <c r="E71" s="874">
        <v>0</v>
      </c>
      <c r="F71" s="874">
        <v>0</v>
      </c>
      <c r="G71" s="874">
        <v>0</v>
      </c>
      <c r="H71" s="874">
        <v>1082030</v>
      </c>
      <c r="I71" s="874">
        <f t="shared" si="0"/>
        <v>1082030</v>
      </c>
      <c r="J71" s="874"/>
      <c r="K71" s="874">
        <v>2729839</v>
      </c>
      <c r="L71" s="874">
        <v>14149</v>
      </c>
      <c r="M71" s="874">
        <v>10484882</v>
      </c>
      <c r="N71" s="874">
        <v>0</v>
      </c>
      <c r="O71" s="874">
        <f t="shared" si="1"/>
        <v>13228870</v>
      </c>
      <c r="P71" s="874"/>
      <c r="Q71" s="874">
        <f t="shared" si="2"/>
        <v>1887553</v>
      </c>
      <c r="R71" s="874">
        <v>216401</v>
      </c>
      <c r="S71" s="874">
        <v>2103954</v>
      </c>
      <c r="T71" s="878"/>
      <c r="U71" s="878"/>
      <c r="V71" s="878"/>
      <c r="W71" s="878"/>
      <c r="X71" s="878"/>
      <c r="Y71" s="878"/>
      <c r="Z71" s="878"/>
      <c r="AA71" s="878"/>
      <c r="AB71" s="879"/>
      <c r="AC71" s="879"/>
      <c r="AD71" s="879"/>
      <c r="AE71" s="879"/>
      <c r="AF71" s="879"/>
      <c r="AG71" s="879"/>
      <c r="AH71" s="879"/>
      <c r="AI71" s="879"/>
    </row>
    <row r="72" spans="1:35" x14ac:dyDescent="0.25">
      <c r="A72" s="876">
        <v>30600</v>
      </c>
      <c r="B72" s="873" t="s">
        <v>1285</v>
      </c>
      <c r="C72" s="873">
        <v>38311527</v>
      </c>
      <c r="D72" s="874">
        <v>29656746</v>
      </c>
      <c r="E72" s="874">
        <v>0</v>
      </c>
      <c r="F72" s="874">
        <v>0</v>
      </c>
      <c r="G72" s="874">
        <v>0</v>
      </c>
      <c r="H72" s="874">
        <v>840565</v>
      </c>
      <c r="I72" s="874">
        <f t="shared" ref="I72:I135" si="3">SUM(E72:H72)</f>
        <v>840565</v>
      </c>
      <c r="J72" s="874"/>
      <c r="K72" s="874">
        <v>2126443</v>
      </c>
      <c r="L72" s="874">
        <v>11022</v>
      </c>
      <c r="M72" s="874">
        <v>8167332</v>
      </c>
      <c r="N72" s="874">
        <v>0</v>
      </c>
      <c r="O72" s="874">
        <f t="shared" ref="O72:O135" si="4">SUM(K72:N72)</f>
        <v>10304797</v>
      </c>
      <c r="P72" s="874"/>
      <c r="Q72" s="874">
        <f t="shared" ref="Q72:Q135" si="5">S72-R72</f>
        <v>1470334</v>
      </c>
      <c r="R72" s="874">
        <v>168112</v>
      </c>
      <c r="S72" s="874">
        <v>1638446</v>
      </c>
      <c r="T72" s="878"/>
      <c r="U72" s="878"/>
      <c r="V72" s="878"/>
      <c r="W72" s="878"/>
      <c r="X72" s="878"/>
      <c r="Y72" s="878"/>
      <c r="Z72" s="878"/>
      <c r="AA72" s="878"/>
      <c r="AB72" s="879"/>
      <c r="AC72" s="879"/>
      <c r="AD72" s="879"/>
      <c r="AE72" s="879"/>
      <c r="AF72" s="879"/>
      <c r="AG72" s="879"/>
      <c r="AH72" s="879"/>
      <c r="AI72" s="879"/>
    </row>
    <row r="73" spans="1:35" x14ac:dyDescent="0.25">
      <c r="A73" s="876">
        <v>30601</v>
      </c>
      <c r="B73" s="873" t="s">
        <v>1286</v>
      </c>
      <c r="C73" s="873">
        <v>960125</v>
      </c>
      <c r="D73" s="874">
        <v>598900</v>
      </c>
      <c r="E73" s="874">
        <v>0</v>
      </c>
      <c r="F73" s="874">
        <v>0</v>
      </c>
      <c r="G73" s="874">
        <v>0</v>
      </c>
      <c r="H73" s="874">
        <v>0</v>
      </c>
      <c r="I73" s="874">
        <f t="shared" si="3"/>
        <v>0</v>
      </c>
      <c r="J73" s="874"/>
      <c r="K73" s="874">
        <v>42942</v>
      </c>
      <c r="L73" s="874">
        <v>223</v>
      </c>
      <c r="M73" s="874">
        <v>164934</v>
      </c>
      <c r="N73" s="874">
        <v>137530</v>
      </c>
      <c r="O73" s="874">
        <f t="shared" si="4"/>
        <v>345629</v>
      </c>
      <c r="P73" s="874"/>
      <c r="Q73" s="874">
        <f t="shared" si="5"/>
        <v>29692</v>
      </c>
      <c r="R73" s="874">
        <v>-27503</v>
      </c>
      <c r="S73" s="874">
        <v>2189</v>
      </c>
      <c r="T73" s="878"/>
      <c r="U73" s="878"/>
      <c r="V73" s="878"/>
      <c r="W73" s="878"/>
      <c r="X73" s="878"/>
      <c r="Y73" s="878"/>
      <c r="Z73" s="878"/>
      <c r="AA73" s="878"/>
      <c r="AB73" s="879"/>
      <c r="AC73" s="879"/>
      <c r="AD73" s="879"/>
      <c r="AE73" s="879"/>
      <c r="AF73" s="879"/>
      <c r="AG73" s="879"/>
      <c r="AH73" s="879"/>
      <c r="AI73" s="879"/>
    </row>
    <row r="74" spans="1:35" x14ac:dyDescent="0.25">
      <c r="A74" s="876">
        <v>30700</v>
      </c>
      <c r="B74" s="873" t="s">
        <v>1287</v>
      </c>
      <c r="C74" s="873">
        <v>98112662</v>
      </c>
      <c r="D74" s="874">
        <v>76141522</v>
      </c>
      <c r="E74" s="874">
        <v>0</v>
      </c>
      <c r="F74" s="874">
        <v>0</v>
      </c>
      <c r="G74" s="874">
        <v>0</v>
      </c>
      <c r="H74" s="874">
        <v>2384160</v>
      </c>
      <c r="I74" s="874">
        <f t="shared" si="3"/>
        <v>2384160</v>
      </c>
      <c r="J74" s="874"/>
      <c r="K74" s="874">
        <v>5459487</v>
      </c>
      <c r="L74" s="874">
        <v>28297</v>
      </c>
      <c r="M74" s="874">
        <v>20969028</v>
      </c>
      <c r="N74" s="874">
        <v>0</v>
      </c>
      <c r="O74" s="874">
        <f t="shared" si="4"/>
        <v>26456812</v>
      </c>
      <c r="P74" s="874"/>
      <c r="Q74" s="874">
        <f t="shared" si="5"/>
        <v>3774974</v>
      </c>
      <c r="R74" s="874">
        <v>476833</v>
      </c>
      <c r="S74" s="874">
        <v>4251807</v>
      </c>
      <c r="T74" s="878"/>
      <c r="U74" s="878"/>
      <c r="V74" s="878"/>
      <c r="W74" s="878"/>
      <c r="X74" s="878"/>
      <c r="Y74" s="878"/>
      <c r="Z74" s="878"/>
      <c r="AA74" s="878"/>
      <c r="AB74" s="879"/>
      <c r="AC74" s="879"/>
      <c r="AD74" s="879"/>
      <c r="AE74" s="879"/>
      <c r="AF74" s="879"/>
      <c r="AG74" s="879"/>
      <c r="AH74" s="879"/>
      <c r="AI74" s="879"/>
    </row>
    <row r="75" spans="1:35" x14ac:dyDescent="0.25">
      <c r="A75" s="876">
        <v>30705</v>
      </c>
      <c r="B75" s="873" t="s">
        <v>1288</v>
      </c>
      <c r="C75" s="873">
        <v>19502706</v>
      </c>
      <c r="D75" s="874">
        <v>13460453</v>
      </c>
      <c r="E75" s="874">
        <v>0</v>
      </c>
      <c r="F75" s="874">
        <v>0</v>
      </c>
      <c r="G75" s="874">
        <v>0</v>
      </c>
      <c r="H75" s="874">
        <v>0</v>
      </c>
      <c r="I75" s="874">
        <f t="shared" si="3"/>
        <v>0</v>
      </c>
      <c r="J75" s="874"/>
      <c r="K75" s="874">
        <v>965139</v>
      </c>
      <c r="L75" s="874">
        <v>5002</v>
      </c>
      <c r="M75" s="874">
        <v>3706947</v>
      </c>
      <c r="N75" s="874">
        <v>1342640</v>
      </c>
      <c r="O75" s="874">
        <f t="shared" si="4"/>
        <v>6019728</v>
      </c>
      <c r="P75" s="874"/>
      <c r="Q75" s="874">
        <f t="shared" si="5"/>
        <v>667348</v>
      </c>
      <c r="R75" s="874">
        <v>-268528</v>
      </c>
      <c r="S75" s="874">
        <v>398820</v>
      </c>
      <c r="T75" s="878"/>
      <c r="U75" s="878"/>
      <c r="V75" s="878"/>
      <c r="W75" s="878"/>
      <c r="X75" s="878"/>
      <c r="Y75" s="878"/>
      <c r="Z75" s="878"/>
      <c r="AA75" s="878"/>
      <c r="AB75" s="879"/>
      <c r="AC75" s="879"/>
      <c r="AD75" s="879"/>
      <c r="AE75" s="879"/>
      <c r="AF75" s="879"/>
      <c r="AG75" s="879"/>
      <c r="AH75" s="879"/>
      <c r="AI75" s="879"/>
    </row>
    <row r="76" spans="1:35" x14ac:dyDescent="0.25">
      <c r="A76" s="876">
        <v>30800</v>
      </c>
      <c r="B76" s="873" t="s">
        <v>1289</v>
      </c>
      <c r="C76" s="873">
        <v>38128055</v>
      </c>
      <c r="D76" s="874">
        <v>28066714</v>
      </c>
      <c r="E76" s="874">
        <v>0</v>
      </c>
      <c r="F76" s="874">
        <v>0</v>
      </c>
      <c r="G76" s="874">
        <v>0</v>
      </c>
      <c r="H76" s="874">
        <v>0</v>
      </c>
      <c r="I76" s="874">
        <f t="shared" si="3"/>
        <v>0</v>
      </c>
      <c r="J76" s="874"/>
      <c r="K76" s="874">
        <v>2012435</v>
      </c>
      <c r="L76" s="874">
        <v>10431</v>
      </c>
      <c r="M76" s="874">
        <v>7729445</v>
      </c>
      <c r="N76" s="874">
        <v>724100</v>
      </c>
      <c r="O76" s="874">
        <f t="shared" si="4"/>
        <v>10476411</v>
      </c>
      <c r="P76" s="874"/>
      <c r="Q76" s="874">
        <f t="shared" si="5"/>
        <v>1391503</v>
      </c>
      <c r="R76" s="874">
        <v>-144823</v>
      </c>
      <c r="S76" s="874">
        <v>1246680</v>
      </c>
      <c r="T76" s="878"/>
      <c r="U76" s="878"/>
      <c r="V76" s="878"/>
      <c r="W76" s="878"/>
      <c r="X76" s="878"/>
      <c r="Y76" s="878"/>
      <c r="Z76" s="878"/>
      <c r="AA76" s="878"/>
      <c r="AB76" s="879"/>
      <c r="AC76" s="879"/>
      <c r="AD76" s="879"/>
      <c r="AE76" s="879"/>
      <c r="AF76" s="879"/>
      <c r="AG76" s="879"/>
      <c r="AH76" s="879"/>
      <c r="AI76" s="879"/>
    </row>
    <row r="77" spans="1:35" x14ac:dyDescent="0.25">
      <c r="A77" s="876">
        <v>30900</v>
      </c>
      <c r="B77" s="873" t="s">
        <v>1290</v>
      </c>
      <c r="C77" s="873">
        <v>63649160</v>
      </c>
      <c r="D77" s="874">
        <v>47452186</v>
      </c>
      <c r="E77" s="874">
        <v>0</v>
      </c>
      <c r="F77" s="874">
        <v>0</v>
      </c>
      <c r="G77" s="874">
        <v>0</v>
      </c>
      <c r="H77" s="874">
        <v>0</v>
      </c>
      <c r="I77" s="874">
        <f t="shared" si="3"/>
        <v>0</v>
      </c>
      <c r="J77" s="874"/>
      <c r="K77" s="874">
        <v>3402409</v>
      </c>
      <c r="L77" s="874">
        <v>17635</v>
      </c>
      <c r="M77" s="874">
        <v>13068115</v>
      </c>
      <c r="N77" s="874">
        <v>495465</v>
      </c>
      <c r="O77" s="874">
        <f t="shared" si="4"/>
        <v>16983624</v>
      </c>
      <c r="P77" s="874"/>
      <c r="Q77" s="874">
        <f t="shared" si="5"/>
        <v>2352603</v>
      </c>
      <c r="R77" s="874">
        <v>-99090</v>
      </c>
      <c r="S77" s="874">
        <v>2253513</v>
      </c>
      <c r="T77" s="878"/>
      <c r="U77" s="878"/>
      <c r="V77" s="878"/>
      <c r="W77" s="878"/>
      <c r="X77" s="878"/>
      <c r="Y77" s="878"/>
      <c r="Z77" s="878"/>
      <c r="AA77" s="878"/>
      <c r="AB77" s="879"/>
      <c r="AC77" s="879"/>
      <c r="AD77" s="879"/>
      <c r="AE77" s="879"/>
      <c r="AF77" s="879"/>
      <c r="AG77" s="879"/>
      <c r="AH77" s="879"/>
      <c r="AI77" s="879"/>
    </row>
    <row r="78" spans="1:35" x14ac:dyDescent="0.25">
      <c r="A78" s="876">
        <v>30905</v>
      </c>
      <c r="B78" s="873" t="s">
        <v>1291</v>
      </c>
      <c r="C78" s="873">
        <v>13175731</v>
      </c>
      <c r="D78" s="874">
        <v>8493812</v>
      </c>
      <c r="E78" s="874">
        <v>0</v>
      </c>
      <c r="F78" s="874">
        <v>0</v>
      </c>
      <c r="G78" s="874">
        <v>0</v>
      </c>
      <c r="H78" s="874">
        <v>0</v>
      </c>
      <c r="I78" s="874">
        <f t="shared" si="3"/>
        <v>0</v>
      </c>
      <c r="J78" s="874"/>
      <c r="K78" s="874">
        <v>609022</v>
      </c>
      <c r="L78" s="874">
        <v>3157</v>
      </c>
      <c r="M78" s="874">
        <v>2339157</v>
      </c>
      <c r="N78" s="874">
        <v>1506485</v>
      </c>
      <c r="O78" s="874">
        <f t="shared" si="4"/>
        <v>4457821</v>
      </c>
      <c r="P78" s="874"/>
      <c r="Q78" s="874">
        <f t="shared" si="5"/>
        <v>421110</v>
      </c>
      <c r="R78" s="874">
        <v>-301299</v>
      </c>
      <c r="S78" s="874">
        <v>119811</v>
      </c>
      <c r="T78" s="878"/>
      <c r="U78" s="878"/>
      <c r="V78" s="878"/>
      <c r="W78" s="878"/>
      <c r="X78" s="878"/>
      <c r="Y78" s="878"/>
      <c r="Z78" s="878"/>
      <c r="AA78" s="878"/>
      <c r="AB78" s="879"/>
      <c r="AC78" s="879"/>
      <c r="AD78" s="879"/>
      <c r="AE78" s="879"/>
      <c r="AF78" s="879"/>
      <c r="AG78" s="879"/>
      <c r="AH78" s="879"/>
      <c r="AI78" s="879"/>
    </row>
    <row r="79" spans="1:35" x14ac:dyDescent="0.25">
      <c r="A79" s="876">
        <v>31000</v>
      </c>
      <c r="B79" s="873" t="s">
        <v>1292</v>
      </c>
      <c r="C79" s="873">
        <v>181307691</v>
      </c>
      <c r="D79" s="874">
        <v>142961627</v>
      </c>
      <c r="E79" s="874">
        <v>0</v>
      </c>
      <c r="F79" s="874">
        <v>0</v>
      </c>
      <c r="G79" s="874">
        <v>0</v>
      </c>
      <c r="H79" s="874">
        <v>6875085</v>
      </c>
      <c r="I79" s="874">
        <f t="shared" si="3"/>
        <v>6875085</v>
      </c>
      <c r="J79" s="874"/>
      <c r="K79" s="874">
        <v>10250612</v>
      </c>
      <c r="L79" s="874">
        <v>53131</v>
      </c>
      <c r="M79" s="874">
        <v>39370979</v>
      </c>
      <c r="N79" s="874">
        <v>0</v>
      </c>
      <c r="O79" s="874">
        <f t="shared" si="4"/>
        <v>49674722</v>
      </c>
      <c r="P79" s="874"/>
      <c r="Q79" s="874">
        <f t="shared" si="5"/>
        <v>7087808</v>
      </c>
      <c r="R79" s="874">
        <v>1375015</v>
      </c>
      <c r="S79" s="874">
        <v>8462823</v>
      </c>
      <c r="T79" s="878"/>
      <c r="U79" s="878"/>
      <c r="V79" s="878"/>
      <c r="W79" s="878"/>
      <c r="X79" s="878"/>
      <c r="Y79" s="878"/>
      <c r="Z79" s="878"/>
      <c r="AA79" s="878"/>
      <c r="AB79" s="879"/>
      <c r="AC79" s="879"/>
      <c r="AD79" s="879"/>
      <c r="AE79" s="879"/>
      <c r="AF79" s="879"/>
      <c r="AG79" s="879"/>
      <c r="AH79" s="879"/>
      <c r="AI79" s="879"/>
    </row>
    <row r="80" spans="1:35" x14ac:dyDescent="0.25">
      <c r="A80" s="876">
        <v>31005</v>
      </c>
      <c r="B80" s="873" t="s">
        <v>1293</v>
      </c>
      <c r="C80" s="873">
        <v>18009221</v>
      </c>
      <c r="D80" s="874">
        <v>12665084</v>
      </c>
      <c r="E80" s="874">
        <v>0</v>
      </c>
      <c r="F80" s="874">
        <v>0</v>
      </c>
      <c r="G80" s="874">
        <v>0</v>
      </c>
      <c r="H80" s="874">
        <v>0</v>
      </c>
      <c r="I80" s="874">
        <f t="shared" si="3"/>
        <v>0</v>
      </c>
      <c r="J80" s="874"/>
      <c r="K80" s="874">
        <v>908110</v>
      </c>
      <c r="L80" s="874">
        <v>4707</v>
      </c>
      <c r="M80" s="874">
        <v>3487906</v>
      </c>
      <c r="N80" s="874">
        <v>943690</v>
      </c>
      <c r="O80" s="874">
        <f t="shared" si="4"/>
        <v>5344413</v>
      </c>
      <c r="P80" s="874"/>
      <c r="Q80" s="874">
        <f t="shared" si="5"/>
        <v>627915</v>
      </c>
      <c r="R80" s="874">
        <v>-188740</v>
      </c>
      <c r="S80" s="874">
        <v>439175</v>
      </c>
      <c r="T80" s="878"/>
      <c r="U80" s="878"/>
      <c r="V80" s="878"/>
      <c r="W80" s="878"/>
      <c r="X80" s="878"/>
      <c r="Y80" s="878"/>
      <c r="Z80" s="878"/>
      <c r="AA80" s="878"/>
      <c r="AB80" s="879"/>
      <c r="AC80" s="879"/>
      <c r="AD80" s="879"/>
      <c r="AE80" s="879"/>
      <c r="AF80" s="879"/>
      <c r="AG80" s="879"/>
      <c r="AH80" s="879"/>
      <c r="AI80" s="879"/>
    </row>
    <row r="81" spans="1:35" x14ac:dyDescent="0.25">
      <c r="A81" s="876">
        <v>31100</v>
      </c>
      <c r="B81" s="873" t="s">
        <v>1294</v>
      </c>
      <c r="C81" s="873">
        <v>378480708</v>
      </c>
      <c r="D81" s="874">
        <v>296205576</v>
      </c>
      <c r="E81" s="874">
        <v>0</v>
      </c>
      <c r="F81" s="874">
        <v>0</v>
      </c>
      <c r="G81" s="874">
        <v>0</v>
      </c>
      <c r="H81" s="874">
        <v>11655005</v>
      </c>
      <c r="I81" s="874">
        <f t="shared" si="3"/>
        <v>11655005</v>
      </c>
      <c r="J81" s="874"/>
      <c r="K81" s="874">
        <v>21238485</v>
      </c>
      <c r="L81" s="874">
        <v>110083</v>
      </c>
      <c r="M81" s="874">
        <v>81573663</v>
      </c>
      <c r="N81" s="874">
        <v>0</v>
      </c>
      <c r="O81" s="874">
        <f t="shared" si="4"/>
        <v>102922231</v>
      </c>
      <c r="P81" s="874"/>
      <c r="Q81" s="874">
        <f t="shared" si="5"/>
        <v>14685397</v>
      </c>
      <c r="R81" s="874">
        <v>2331002</v>
      </c>
      <c r="S81" s="874">
        <v>17016399</v>
      </c>
      <c r="T81" s="878"/>
      <c r="U81" s="878"/>
      <c r="V81" s="878"/>
      <c r="W81" s="878"/>
      <c r="X81" s="878"/>
      <c r="Y81" s="878"/>
      <c r="Z81" s="878"/>
      <c r="AA81" s="878"/>
      <c r="AB81" s="879"/>
      <c r="AC81" s="879"/>
      <c r="AD81" s="879"/>
      <c r="AE81" s="879"/>
      <c r="AF81" s="879"/>
      <c r="AG81" s="879"/>
      <c r="AH81" s="879"/>
      <c r="AI81" s="879"/>
    </row>
    <row r="82" spans="1:35" x14ac:dyDescent="0.25">
      <c r="A82" s="876">
        <v>31101</v>
      </c>
      <c r="B82" s="873" t="s">
        <v>1295</v>
      </c>
      <c r="C82" s="873">
        <v>2564632</v>
      </c>
      <c r="D82" s="874">
        <v>2027785</v>
      </c>
      <c r="E82" s="874">
        <v>0</v>
      </c>
      <c r="F82" s="874">
        <v>0</v>
      </c>
      <c r="G82" s="874">
        <v>0</v>
      </c>
      <c r="H82" s="874">
        <v>97175</v>
      </c>
      <c r="I82" s="874">
        <f t="shared" si="3"/>
        <v>97175</v>
      </c>
      <c r="J82" s="874"/>
      <c r="K82" s="874">
        <v>145396</v>
      </c>
      <c r="L82" s="874">
        <v>754</v>
      </c>
      <c r="M82" s="874">
        <v>558443</v>
      </c>
      <c r="N82" s="874">
        <v>0</v>
      </c>
      <c r="O82" s="874">
        <f t="shared" si="4"/>
        <v>704593</v>
      </c>
      <c r="P82" s="874"/>
      <c r="Q82" s="874">
        <f t="shared" si="5"/>
        <v>100534</v>
      </c>
      <c r="R82" s="874">
        <v>19433</v>
      </c>
      <c r="S82" s="874">
        <v>119967</v>
      </c>
      <c r="T82" s="878"/>
      <c r="U82" s="878"/>
      <c r="V82" s="878"/>
      <c r="W82" s="878"/>
      <c r="X82" s="878"/>
      <c r="Y82" s="878"/>
      <c r="Z82" s="878"/>
      <c r="AA82" s="878"/>
      <c r="AB82" s="879"/>
      <c r="AC82" s="879"/>
      <c r="AD82" s="879"/>
      <c r="AE82" s="879"/>
      <c r="AF82" s="879"/>
      <c r="AG82" s="879"/>
      <c r="AH82" s="879"/>
      <c r="AI82" s="879"/>
    </row>
    <row r="83" spans="1:35" x14ac:dyDescent="0.25">
      <c r="A83" s="876">
        <v>31102</v>
      </c>
      <c r="B83" s="873" t="s">
        <v>1296</v>
      </c>
      <c r="C83" s="873">
        <v>6362501</v>
      </c>
      <c r="D83" s="874">
        <v>5057412</v>
      </c>
      <c r="E83" s="874">
        <v>0</v>
      </c>
      <c r="F83" s="874">
        <v>0</v>
      </c>
      <c r="G83" s="874">
        <v>0</v>
      </c>
      <c r="H83" s="874">
        <v>264585</v>
      </c>
      <c r="I83" s="874">
        <f t="shared" si="3"/>
        <v>264585</v>
      </c>
      <c r="J83" s="874"/>
      <c r="K83" s="874">
        <v>362626</v>
      </c>
      <c r="L83" s="874">
        <v>1880</v>
      </c>
      <c r="M83" s="874">
        <v>1392788</v>
      </c>
      <c r="N83" s="874">
        <v>0</v>
      </c>
      <c r="O83" s="874">
        <f t="shared" si="4"/>
        <v>1757294</v>
      </c>
      <c r="P83" s="874"/>
      <c r="Q83" s="874">
        <f t="shared" si="5"/>
        <v>250738</v>
      </c>
      <c r="R83" s="874">
        <v>52918</v>
      </c>
      <c r="S83" s="874">
        <v>303656</v>
      </c>
      <c r="T83" s="878"/>
      <c r="U83" s="878"/>
      <c r="V83" s="878"/>
      <c r="W83" s="878"/>
      <c r="X83" s="878"/>
      <c r="Y83" s="878"/>
      <c r="Z83" s="878"/>
      <c r="AA83" s="878"/>
      <c r="AB83" s="879"/>
      <c r="AC83" s="879"/>
      <c r="AD83" s="879"/>
      <c r="AE83" s="879"/>
      <c r="AF83" s="879"/>
      <c r="AG83" s="879"/>
      <c r="AH83" s="879"/>
      <c r="AI83" s="879"/>
    </row>
    <row r="84" spans="1:35" x14ac:dyDescent="0.25">
      <c r="A84" s="876">
        <v>31105</v>
      </c>
      <c r="B84" s="873" t="s">
        <v>1297</v>
      </c>
      <c r="C84" s="873">
        <v>60475912</v>
      </c>
      <c r="D84" s="874">
        <v>42571274</v>
      </c>
      <c r="E84" s="874">
        <v>0</v>
      </c>
      <c r="F84" s="874">
        <v>0</v>
      </c>
      <c r="G84" s="874">
        <v>0</v>
      </c>
      <c r="H84" s="874">
        <v>0</v>
      </c>
      <c r="I84" s="874">
        <f t="shared" si="3"/>
        <v>0</v>
      </c>
      <c r="J84" s="874"/>
      <c r="K84" s="874">
        <v>3052439</v>
      </c>
      <c r="L84" s="874">
        <v>15821</v>
      </c>
      <c r="M84" s="874">
        <v>11723935</v>
      </c>
      <c r="N84" s="874">
        <v>3208465</v>
      </c>
      <c r="O84" s="874">
        <f t="shared" si="4"/>
        <v>18000660</v>
      </c>
      <c r="P84" s="874"/>
      <c r="Q84" s="874">
        <f t="shared" si="5"/>
        <v>2110615</v>
      </c>
      <c r="R84" s="874">
        <v>-641693</v>
      </c>
      <c r="S84" s="874">
        <v>1468922</v>
      </c>
      <c r="T84" s="878"/>
      <c r="U84" s="878"/>
      <c r="V84" s="878"/>
      <c r="W84" s="878"/>
      <c r="X84" s="878"/>
      <c r="Y84" s="878"/>
      <c r="Z84" s="878"/>
      <c r="AA84" s="878"/>
      <c r="AB84" s="879"/>
      <c r="AC84" s="879"/>
      <c r="AD84" s="879"/>
      <c r="AE84" s="879"/>
      <c r="AF84" s="879"/>
      <c r="AG84" s="879"/>
      <c r="AH84" s="879"/>
      <c r="AI84" s="879"/>
    </row>
    <row r="85" spans="1:35" x14ac:dyDescent="0.25">
      <c r="A85" s="876">
        <v>31110</v>
      </c>
      <c r="B85" s="873" t="s">
        <v>1298</v>
      </c>
      <c r="C85" s="873">
        <v>87866274</v>
      </c>
      <c r="D85" s="874">
        <v>68139813</v>
      </c>
      <c r="E85" s="874">
        <v>0</v>
      </c>
      <c r="F85" s="874">
        <v>0</v>
      </c>
      <c r="G85" s="874">
        <v>0</v>
      </c>
      <c r="H85" s="874">
        <v>1947095</v>
      </c>
      <c r="I85" s="874">
        <f t="shared" si="3"/>
        <v>1947095</v>
      </c>
      <c r="J85" s="874"/>
      <c r="K85" s="874">
        <v>4885750</v>
      </c>
      <c r="L85" s="874">
        <v>25324</v>
      </c>
      <c r="M85" s="874">
        <v>18765393</v>
      </c>
      <c r="N85" s="874">
        <v>0</v>
      </c>
      <c r="O85" s="874">
        <f t="shared" si="4"/>
        <v>23676467</v>
      </c>
      <c r="P85" s="874"/>
      <c r="Q85" s="874">
        <f t="shared" si="5"/>
        <v>3378263</v>
      </c>
      <c r="R85" s="874">
        <v>389420</v>
      </c>
      <c r="S85" s="874">
        <v>3767683</v>
      </c>
      <c r="T85" s="878"/>
      <c r="U85" s="878"/>
      <c r="V85" s="878"/>
      <c r="W85" s="878"/>
      <c r="X85" s="878"/>
      <c r="Y85" s="878"/>
      <c r="Z85" s="878"/>
      <c r="AA85" s="878"/>
      <c r="AB85" s="879"/>
      <c r="AC85" s="879"/>
      <c r="AD85" s="879"/>
      <c r="AE85" s="879"/>
      <c r="AF85" s="879"/>
      <c r="AG85" s="879"/>
      <c r="AH85" s="879"/>
      <c r="AI85" s="879"/>
    </row>
    <row r="86" spans="1:35" x14ac:dyDescent="0.25">
      <c r="A86" s="876">
        <v>31200</v>
      </c>
      <c r="B86" s="873" t="s">
        <v>1299</v>
      </c>
      <c r="C86" s="873">
        <v>178924914</v>
      </c>
      <c r="D86" s="874">
        <v>133536097</v>
      </c>
      <c r="E86" s="874">
        <v>0</v>
      </c>
      <c r="F86" s="874">
        <v>0</v>
      </c>
      <c r="G86" s="874">
        <v>0</v>
      </c>
      <c r="H86" s="874">
        <v>0</v>
      </c>
      <c r="I86" s="874">
        <f t="shared" si="3"/>
        <v>0</v>
      </c>
      <c r="J86" s="874"/>
      <c r="K86" s="874">
        <v>9574784</v>
      </c>
      <c r="L86" s="874">
        <v>49628</v>
      </c>
      <c r="M86" s="874">
        <v>36775232</v>
      </c>
      <c r="N86" s="874">
        <v>1627480</v>
      </c>
      <c r="O86" s="874">
        <f t="shared" si="4"/>
        <v>48027124</v>
      </c>
      <c r="P86" s="874"/>
      <c r="Q86" s="874">
        <f t="shared" si="5"/>
        <v>6620505</v>
      </c>
      <c r="R86" s="874">
        <v>-325496</v>
      </c>
      <c r="S86" s="874">
        <v>6295009</v>
      </c>
      <c r="T86" s="878"/>
      <c r="U86" s="878"/>
      <c r="V86" s="878"/>
      <c r="W86" s="878"/>
      <c r="X86" s="878"/>
      <c r="Y86" s="878"/>
      <c r="Z86" s="878"/>
      <c r="AA86" s="878"/>
      <c r="AB86" s="879"/>
      <c r="AC86" s="879"/>
      <c r="AD86" s="879"/>
      <c r="AE86" s="879"/>
      <c r="AF86" s="879"/>
      <c r="AG86" s="879"/>
      <c r="AH86" s="879"/>
      <c r="AI86" s="879"/>
    </row>
    <row r="87" spans="1:35" x14ac:dyDescent="0.25">
      <c r="A87" s="876">
        <v>31205</v>
      </c>
      <c r="B87" s="873" t="s">
        <v>1300</v>
      </c>
      <c r="C87" s="873">
        <v>21998866</v>
      </c>
      <c r="D87" s="874">
        <v>14820156</v>
      </c>
      <c r="E87" s="874">
        <v>0</v>
      </c>
      <c r="F87" s="874">
        <v>0</v>
      </c>
      <c r="G87" s="874">
        <v>0</v>
      </c>
      <c r="H87" s="874">
        <v>0</v>
      </c>
      <c r="I87" s="874">
        <f t="shared" si="3"/>
        <v>0</v>
      </c>
      <c r="J87" s="874"/>
      <c r="K87" s="874">
        <v>1062632</v>
      </c>
      <c r="L87" s="874">
        <v>5508</v>
      </c>
      <c r="M87" s="874">
        <v>4081403</v>
      </c>
      <c r="N87" s="874">
        <v>1891985</v>
      </c>
      <c r="O87" s="874">
        <f t="shared" si="4"/>
        <v>7041528</v>
      </c>
      <c r="P87" s="874"/>
      <c r="Q87" s="874">
        <f t="shared" si="5"/>
        <v>734760</v>
      </c>
      <c r="R87" s="874">
        <v>-378393</v>
      </c>
      <c r="S87" s="874">
        <v>356367</v>
      </c>
      <c r="T87" s="878"/>
      <c r="U87" s="878"/>
      <c r="V87" s="878"/>
      <c r="W87" s="878"/>
      <c r="X87" s="878"/>
      <c r="Y87" s="878"/>
      <c r="Z87" s="878"/>
      <c r="AA87" s="878"/>
      <c r="AB87" s="879"/>
      <c r="AC87" s="879"/>
      <c r="AD87" s="879"/>
      <c r="AE87" s="879"/>
      <c r="AF87" s="879"/>
      <c r="AG87" s="879"/>
      <c r="AH87" s="879"/>
      <c r="AI87" s="879"/>
    </row>
    <row r="88" spans="1:35" x14ac:dyDescent="0.25">
      <c r="A88" s="876">
        <v>31300</v>
      </c>
      <c r="B88" s="873" t="s">
        <v>1301</v>
      </c>
      <c r="C88" s="873">
        <v>451779490</v>
      </c>
      <c r="D88" s="874">
        <v>363887093</v>
      </c>
      <c r="E88" s="874">
        <v>0</v>
      </c>
      <c r="F88" s="874">
        <v>0</v>
      </c>
      <c r="G88" s="874">
        <v>0</v>
      </c>
      <c r="H88" s="874">
        <v>24733030</v>
      </c>
      <c r="I88" s="874">
        <f t="shared" si="3"/>
        <v>24733030</v>
      </c>
      <c r="J88" s="874"/>
      <c r="K88" s="874">
        <v>26091374</v>
      </c>
      <c r="L88" s="874">
        <v>135236</v>
      </c>
      <c r="M88" s="874">
        <v>100212844</v>
      </c>
      <c r="N88" s="874">
        <v>0</v>
      </c>
      <c r="O88" s="874">
        <f t="shared" si="4"/>
        <v>126439454</v>
      </c>
      <c r="P88" s="874"/>
      <c r="Q88" s="874">
        <f t="shared" si="5"/>
        <v>18040938</v>
      </c>
      <c r="R88" s="874">
        <v>4946604</v>
      </c>
      <c r="S88" s="874">
        <v>22987542</v>
      </c>
      <c r="T88" s="878"/>
      <c r="U88" s="878"/>
      <c r="V88" s="878"/>
      <c r="W88" s="878"/>
      <c r="X88" s="878"/>
      <c r="Y88" s="878"/>
      <c r="Z88" s="878"/>
      <c r="AA88" s="878"/>
      <c r="AB88" s="879"/>
      <c r="AC88" s="879"/>
      <c r="AD88" s="879"/>
      <c r="AE88" s="879"/>
      <c r="AF88" s="879"/>
      <c r="AG88" s="879"/>
      <c r="AH88" s="879"/>
      <c r="AI88" s="879"/>
    </row>
    <row r="89" spans="1:35" x14ac:dyDescent="0.25">
      <c r="A89" s="876">
        <v>31301</v>
      </c>
      <c r="B89" s="873" t="s">
        <v>1302</v>
      </c>
      <c r="C89" s="873">
        <v>8704026</v>
      </c>
      <c r="D89" s="874">
        <v>8367700</v>
      </c>
      <c r="E89" s="874">
        <v>0</v>
      </c>
      <c r="F89" s="874">
        <v>0</v>
      </c>
      <c r="G89" s="874">
        <v>0</v>
      </c>
      <c r="H89" s="874">
        <v>1963850</v>
      </c>
      <c r="I89" s="874">
        <f t="shared" si="3"/>
        <v>1963850</v>
      </c>
      <c r="J89" s="874"/>
      <c r="K89" s="874">
        <v>599979</v>
      </c>
      <c r="L89" s="874">
        <v>3110</v>
      </c>
      <c r="M89" s="874">
        <v>2304426</v>
      </c>
      <c r="N89" s="874">
        <v>0</v>
      </c>
      <c r="O89" s="874">
        <f t="shared" si="4"/>
        <v>2907515</v>
      </c>
      <c r="P89" s="874"/>
      <c r="Q89" s="874">
        <f t="shared" si="5"/>
        <v>414857</v>
      </c>
      <c r="R89" s="874">
        <v>392773</v>
      </c>
      <c r="S89" s="874">
        <v>807630</v>
      </c>
      <c r="T89" s="878"/>
      <c r="U89" s="878"/>
      <c r="V89" s="878"/>
      <c r="W89" s="878"/>
      <c r="X89" s="878"/>
      <c r="Y89" s="878"/>
      <c r="Z89" s="878"/>
      <c r="AA89" s="878"/>
      <c r="AB89" s="879"/>
      <c r="AC89" s="879"/>
      <c r="AD89" s="879"/>
      <c r="AE89" s="879"/>
      <c r="AF89" s="879"/>
      <c r="AG89" s="879"/>
      <c r="AH89" s="879"/>
      <c r="AI89" s="879"/>
    </row>
    <row r="90" spans="1:35" x14ac:dyDescent="0.25">
      <c r="A90" s="876">
        <v>31320</v>
      </c>
      <c r="B90" s="873" t="s">
        <v>1303</v>
      </c>
      <c r="C90" s="873">
        <v>84658305</v>
      </c>
      <c r="D90" s="874">
        <v>65390133</v>
      </c>
      <c r="E90" s="874">
        <v>0</v>
      </c>
      <c r="F90" s="874">
        <v>0</v>
      </c>
      <c r="G90" s="874">
        <v>0</v>
      </c>
      <c r="H90" s="874">
        <v>1556565</v>
      </c>
      <c r="I90" s="874">
        <f t="shared" si="3"/>
        <v>1556565</v>
      </c>
      <c r="J90" s="874"/>
      <c r="K90" s="874">
        <v>4688593</v>
      </c>
      <c r="L90" s="874">
        <v>24302</v>
      </c>
      <c r="M90" s="874">
        <v>18008144</v>
      </c>
      <c r="N90" s="874">
        <v>0</v>
      </c>
      <c r="O90" s="874">
        <f t="shared" si="4"/>
        <v>22721039</v>
      </c>
      <c r="P90" s="874"/>
      <c r="Q90" s="874">
        <f t="shared" si="5"/>
        <v>3241938</v>
      </c>
      <c r="R90" s="874">
        <v>311312</v>
      </c>
      <c r="S90" s="874">
        <v>3553250</v>
      </c>
      <c r="T90" s="878"/>
      <c r="U90" s="878"/>
      <c r="V90" s="878"/>
      <c r="W90" s="878"/>
      <c r="X90" s="878"/>
      <c r="Y90" s="878"/>
      <c r="Z90" s="878"/>
      <c r="AA90" s="878"/>
      <c r="AB90" s="879"/>
      <c r="AC90" s="879"/>
      <c r="AD90" s="879"/>
      <c r="AE90" s="879"/>
      <c r="AF90" s="879"/>
      <c r="AG90" s="879"/>
      <c r="AH90" s="879"/>
      <c r="AI90" s="879"/>
    </row>
    <row r="91" spans="1:35" x14ac:dyDescent="0.25">
      <c r="A91" s="876">
        <v>31400</v>
      </c>
      <c r="B91" s="873" t="s">
        <v>1304</v>
      </c>
      <c r="C91" s="873">
        <v>176513543</v>
      </c>
      <c r="D91" s="874">
        <v>137331100</v>
      </c>
      <c r="E91" s="874">
        <v>0</v>
      </c>
      <c r="F91" s="874">
        <v>0</v>
      </c>
      <c r="G91" s="874">
        <v>0</v>
      </c>
      <c r="H91" s="874">
        <v>4613755</v>
      </c>
      <c r="I91" s="874">
        <f t="shared" si="3"/>
        <v>4613755</v>
      </c>
      <c r="J91" s="874"/>
      <c r="K91" s="874">
        <v>9846892</v>
      </c>
      <c r="L91" s="874">
        <v>51038</v>
      </c>
      <c r="M91" s="874">
        <v>37820358</v>
      </c>
      <c r="N91" s="874">
        <v>0</v>
      </c>
      <c r="O91" s="874">
        <f t="shared" si="4"/>
        <v>47718288</v>
      </c>
      <c r="P91" s="874"/>
      <c r="Q91" s="874">
        <f t="shared" si="5"/>
        <v>6808655</v>
      </c>
      <c r="R91" s="874">
        <v>922753</v>
      </c>
      <c r="S91" s="874">
        <v>7731408</v>
      </c>
      <c r="T91" s="878"/>
      <c r="U91" s="878"/>
      <c r="V91" s="878"/>
      <c r="W91" s="878"/>
      <c r="X91" s="878"/>
      <c r="Y91" s="878"/>
      <c r="Z91" s="878"/>
      <c r="AA91" s="878"/>
      <c r="AB91" s="879"/>
      <c r="AC91" s="879"/>
      <c r="AD91" s="879"/>
      <c r="AE91" s="879"/>
      <c r="AF91" s="879"/>
      <c r="AG91" s="879"/>
      <c r="AH91" s="879"/>
      <c r="AI91" s="879"/>
    </row>
    <row r="92" spans="1:35" x14ac:dyDescent="0.25">
      <c r="A92" s="876">
        <v>31405</v>
      </c>
      <c r="B92" s="873" t="s">
        <v>1305</v>
      </c>
      <c r="C92" s="873">
        <v>35557944</v>
      </c>
      <c r="D92" s="874">
        <v>25366031</v>
      </c>
      <c r="E92" s="874">
        <v>0</v>
      </c>
      <c r="F92" s="874">
        <v>0</v>
      </c>
      <c r="G92" s="874">
        <v>0</v>
      </c>
      <c r="H92" s="874">
        <v>0</v>
      </c>
      <c r="I92" s="874">
        <f t="shared" si="3"/>
        <v>0</v>
      </c>
      <c r="J92" s="874"/>
      <c r="K92" s="874">
        <v>1818791</v>
      </c>
      <c r="L92" s="874">
        <v>9427</v>
      </c>
      <c r="M92" s="874">
        <v>6985689</v>
      </c>
      <c r="N92" s="874">
        <v>1471435</v>
      </c>
      <c r="O92" s="874">
        <f t="shared" si="4"/>
        <v>10285342</v>
      </c>
      <c r="P92" s="874"/>
      <c r="Q92" s="874">
        <f t="shared" si="5"/>
        <v>1257607</v>
      </c>
      <c r="R92" s="874">
        <v>-294291</v>
      </c>
      <c r="S92" s="874">
        <v>963316</v>
      </c>
      <c r="T92" s="878"/>
      <c r="U92" s="878"/>
      <c r="V92" s="878"/>
      <c r="W92" s="878"/>
      <c r="X92" s="878"/>
      <c r="Y92" s="878"/>
      <c r="Z92" s="878"/>
      <c r="AA92" s="878"/>
      <c r="AB92" s="879"/>
      <c r="AC92" s="879"/>
      <c r="AD92" s="879"/>
      <c r="AE92" s="879"/>
      <c r="AF92" s="879"/>
      <c r="AG92" s="879"/>
      <c r="AH92" s="879"/>
      <c r="AI92" s="879"/>
    </row>
    <row r="93" spans="1:35" x14ac:dyDescent="0.25">
      <c r="A93" s="876">
        <v>31500</v>
      </c>
      <c r="B93" s="873" t="s">
        <v>1306</v>
      </c>
      <c r="C93" s="873">
        <v>27252978</v>
      </c>
      <c r="D93" s="874">
        <v>20784929</v>
      </c>
      <c r="E93" s="874">
        <v>0</v>
      </c>
      <c r="F93" s="874">
        <v>0</v>
      </c>
      <c r="G93" s="874">
        <v>0</v>
      </c>
      <c r="H93" s="874">
        <v>276380</v>
      </c>
      <c r="I93" s="874">
        <f t="shared" si="3"/>
        <v>276380</v>
      </c>
      <c r="J93" s="874"/>
      <c r="K93" s="874">
        <v>1490318</v>
      </c>
      <c r="L93" s="874">
        <v>7725</v>
      </c>
      <c r="M93" s="874">
        <v>5724075</v>
      </c>
      <c r="N93" s="874">
        <v>0</v>
      </c>
      <c r="O93" s="874">
        <f t="shared" si="4"/>
        <v>7222118</v>
      </c>
      <c r="P93" s="874"/>
      <c r="Q93" s="874">
        <f t="shared" si="5"/>
        <v>1030483</v>
      </c>
      <c r="R93" s="874">
        <v>55280</v>
      </c>
      <c r="S93" s="874">
        <v>1085763</v>
      </c>
      <c r="T93" s="878"/>
      <c r="U93" s="878"/>
      <c r="V93" s="878"/>
      <c r="W93" s="878"/>
      <c r="X93" s="878"/>
      <c r="Y93" s="878"/>
      <c r="Z93" s="878"/>
      <c r="AA93" s="878"/>
      <c r="AB93" s="879"/>
      <c r="AC93" s="879"/>
      <c r="AD93" s="879"/>
      <c r="AE93" s="879"/>
      <c r="AF93" s="879"/>
      <c r="AG93" s="879"/>
      <c r="AH93" s="879"/>
      <c r="AI93" s="879"/>
    </row>
    <row r="94" spans="1:35" x14ac:dyDescent="0.25">
      <c r="A94" s="876">
        <v>31600</v>
      </c>
      <c r="B94" s="873" t="s">
        <v>1307</v>
      </c>
      <c r="C94" s="873">
        <v>125968422</v>
      </c>
      <c r="D94" s="874">
        <v>96995534</v>
      </c>
      <c r="E94" s="874">
        <v>0</v>
      </c>
      <c r="F94" s="874">
        <v>0</v>
      </c>
      <c r="G94" s="874">
        <v>0</v>
      </c>
      <c r="H94" s="874">
        <v>2178915</v>
      </c>
      <c r="I94" s="874">
        <f t="shared" si="3"/>
        <v>2178915</v>
      </c>
      <c r="J94" s="874"/>
      <c r="K94" s="874">
        <v>6954758</v>
      </c>
      <c r="L94" s="874">
        <v>36048</v>
      </c>
      <c r="M94" s="874">
        <v>26712127</v>
      </c>
      <c r="N94" s="874">
        <v>0</v>
      </c>
      <c r="O94" s="874">
        <f t="shared" si="4"/>
        <v>33702933</v>
      </c>
      <c r="P94" s="874"/>
      <c r="Q94" s="874">
        <f t="shared" si="5"/>
        <v>4808883</v>
      </c>
      <c r="R94" s="874">
        <v>435781</v>
      </c>
      <c r="S94" s="874">
        <v>5244664</v>
      </c>
      <c r="T94" s="878"/>
      <c r="U94" s="878"/>
      <c r="V94" s="878"/>
      <c r="W94" s="878"/>
      <c r="X94" s="878"/>
      <c r="Y94" s="878"/>
      <c r="Z94" s="878"/>
      <c r="AA94" s="878"/>
      <c r="AB94" s="879"/>
      <c r="AC94" s="879"/>
      <c r="AD94" s="879"/>
      <c r="AE94" s="879"/>
      <c r="AF94" s="879"/>
      <c r="AG94" s="879"/>
      <c r="AH94" s="879"/>
      <c r="AI94" s="879"/>
    </row>
    <row r="95" spans="1:35" x14ac:dyDescent="0.25">
      <c r="A95" s="876">
        <v>31605</v>
      </c>
      <c r="B95" s="873" t="s">
        <v>1308</v>
      </c>
      <c r="C95" s="873">
        <v>17339407</v>
      </c>
      <c r="D95" s="874">
        <v>13399850</v>
      </c>
      <c r="E95" s="874">
        <v>0</v>
      </c>
      <c r="F95" s="874">
        <v>0</v>
      </c>
      <c r="G95" s="874">
        <v>0</v>
      </c>
      <c r="H95" s="874">
        <v>411275</v>
      </c>
      <c r="I95" s="874">
        <f t="shared" si="3"/>
        <v>411275</v>
      </c>
      <c r="J95" s="874"/>
      <c r="K95" s="874">
        <v>960794</v>
      </c>
      <c r="L95" s="874">
        <v>4980</v>
      </c>
      <c r="M95" s="874">
        <v>3690258</v>
      </c>
      <c r="N95" s="874">
        <v>0</v>
      </c>
      <c r="O95" s="874">
        <f t="shared" si="4"/>
        <v>4656032</v>
      </c>
      <c r="P95" s="874"/>
      <c r="Q95" s="874">
        <f t="shared" si="5"/>
        <v>664343</v>
      </c>
      <c r="R95" s="874">
        <v>82251</v>
      </c>
      <c r="S95" s="874">
        <v>746594</v>
      </c>
      <c r="T95" s="878"/>
      <c r="U95" s="878"/>
      <c r="V95" s="878"/>
      <c r="W95" s="878"/>
      <c r="X95" s="878"/>
      <c r="Y95" s="878"/>
      <c r="Z95" s="878"/>
      <c r="AA95" s="878"/>
      <c r="AB95" s="879"/>
      <c r="AC95" s="879"/>
      <c r="AD95" s="879"/>
      <c r="AE95" s="879"/>
      <c r="AF95" s="879"/>
      <c r="AG95" s="879"/>
      <c r="AH95" s="879"/>
      <c r="AI95" s="879"/>
    </row>
    <row r="96" spans="1:35" x14ac:dyDescent="0.25">
      <c r="A96" s="876">
        <v>31700</v>
      </c>
      <c r="B96" s="873" t="s">
        <v>1309</v>
      </c>
      <c r="C96" s="873">
        <v>36556086</v>
      </c>
      <c r="D96" s="874">
        <v>28983229</v>
      </c>
      <c r="E96" s="874">
        <v>0</v>
      </c>
      <c r="F96" s="874">
        <v>0</v>
      </c>
      <c r="G96" s="874">
        <v>0</v>
      </c>
      <c r="H96" s="874">
        <v>1600670</v>
      </c>
      <c r="I96" s="874">
        <f t="shared" si="3"/>
        <v>1600670</v>
      </c>
      <c r="J96" s="874"/>
      <c r="K96" s="874">
        <v>2078151</v>
      </c>
      <c r="L96" s="874">
        <v>10771</v>
      </c>
      <c r="M96" s="874">
        <v>7981849</v>
      </c>
      <c r="N96" s="874">
        <v>0</v>
      </c>
      <c r="O96" s="874">
        <f t="shared" si="4"/>
        <v>10070771</v>
      </c>
      <c r="P96" s="874"/>
      <c r="Q96" s="874">
        <f t="shared" si="5"/>
        <v>1436942</v>
      </c>
      <c r="R96" s="874">
        <v>320139</v>
      </c>
      <c r="S96" s="874">
        <v>1757081</v>
      </c>
      <c r="T96" s="878"/>
      <c r="U96" s="878"/>
      <c r="V96" s="878"/>
      <c r="W96" s="878"/>
      <c r="X96" s="878"/>
      <c r="Y96" s="878"/>
      <c r="Z96" s="878"/>
      <c r="AA96" s="878"/>
      <c r="AB96" s="879"/>
      <c r="AC96" s="879"/>
      <c r="AD96" s="879"/>
      <c r="AE96" s="879"/>
      <c r="AF96" s="879"/>
      <c r="AG96" s="879"/>
      <c r="AH96" s="879"/>
      <c r="AI96" s="879"/>
    </row>
    <row r="97" spans="1:35" x14ac:dyDescent="0.25">
      <c r="A97" s="876">
        <v>31800</v>
      </c>
      <c r="B97" s="873" t="s">
        <v>1310</v>
      </c>
      <c r="C97" s="873">
        <v>231756779</v>
      </c>
      <c r="D97" s="874">
        <v>175976272</v>
      </c>
      <c r="E97" s="874">
        <v>0</v>
      </c>
      <c r="F97" s="874">
        <v>0</v>
      </c>
      <c r="G97" s="874">
        <v>0</v>
      </c>
      <c r="H97" s="874">
        <v>1259915</v>
      </c>
      <c r="I97" s="874">
        <f t="shared" si="3"/>
        <v>1259915</v>
      </c>
      <c r="J97" s="874"/>
      <c r="K97" s="874">
        <v>12617822</v>
      </c>
      <c r="L97" s="874">
        <v>65400</v>
      </c>
      <c r="M97" s="874">
        <v>48463062</v>
      </c>
      <c r="N97" s="874">
        <v>0</v>
      </c>
      <c r="O97" s="874">
        <f t="shared" si="4"/>
        <v>61146284</v>
      </c>
      <c r="P97" s="874"/>
      <c r="Q97" s="874">
        <f t="shared" si="5"/>
        <v>8724621</v>
      </c>
      <c r="R97" s="874">
        <v>251978</v>
      </c>
      <c r="S97" s="874">
        <v>8976599</v>
      </c>
      <c r="T97" s="878"/>
      <c r="U97" s="878"/>
      <c r="V97" s="878"/>
      <c r="W97" s="878"/>
      <c r="X97" s="878"/>
      <c r="Y97" s="878"/>
      <c r="Z97" s="878"/>
      <c r="AA97" s="878"/>
      <c r="AB97" s="879"/>
      <c r="AC97" s="879"/>
      <c r="AD97" s="879"/>
      <c r="AE97" s="879"/>
      <c r="AF97" s="879"/>
      <c r="AG97" s="879"/>
      <c r="AH97" s="879"/>
      <c r="AI97" s="879"/>
    </row>
    <row r="98" spans="1:35" x14ac:dyDescent="0.25">
      <c r="A98" s="876">
        <v>31805</v>
      </c>
      <c r="B98" s="873" t="s">
        <v>1311</v>
      </c>
      <c r="C98" s="873">
        <v>43113012</v>
      </c>
      <c r="D98" s="874">
        <v>31904515</v>
      </c>
      <c r="E98" s="874">
        <v>0</v>
      </c>
      <c r="F98" s="874">
        <v>0</v>
      </c>
      <c r="G98" s="874">
        <v>0</v>
      </c>
      <c r="H98" s="874">
        <v>0</v>
      </c>
      <c r="I98" s="874">
        <f t="shared" si="3"/>
        <v>0</v>
      </c>
      <c r="J98" s="874"/>
      <c r="K98" s="874">
        <v>2287612</v>
      </c>
      <c r="L98" s="874">
        <v>11857</v>
      </c>
      <c r="M98" s="874">
        <v>8786358</v>
      </c>
      <c r="N98" s="874">
        <v>554860</v>
      </c>
      <c r="O98" s="874">
        <f t="shared" si="4"/>
        <v>11640687</v>
      </c>
      <c r="P98" s="874"/>
      <c r="Q98" s="874">
        <f t="shared" si="5"/>
        <v>1581775</v>
      </c>
      <c r="R98" s="874">
        <v>-110969</v>
      </c>
      <c r="S98" s="874">
        <v>1470806</v>
      </c>
      <c r="T98" s="878"/>
      <c r="U98" s="878"/>
      <c r="V98" s="878"/>
      <c r="W98" s="878"/>
      <c r="X98" s="878"/>
      <c r="Y98" s="878"/>
      <c r="Z98" s="878"/>
      <c r="AA98" s="878"/>
      <c r="AB98" s="879"/>
      <c r="AC98" s="879"/>
      <c r="AD98" s="879"/>
      <c r="AE98" s="879"/>
      <c r="AF98" s="879"/>
      <c r="AG98" s="879"/>
      <c r="AH98" s="879"/>
      <c r="AI98" s="879"/>
    </row>
    <row r="99" spans="1:35" x14ac:dyDescent="0.25">
      <c r="A99" s="876">
        <v>31810</v>
      </c>
      <c r="B99" s="873" t="s">
        <v>1312</v>
      </c>
      <c r="C99" s="873">
        <v>57585964</v>
      </c>
      <c r="D99" s="874">
        <v>45773929</v>
      </c>
      <c r="E99" s="874">
        <v>0</v>
      </c>
      <c r="F99" s="874">
        <v>0</v>
      </c>
      <c r="G99" s="874">
        <v>0</v>
      </c>
      <c r="H99" s="874">
        <v>2550165</v>
      </c>
      <c r="I99" s="874">
        <f t="shared" si="3"/>
        <v>2550165</v>
      </c>
      <c r="J99" s="874"/>
      <c r="K99" s="874">
        <v>3282075</v>
      </c>
      <c r="L99" s="874">
        <v>17012</v>
      </c>
      <c r="M99" s="874">
        <v>12605931</v>
      </c>
      <c r="N99" s="874">
        <v>0</v>
      </c>
      <c r="O99" s="874">
        <f t="shared" si="4"/>
        <v>15905018</v>
      </c>
      <c r="P99" s="874"/>
      <c r="Q99" s="874">
        <f t="shared" si="5"/>
        <v>2269398</v>
      </c>
      <c r="R99" s="874">
        <v>510029</v>
      </c>
      <c r="S99" s="874">
        <v>2779427</v>
      </c>
      <c r="T99" s="878"/>
      <c r="U99" s="878"/>
      <c r="V99" s="878"/>
      <c r="W99" s="878"/>
      <c r="X99" s="878"/>
      <c r="Y99" s="878"/>
      <c r="Z99" s="878"/>
      <c r="AA99" s="878"/>
      <c r="AB99" s="879"/>
      <c r="AC99" s="879"/>
      <c r="AD99" s="879"/>
      <c r="AE99" s="879"/>
      <c r="AF99" s="879"/>
      <c r="AG99" s="879"/>
      <c r="AH99" s="879"/>
      <c r="AI99" s="879"/>
    </row>
    <row r="100" spans="1:35" x14ac:dyDescent="0.25">
      <c r="A100" s="876">
        <v>31820</v>
      </c>
      <c r="B100" s="873" t="s">
        <v>1313</v>
      </c>
      <c r="C100" s="873">
        <v>51377674</v>
      </c>
      <c r="D100" s="874">
        <v>38366389</v>
      </c>
      <c r="E100" s="874">
        <v>0</v>
      </c>
      <c r="F100" s="874">
        <v>0</v>
      </c>
      <c r="G100" s="874">
        <v>0</v>
      </c>
      <c r="H100" s="874">
        <v>0</v>
      </c>
      <c r="I100" s="874">
        <f t="shared" si="3"/>
        <v>0</v>
      </c>
      <c r="J100" s="874"/>
      <c r="K100" s="874">
        <v>2750941</v>
      </c>
      <c r="L100" s="874">
        <v>14259</v>
      </c>
      <c r="M100" s="874">
        <v>10565928</v>
      </c>
      <c r="N100" s="874">
        <v>471750</v>
      </c>
      <c r="O100" s="874">
        <f t="shared" si="4"/>
        <v>13802878</v>
      </c>
      <c r="P100" s="874"/>
      <c r="Q100" s="874">
        <f t="shared" si="5"/>
        <v>1902144</v>
      </c>
      <c r="R100" s="874">
        <v>-94345</v>
      </c>
      <c r="S100" s="874">
        <v>1807799</v>
      </c>
      <c r="T100" s="878"/>
      <c r="U100" s="878"/>
      <c r="V100" s="878"/>
      <c r="W100" s="878"/>
      <c r="X100" s="878"/>
      <c r="Y100" s="878"/>
      <c r="Z100" s="878"/>
      <c r="AA100" s="878"/>
      <c r="AB100" s="879"/>
      <c r="AC100" s="879"/>
      <c r="AD100" s="879"/>
      <c r="AE100" s="879"/>
      <c r="AF100" s="879"/>
      <c r="AG100" s="879"/>
      <c r="AH100" s="879"/>
      <c r="AI100" s="879"/>
    </row>
    <row r="101" spans="1:35" x14ac:dyDescent="0.25">
      <c r="A101" s="876">
        <v>31900</v>
      </c>
      <c r="B101" s="873" t="s">
        <v>1314</v>
      </c>
      <c r="C101" s="873">
        <v>135306096</v>
      </c>
      <c r="D101" s="874">
        <v>108008700</v>
      </c>
      <c r="E101" s="874">
        <v>0</v>
      </c>
      <c r="F101" s="874">
        <v>0</v>
      </c>
      <c r="G101" s="874">
        <v>0</v>
      </c>
      <c r="H101" s="874">
        <v>6479740</v>
      </c>
      <c r="I101" s="874">
        <f t="shared" si="3"/>
        <v>6479740</v>
      </c>
      <c r="J101" s="874"/>
      <c r="K101" s="874">
        <v>7744422</v>
      </c>
      <c r="L101" s="874">
        <v>40141</v>
      </c>
      <c r="M101" s="874">
        <v>29745103</v>
      </c>
      <c r="N101" s="874">
        <v>0</v>
      </c>
      <c r="O101" s="874">
        <f t="shared" si="4"/>
        <v>37529666</v>
      </c>
      <c r="P101" s="874"/>
      <c r="Q101" s="874">
        <f t="shared" si="5"/>
        <v>5354898</v>
      </c>
      <c r="R101" s="874">
        <v>1295944</v>
      </c>
      <c r="S101" s="874">
        <v>6650842</v>
      </c>
      <c r="T101" s="878"/>
      <c r="U101" s="878"/>
      <c r="V101" s="878"/>
      <c r="W101" s="878"/>
      <c r="X101" s="878"/>
      <c r="Y101" s="878"/>
      <c r="Z101" s="878"/>
      <c r="AA101" s="878"/>
      <c r="AB101" s="879"/>
      <c r="AC101" s="879"/>
      <c r="AD101" s="879"/>
      <c r="AE101" s="879"/>
      <c r="AF101" s="879"/>
      <c r="AG101" s="879"/>
      <c r="AH101" s="879"/>
      <c r="AI101" s="879"/>
    </row>
    <row r="102" spans="1:35" x14ac:dyDescent="0.25">
      <c r="A102" s="876">
        <v>32000</v>
      </c>
      <c r="B102" s="873" t="s">
        <v>1315</v>
      </c>
      <c r="C102" s="873">
        <v>54391589</v>
      </c>
      <c r="D102" s="874">
        <v>43299637</v>
      </c>
      <c r="E102" s="874">
        <v>0</v>
      </c>
      <c r="F102" s="874">
        <v>0</v>
      </c>
      <c r="G102" s="874">
        <v>0</v>
      </c>
      <c r="H102" s="874">
        <v>2498425</v>
      </c>
      <c r="I102" s="874">
        <f t="shared" si="3"/>
        <v>2498425</v>
      </c>
      <c r="J102" s="874"/>
      <c r="K102" s="874">
        <v>3104664</v>
      </c>
      <c r="L102" s="874">
        <v>16092</v>
      </c>
      <c r="M102" s="874">
        <v>11924522</v>
      </c>
      <c r="N102" s="874">
        <v>0</v>
      </c>
      <c r="O102" s="874">
        <f t="shared" si="4"/>
        <v>15045278</v>
      </c>
      <c r="P102" s="874"/>
      <c r="Q102" s="874">
        <f t="shared" si="5"/>
        <v>2146726</v>
      </c>
      <c r="R102" s="874">
        <v>499686</v>
      </c>
      <c r="S102" s="874">
        <v>2646412</v>
      </c>
      <c r="T102" s="878"/>
      <c r="U102" s="878"/>
      <c r="V102" s="878"/>
      <c r="W102" s="878"/>
      <c r="X102" s="878"/>
      <c r="Y102" s="878"/>
      <c r="Z102" s="878"/>
      <c r="AA102" s="878"/>
      <c r="AB102" s="879"/>
      <c r="AC102" s="879"/>
      <c r="AD102" s="879"/>
      <c r="AE102" s="879"/>
      <c r="AF102" s="879"/>
      <c r="AG102" s="879"/>
      <c r="AH102" s="879"/>
      <c r="AI102" s="879"/>
    </row>
    <row r="103" spans="1:35" x14ac:dyDescent="0.25">
      <c r="A103" s="876">
        <v>32005</v>
      </c>
      <c r="B103" s="873" t="s">
        <v>1316</v>
      </c>
      <c r="C103" s="873">
        <v>12266312</v>
      </c>
      <c r="D103" s="874">
        <v>8916042</v>
      </c>
      <c r="E103" s="874">
        <v>0</v>
      </c>
      <c r="F103" s="874">
        <v>0</v>
      </c>
      <c r="G103" s="874">
        <v>0</v>
      </c>
      <c r="H103" s="874">
        <v>0</v>
      </c>
      <c r="I103" s="874">
        <f t="shared" si="3"/>
        <v>0</v>
      </c>
      <c r="J103" s="874"/>
      <c r="K103" s="874">
        <v>639297</v>
      </c>
      <c r="L103" s="874">
        <v>3314</v>
      </c>
      <c r="M103" s="874">
        <v>2455437</v>
      </c>
      <c r="N103" s="874">
        <v>331200</v>
      </c>
      <c r="O103" s="874">
        <f t="shared" si="4"/>
        <v>3429248</v>
      </c>
      <c r="P103" s="874"/>
      <c r="Q103" s="874">
        <f t="shared" si="5"/>
        <v>442043</v>
      </c>
      <c r="R103" s="874">
        <v>-66240</v>
      </c>
      <c r="S103" s="874">
        <v>375803</v>
      </c>
      <c r="T103" s="878"/>
      <c r="U103" s="878"/>
      <c r="V103" s="878"/>
      <c r="W103" s="878"/>
      <c r="X103" s="878"/>
      <c r="Y103" s="878"/>
      <c r="Z103" s="878"/>
      <c r="AA103" s="878"/>
      <c r="AB103" s="879"/>
      <c r="AC103" s="879"/>
      <c r="AD103" s="879"/>
      <c r="AE103" s="879"/>
      <c r="AF103" s="879"/>
      <c r="AG103" s="879"/>
      <c r="AH103" s="879"/>
      <c r="AI103" s="879"/>
    </row>
    <row r="104" spans="1:35" x14ac:dyDescent="0.25">
      <c r="A104" s="876">
        <v>32100</v>
      </c>
      <c r="B104" s="873" t="s">
        <v>1317</v>
      </c>
      <c r="C104" s="873">
        <v>33917452</v>
      </c>
      <c r="D104" s="874">
        <v>24876632</v>
      </c>
      <c r="E104" s="874">
        <v>0</v>
      </c>
      <c r="F104" s="874">
        <v>0</v>
      </c>
      <c r="G104" s="874">
        <v>0</v>
      </c>
      <c r="H104" s="874">
        <v>0</v>
      </c>
      <c r="I104" s="874">
        <f t="shared" si="3"/>
        <v>0</v>
      </c>
      <c r="J104" s="874"/>
      <c r="K104" s="874">
        <v>1783700</v>
      </c>
      <c r="L104" s="874">
        <v>9245</v>
      </c>
      <c r="M104" s="874">
        <v>6850911</v>
      </c>
      <c r="N104" s="874">
        <v>754350</v>
      </c>
      <c r="O104" s="874">
        <f t="shared" si="4"/>
        <v>9398206</v>
      </c>
      <c r="P104" s="874"/>
      <c r="Q104" s="874">
        <f t="shared" si="5"/>
        <v>1233343</v>
      </c>
      <c r="R104" s="874">
        <v>-150872</v>
      </c>
      <c r="S104" s="874">
        <v>1082471</v>
      </c>
      <c r="T104" s="878"/>
      <c r="U104" s="878"/>
      <c r="V104" s="878"/>
      <c r="W104" s="878"/>
      <c r="X104" s="878"/>
      <c r="Y104" s="878"/>
      <c r="Z104" s="878"/>
      <c r="AA104" s="878"/>
      <c r="AB104" s="879"/>
      <c r="AC104" s="879"/>
      <c r="AD104" s="879"/>
      <c r="AE104" s="879"/>
      <c r="AF104" s="879"/>
      <c r="AG104" s="879"/>
      <c r="AH104" s="879"/>
      <c r="AI104" s="879"/>
    </row>
    <row r="105" spans="1:35" x14ac:dyDescent="0.25">
      <c r="A105" s="876">
        <v>32200</v>
      </c>
      <c r="B105" s="873" t="s">
        <v>1318</v>
      </c>
      <c r="C105" s="873">
        <v>20880154</v>
      </c>
      <c r="D105" s="874">
        <v>16039045</v>
      </c>
      <c r="E105" s="874">
        <v>0</v>
      </c>
      <c r="F105" s="874">
        <v>0</v>
      </c>
      <c r="G105" s="874">
        <v>0</v>
      </c>
      <c r="H105" s="874">
        <v>334140</v>
      </c>
      <c r="I105" s="874">
        <f t="shared" si="3"/>
        <v>334140</v>
      </c>
      <c r="J105" s="874"/>
      <c r="K105" s="874">
        <v>1150029</v>
      </c>
      <c r="L105" s="874">
        <v>5961</v>
      </c>
      <c r="M105" s="874">
        <v>4417080</v>
      </c>
      <c r="N105" s="874">
        <v>0</v>
      </c>
      <c r="O105" s="874">
        <f t="shared" si="4"/>
        <v>5573070</v>
      </c>
      <c r="P105" s="874"/>
      <c r="Q105" s="874">
        <f t="shared" si="5"/>
        <v>795190</v>
      </c>
      <c r="R105" s="874">
        <v>66824</v>
      </c>
      <c r="S105" s="874">
        <v>862014</v>
      </c>
      <c r="T105" s="878"/>
      <c r="U105" s="878"/>
      <c r="V105" s="878"/>
      <c r="W105" s="878"/>
      <c r="X105" s="878"/>
      <c r="Y105" s="878"/>
      <c r="Z105" s="878"/>
      <c r="AA105" s="878"/>
      <c r="AB105" s="879"/>
      <c r="AC105" s="879"/>
      <c r="AD105" s="879"/>
      <c r="AE105" s="879"/>
      <c r="AF105" s="879"/>
      <c r="AG105" s="879"/>
      <c r="AH105" s="879"/>
      <c r="AI105" s="879"/>
    </row>
    <row r="106" spans="1:35" x14ac:dyDescent="0.25">
      <c r="A106" s="876">
        <v>32300</v>
      </c>
      <c r="B106" s="873" t="s">
        <v>1319</v>
      </c>
      <c r="C106" s="873">
        <v>237332982</v>
      </c>
      <c r="D106" s="874">
        <v>184560641</v>
      </c>
      <c r="E106" s="874">
        <v>0</v>
      </c>
      <c r="F106" s="874">
        <v>0</v>
      </c>
      <c r="G106" s="874">
        <v>0</v>
      </c>
      <c r="H106" s="874">
        <v>5954220</v>
      </c>
      <c r="I106" s="874">
        <f t="shared" si="3"/>
        <v>5954220</v>
      </c>
      <c r="J106" s="874"/>
      <c r="K106" s="874">
        <v>13233337</v>
      </c>
      <c r="L106" s="874">
        <v>68591</v>
      </c>
      <c r="M106" s="874">
        <v>50827158</v>
      </c>
      <c r="N106" s="874">
        <v>0</v>
      </c>
      <c r="O106" s="874">
        <f t="shared" si="4"/>
        <v>64129086</v>
      </c>
      <c r="P106" s="874"/>
      <c r="Q106" s="874">
        <f t="shared" si="5"/>
        <v>9150220</v>
      </c>
      <c r="R106" s="874">
        <v>1190843</v>
      </c>
      <c r="S106" s="874">
        <v>10341063</v>
      </c>
      <c r="T106" s="878"/>
      <c r="U106" s="878"/>
      <c r="V106" s="878"/>
      <c r="W106" s="878"/>
      <c r="X106" s="878"/>
      <c r="Y106" s="878"/>
      <c r="Z106" s="878"/>
      <c r="AA106" s="878"/>
      <c r="AB106" s="879"/>
      <c r="AC106" s="879"/>
      <c r="AD106" s="879"/>
      <c r="AE106" s="879"/>
      <c r="AF106" s="879"/>
      <c r="AG106" s="879"/>
      <c r="AH106" s="879"/>
      <c r="AI106" s="879"/>
    </row>
    <row r="107" spans="1:35" x14ac:dyDescent="0.25">
      <c r="A107" s="876">
        <v>32305</v>
      </c>
      <c r="B107" s="873" t="s">
        <v>1320</v>
      </c>
      <c r="C107" s="873">
        <v>24387852</v>
      </c>
      <c r="D107" s="874">
        <v>18149963</v>
      </c>
      <c r="E107" s="874">
        <v>0</v>
      </c>
      <c r="F107" s="874">
        <v>0</v>
      </c>
      <c r="G107" s="874">
        <v>0</v>
      </c>
      <c r="H107" s="874">
        <v>0</v>
      </c>
      <c r="I107" s="874">
        <f t="shared" si="3"/>
        <v>0</v>
      </c>
      <c r="J107" s="874"/>
      <c r="K107" s="874">
        <v>1301386</v>
      </c>
      <c r="L107" s="874">
        <v>6745</v>
      </c>
      <c r="M107" s="874">
        <v>4998417</v>
      </c>
      <c r="N107" s="874">
        <v>209785</v>
      </c>
      <c r="O107" s="874">
        <f t="shared" si="4"/>
        <v>6516333</v>
      </c>
      <c r="P107" s="874"/>
      <c r="Q107" s="874">
        <f t="shared" si="5"/>
        <v>899846</v>
      </c>
      <c r="R107" s="874">
        <v>-41958</v>
      </c>
      <c r="S107" s="874">
        <v>857888</v>
      </c>
      <c r="T107" s="878"/>
      <c r="U107" s="878"/>
      <c r="V107" s="878"/>
      <c r="W107" s="878"/>
      <c r="X107" s="878"/>
      <c r="Y107" s="878"/>
      <c r="Z107" s="878"/>
      <c r="AA107" s="878"/>
      <c r="AB107" s="879"/>
      <c r="AC107" s="879"/>
      <c r="AD107" s="879"/>
      <c r="AE107" s="879"/>
      <c r="AF107" s="879"/>
      <c r="AG107" s="879"/>
      <c r="AH107" s="879"/>
      <c r="AI107" s="879"/>
    </row>
    <row r="108" spans="1:35" x14ac:dyDescent="0.25">
      <c r="A108" s="876">
        <v>32400</v>
      </c>
      <c r="B108" s="873" t="s">
        <v>1321</v>
      </c>
      <c r="C108" s="873">
        <v>84064050</v>
      </c>
      <c r="D108" s="874">
        <v>65370641</v>
      </c>
      <c r="E108" s="874">
        <v>0</v>
      </c>
      <c r="F108" s="874">
        <v>0</v>
      </c>
      <c r="G108" s="874">
        <v>0</v>
      </c>
      <c r="H108" s="874">
        <v>2245645</v>
      </c>
      <c r="I108" s="874">
        <f t="shared" si="3"/>
        <v>2245645</v>
      </c>
      <c r="J108" s="874"/>
      <c r="K108" s="874">
        <v>4687195</v>
      </c>
      <c r="L108" s="874">
        <v>24295</v>
      </c>
      <c r="M108" s="874">
        <v>18002776</v>
      </c>
      <c r="N108" s="874">
        <v>0</v>
      </c>
      <c r="O108" s="874">
        <f t="shared" si="4"/>
        <v>22714266</v>
      </c>
      <c r="P108" s="874"/>
      <c r="Q108" s="874">
        <f t="shared" si="5"/>
        <v>3240971</v>
      </c>
      <c r="R108" s="874">
        <v>449128</v>
      </c>
      <c r="S108" s="874">
        <v>3690099</v>
      </c>
      <c r="T108" s="878"/>
      <c r="U108" s="878"/>
      <c r="V108" s="878"/>
      <c r="W108" s="878"/>
      <c r="X108" s="878"/>
      <c r="Y108" s="878"/>
      <c r="Z108" s="878"/>
      <c r="AA108" s="878"/>
      <c r="AB108" s="879"/>
      <c r="AC108" s="879"/>
      <c r="AD108" s="879"/>
      <c r="AE108" s="879"/>
      <c r="AF108" s="879"/>
      <c r="AG108" s="879"/>
      <c r="AH108" s="879"/>
      <c r="AI108" s="879"/>
    </row>
    <row r="109" spans="1:35" x14ac:dyDescent="0.25">
      <c r="A109" s="876">
        <v>32405</v>
      </c>
      <c r="B109" s="873" t="s">
        <v>1322</v>
      </c>
      <c r="C109" s="873">
        <v>21011016</v>
      </c>
      <c r="D109" s="874">
        <v>15832522</v>
      </c>
      <c r="E109" s="874">
        <v>0</v>
      </c>
      <c r="F109" s="874">
        <v>0</v>
      </c>
      <c r="G109" s="874">
        <v>0</v>
      </c>
      <c r="H109" s="874">
        <v>46580</v>
      </c>
      <c r="I109" s="874">
        <f t="shared" si="3"/>
        <v>46580</v>
      </c>
      <c r="J109" s="874"/>
      <c r="K109" s="874">
        <v>1135221</v>
      </c>
      <c r="L109" s="874">
        <v>5884</v>
      </c>
      <c r="M109" s="874">
        <v>4360204</v>
      </c>
      <c r="N109" s="874">
        <v>0</v>
      </c>
      <c r="O109" s="874">
        <f t="shared" si="4"/>
        <v>5501309</v>
      </c>
      <c r="P109" s="874"/>
      <c r="Q109" s="874">
        <f t="shared" si="5"/>
        <v>784951</v>
      </c>
      <c r="R109" s="874">
        <v>9316</v>
      </c>
      <c r="S109" s="874">
        <v>794267</v>
      </c>
      <c r="T109" s="878"/>
      <c r="U109" s="878"/>
      <c r="V109" s="878"/>
      <c r="W109" s="878"/>
      <c r="X109" s="878"/>
      <c r="Y109" s="878"/>
      <c r="Z109" s="878"/>
      <c r="AA109" s="878"/>
      <c r="AB109" s="879"/>
      <c r="AC109" s="879"/>
      <c r="AD109" s="879"/>
      <c r="AE109" s="879"/>
      <c r="AF109" s="879"/>
      <c r="AG109" s="879"/>
      <c r="AH109" s="879"/>
      <c r="AI109" s="879"/>
    </row>
    <row r="110" spans="1:35" x14ac:dyDescent="0.25">
      <c r="A110" s="876">
        <v>32410</v>
      </c>
      <c r="B110" s="873" t="s">
        <v>1323</v>
      </c>
      <c r="C110" s="873">
        <v>33480925</v>
      </c>
      <c r="D110" s="874">
        <v>25336229</v>
      </c>
      <c r="E110" s="874">
        <v>0</v>
      </c>
      <c r="F110" s="874">
        <v>0</v>
      </c>
      <c r="G110" s="874">
        <v>0</v>
      </c>
      <c r="H110" s="874">
        <v>134205</v>
      </c>
      <c r="I110" s="874">
        <f t="shared" si="3"/>
        <v>134205</v>
      </c>
      <c r="J110" s="874"/>
      <c r="K110" s="874">
        <v>1816654</v>
      </c>
      <c r="L110" s="874">
        <v>9416</v>
      </c>
      <c r="M110" s="874">
        <v>6977482</v>
      </c>
      <c r="N110" s="874">
        <v>0</v>
      </c>
      <c r="O110" s="874">
        <f t="shared" si="4"/>
        <v>8803552</v>
      </c>
      <c r="P110" s="874"/>
      <c r="Q110" s="874">
        <f t="shared" si="5"/>
        <v>1256130</v>
      </c>
      <c r="R110" s="874">
        <v>26837</v>
      </c>
      <c r="S110" s="874">
        <v>1282967</v>
      </c>
      <c r="T110" s="878"/>
      <c r="U110" s="878"/>
      <c r="V110" s="878"/>
      <c r="W110" s="878"/>
      <c r="X110" s="878"/>
      <c r="Y110" s="878"/>
      <c r="Z110" s="878"/>
      <c r="AA110" s="878"/>
      <c r="AB110" s="879"/>
      <c r="AC110" s="879"/>
      <c r="AD110" s="879"/>
      <c r="AE110" s="879"/>
      <c r="AF110" s="879"/>
      <c r="AG110" s="879"/>
      <c r="AH110" s="879"/>
      <c r="AI110" s="879"/>
    </row>
    <row r="111" spans="1:35" x14ac:dyDescent="0.25">
      <c r="A111" s="876">
        <v>32500</v>
      </c>
      <c r="B111" s="873" t="s">
        <v>1324</v>
      </c>
      <c r="C111" s="873">
        <v>191972313</v>
      </c>
      <c r="D111" s="874">
        <v>143473565</v>
      </c>
      <c r="E111" s="874">
        <v>0</v>
      </c>
      <c r="F111" s="874">
        <v>0</v>
      </c>
      <c r="G111" s="874">
        <v>0</v>
      </c>
      <c r="H111" s="874">
        <v>0</v>
      </c>
      <c r="I111" s="874">
        <f t="shared" si="3"/>
        <v>0</v>
      </c>
      <c r="J111" s="874"/>
      <c r="K111" s="874">
        <v>10287319</v>
      </c>
      <c r="L111" s="874">
        <v>53321</v>
      </c>
      <c r="M111" s="874">
        <v>39511965</v>
      </c>
      <c r="N111" s="874">
        <v>1525485</v>
      </c>
      <c r="O111" s="874">
        <f t="shared" si="4"/>
        <v>51378090</v>
      </c>
      <c r="P111" s="874"/>
      <c r="Q111" s="874">
        <f t="shared" si="5"/>
        <v>7113189</v>
      </c>
      <c r="R111" s="874">
        <v>-305098</v>
      </c>
      <c r="S111" s="874">
        <v>6808091</v>
      </c>
      <c r="T111" s="878"/>
      <c r="U111" s="878"/>
      <c r="V111" s="878"/>
      <c r="W111" s="878"/>
      <c r="X111" s="878"/>
      <c r="Y111" s="878"/>
      <c r="Z111" s="878"/>
      <c r="AA111" s="878"/>
      <c r="AB111" s="879"/>
      <c r="AC111" s="879"/>
      <c r="AD111" s="879"/>
      <c r="AE111" s="879"/>
      <c r="AF111" s="879"/>
      <c r="AG111" s="879"/>
      <c r="AH111" s="879"/>
      <c r="AI111" s="879"/>
    </row>
    <row r="112" spans="1:35" x14ac:dyDescent="0.25">
      <c r="A112" s="876">
        <v>32505</v>
      </c>
      <c r="B112" s="873" t="s">
        <v>1325</v>
      </c>
      <c r="C112" s="873">
        <v>27995425</v>
      </c>
      <c r="D112" s="874">
        <v>19961169</v>
      </c>
      <c r="E112" s="874">
        <v>0</v>
      </c>
      <c r="F112" s="874">
        <v>0</v>
      </c>
      <c r="G112" s="874">
        <v>0</v>
      </c>
      <c r="H112" s="874">
        <v>0</v>
      </c>
      <c r="I112" s="874">
        <f t="shared" si="3"/>
        <v>0</v>
      </c>
      <c r="J112" s="874"/>
      <c r="K112" s="874">
        <v>1431253</v>
      </c>
      <c r="L112" s="874">
        <v>7418</v>
      </c>
      <c r="M112" s="874">
        <v>5497215</v>
      </c>
      <c r="N112" s="874">
        <v>1202670</v>
      </c>
      <c r="O112" s="874">
        <f t="shared" si="4"/>
        <v>8138556</v>
      </c>
      <c r="P112" s="874"/>
      <c r="Q112" s="874">
        <f t="shared" si="5"/>
        <v>989643</v>
      </c>
      <c r="R112" s="874">
        <v>-240535</v>
      </c>
      <c r="S112" s="874">
        <v>749108</v>
      </c>
      <c r="T112" s="878"/>
      <c r="U112" s="878"/>
      <c r="V112" s="878"/>
      <c r="W112" s="878"/>
      <c r="X112" s="878"/>
      <c r="Y112" s="878"/>
      <c r="Z112" s="878"/>
      <c r="AA112" s="878"/>
      <c r="AB112" s="879"/>
      <c r="AC112" s="879"/>
      <c r="AD112" s="879"/>
      <c r="AE112" s="879"/>
      <c r="AF112" s="879"/>
      <c r="AG112" s="879"/>
      <c r="AH112" s="879"/>
      <c r="AI112" s="879"/>
    </row>
    <row r="113" spans="1:35" x14ac:dyDescent="0.25">
      <c r="A113" s="876">
        <v>32600</v>
      </c>
      <c r="B113" s="873" t="s">
        <v>1326</v>
      </c>
      <c r="C113" s="873">
        <v>689415246</v>
      </c>
      <c r="D113" s="874">
        <v>518296049</v>
      </c>
      <c r="E113" s="874">
        <v>0</v>
      </c>
      <c r="F113" s="874">
        <v>0</v>
      </c>
      <c r="G113" s="874">
        <v>0</v>
      </c>
      <c r="H113" s="874">
        <v>0</v>
      </c>
      <c r="I113" s="874">
        <f t="shared" si="3"/>
        <v>0</v>
      </c>
      <c r="J113" s="874"/>
      <c r="K113" s="874">
        <v>37162780</v>
      </c>
      <c r="L113" s="874">
        <v>192621</v>
      </c>
      <c r="M113" s="874">
        <v>142736366</v>
      </c>
      <c r="N113" s="874">
        <v>2080300</v>
      </c>
      <c r="O113" s="874">
        <f t="shared" si="4"/>
        <v>182172067</v>
      </c>
      <c r="P113" s="874"/>
      <c r="Q113" s="874">
        <f t="shared" si="5"/>
        <v>25696286</v>
      </c>
      <c r="R113" s="874">
        <v>-416061</v>
      </c>
      <c r="S113" s="874">
        <v>25280225</v>
      </c>
      <c r="T113" s="878"/>
      <c r="U113" s="878"/>
      <c r="V113" s="878"/>
      <c r="W113" s="878"/>
      <c r="X113" s="878"/>
      <c r="Y113" s="878"/>
      <c r="Z113" s="878"/>
      <c r="AA113" s="878"/>
      <c r="AB113" s="879"/>
      <c r="AC113" s="879"/>
      <c r="AD113" s="879"/>
      <c r="AE113" s="879"/>
      <c r="AF113" s="879"/>
      <c r="AG113" s="879"/>
      <c r="AH113" s="879"/>
      <c r="AI113" s="879"/>
    </row>
    <row r="114" spans="1:35" x14ac:dyDescent="0.25">
      <c r="A114" s="876">
        <v>32605</v>
      </c>
      <c r="B114" s="873" t="s">
        <v>1327</v>
      </c>
      <c r="C114" s="873">
        <v>98040391</v>
      </c>
      <c r="D114" s="874">
        <v>69265469</v>
      </c>
      <c r="E114" s="874">
        <v>0</v>
      </c>
      <c r="F114" s="874">
        <v>0</v>
      </c>
      <c r="G114" s="874">
        <v>0</v>
      </c>
      <c r="H114" s="874">
        <v>0</v>
      </c>
      <c r="I114" s="874">
        <f t="shared" si="3"/>
        <v>0</v>
      </c>
      <c r="J114" s="874"/>
      <c r="K114" s="874">
        <v>4966462</v>
      </c>
      <c r="L114" s="874">
        <v>25742</v>
      </c>
      <c r="M114" s="874">
        <v>19075394</v>
      </c>
      <c r="N114" s="874">
        <v>4888195</v>
      </c>
      <c r="O114" s="874">
        <f t="shared" si="4"/>
        <v>28955793</v>
      </c>
      <c r="P114" s="874"/>
      <c r="Q114" s="874">
        <f t="shared" si="5"/>
        <v>3434071</v>
      </c>
      <c r="R114" s="874">
        <v>-977641</v>
      </c>
      <c r="S114" s="874">
        <v>2456430</v>
      </c>
      <c r="T114" s="878"/>
      <c r="U114" s="878"/>
      <c r="V114" s="878"/>
      <c r="W114" s="878"/>
      <c r="X114" s="878"/>
      <c r="Y114" s="878"/>
      <c r="Z114" s="878"/>
      <c r="AA114" s="878"/>
      <c r="AB114" s="879"/>
      <c r="AC114" s="879"/>
      <c r="AD114" s="879"/>
      <c r="AE114" s="879"/>
      <c r="AF114" s="879"/>
      <c r="AG114" s="879"/>
      <c r="AH114" s="879"/>
      <c r="AI114" s="879"/>
    </row>
    <row r="115" spans="1:35" x14ac:dyDescent="0.25">
      <c r="A115" s="876">
        <v>32700</v>
      </c>
      <c r="B115" s="873" t="s">
        <v>1328</v>
      </c>
      <c r="C115" s="873">
        <v>58639802</v>
      </c>
      <c r="D115" s="874">
        <v>46900827</v>
      </c>
      <c r="E115" s="874">
        <v>0</v>
      </c>
      <c r="F115" s="874">
        <v>0</v>
      </c>
      <c r="G115" s="874">
        <v>0</v>
      </c>
      <c r="H115" s="874">
        <v>2959870</v>
      </c>
      <c r="I115" s="874">
        <f t="shared" si="3"/>
        <v>2959870</v>
      </c>
      <c r="J115" s="874"/>
      <c r="K115" s="874">
        <v>3362876</v>
      </c>
      <c r="L115" s="874">
        <v>17430</v>
      </c>
      <c r="M115" s="874">
        <v>12916274</v>
      </c>
      <c r="N115" s="874">
        <v>0</v>
      </c>
      <c r="O115" s="874">
        <f t="shared" si="4"/>
        <v>16296580</v>
      </c>
      <c r="P115" s="874"/>
      <c r="Q115" s="874">
        <f t="shared" si="5"/>
        <v>2325268</v>
      </c>
      <c r="R115" s="874">
        <v>591975</v>
      </c>
      <c r="S115" s="874">
        <v>2917243</v>
      </c>
      <c r="T115" s="878"/>
      <c r="U115" s="878"/>
      <c r="V115" s="878"/>
      <c r="W115" s="878"/>
      <c r="X115" s="878"/>
      <c r="Y115" s="878"/>
      <c r="Z115" s="878"/>
      <c r="AA115" s="878"/>
      <c r="AB115" s="879"/>
      <c r="AC115" s="879"/>
      <c r="AD115" s="879"/>
      <c r="AE115" s="879"/>
      <c r="AF115" s="879"/>
      <c r="AG115" s="879"/>
      <c r="AH115" s="879"/>
      <c r="AI115" s="879"/>
    </row>
    <row r="116" spans="1:35" x14ac:dyDescent="0.25">
      <c r="A116" s="876">
        <v>32800</v>
      </c>
      <c r="B116" s="873" t="s">
        <v>1329</v>
      </c>
      <c r="C116" s="873">
        <v>78609531</v>
      </c>
      <c r="D116" s="874">
        <v>61923558</v>
      </c>
      <c r="E116" s="874">
        <v>0</v>
      </c>
      <c r="F116" s="874">
        <v>0</v>
      </c>
      <c r="G116" s="874">
        <v>0</v>
      </c>
      <c r="H116" s="874">
        <v>3084555</v>
      </c>
      <c r="I116" s="874">
        <f t="shared" si="3"/>
        <v>3084555</v>
      </c>
      <c r="J116" s="874"/>
      <c r="K116" s="874">
        <v>4440033</v>
      </c>
      <c r="L116" s="874">
        <v>23013</v>
      </c>
      <c r="M116" s="874">
        <v>17053465</v>
      </c>
      <c r="N116" s="874">
        <v>0</v>
      </c>
      <c r="O116" s="874">
        <f t="shared" si="4"/>
        <v>21516511</v>
      </c>
      <c r="P116" s="874"/>
      <c r="Q116" s="874">
        <f t="shared" si="5"/>
        <v>3070071</v>
      </c>
      <c r="R116" s="874">
        <v>616909</v>
      </c>
      <c r="S116" s="874">
        <v>3686980</v>
      </c>
      <c r="T116" s="878"/>
      <c r="U116" s="878"/>
      <c r="V116" s="878"/>
      <c r="W116" s="878"/>
      <c r="X116" s="878"/>
      <c r="Y116" s="878"/>
      <c r="Z116" s="878"/>
      <c r="AA116" s="878"/>
      <c r="AB116" s="879"/>
      <c r="AC116" s="879"/>
      <c r="AD116" s="879"/>
      <c r="AE116" s="879"/>
      <c r="AF116" s="879"/>
      <c r="AG116" s="879"/>
      <c r="AH116" s="879"/>
      <c r="AI116" s="879"/>
    </row>
    <row r="117" spans="1:35" x14ac:dyDescent="0.25">
      <c r="A117" s="876">
        <v>32900</v>
      </c>
      <c r="B117" s="873" t="s">
        <v>1330</v>
      </c>
      <c r="C117" s="873">
        <v>250186179</v>
      </c>
      <c r="D117" s="874">
        <v>196722370</v>
      </c>
      <c r="E117" s="874">
        <v>0</v>
      </c>
      <c r="F117" s="874">
        <v>0</v>
      </c>
      <c r="G117" s="874">
        <v>0</v>
      </c>
      <c r="H117" s="874">
        <v>8705140</v>
      </c>
      <c r="I117" s="874">
        <f t="shared" si="3"/>
        <v>8705140</v>
      </c>
      <c r="J117" s="874"/>
      <c r="K117" s="874">
        <v>14105356</v>
      </c>
      <c r="L117" s="874">
        <v>73111</v>
      </c>
      <c r="M117" s="874">
        <v>54176443</v>
      </c>
      <c r="N117" s="874">
        <v>0</v>
      </c>
      <c r="O117" s="874">
        <f t="shared" si="4"/>
        <v>68354910</v>
      </c>
      <c r="P117" s="874"/>
      <c r="Q117" s="874">
        <f t="shared" si="5"/>
        <v>9753179</v>
      </c>
      <c r="R117" s="874">
        <v>1741026</v>
      </c>
      <c r="S117" s="874">
        <v>11494205</v>
      </c>
      <c r="T117" s="878"/>
      <c r="U117" s="878"/>
      <c r="V117" s="878"/>
      <c r="W117" s="878"/>
      <c r="X117" s="878"/>
      <c r="Y117" s="878"/>
      <c r="Z117" s="878"/>
      <c r="AA117" s="878"/>
      <c r="AB117" s="879"/>
      <c r="AC117" s="879"/>
      <c r="AD117" s="879"/>
      <c r="AE117" s="879"/>
      <c r="AF117" s="879"/>
      <c r="AG117" s="879"/>
      <c r="AH117" s="879"/>
      <c r="AI117" s="879"/>
    </row>
    <row r="118" spans="1:35" x14ac:dyDescent="0.25">
      <c r="A118" s="876">
        <v>32901</v>
      </c>
      <c r="B118" s="873" t="s">
        <v>1331</v>
      </c>
      <c r="C118" s="873">
        <v>8597823</v>
      </c>
      <c r="D118" s="874">
        <v>5159836</v>
      </c>
      <c r="E118" s="874">
        <v>0</v>
      </c>
      <c r="F118" s="874">
        <v>0</v>
      </c>
      <c r="G118" s="874">
        <v>0</v>
      </c>
      <c r="H118" s="874">
        <v>0</v>
      </c>
      <c r="I118" s="874">
        <f t="shared" si="3"/>
        <v>0</v>
      </c>
      <c r="J118" s="874"/>
      <c r="K118" s="874">
        <v>369970</v>
      </c>
      <c r="L118" s="874">
        <v>1918</v>
      </c>
      <c r="M118" s="874">
        <v>1420995</v>
      </c>
      <c r="N118" s="874">
        <v>1489290</v>
      </c>
      <c r="O118" s="874">
        <f t="shared" si="4"/>
        <v>3282173</v>
      </c>
      <c r="P118" s="874"/>
      <c r="Q118" s="874">
        <f t="shared" si="5"/>
        <v>255816</v>
      </c>
      <c r="R118" s="874">
        <v>-297853</v>
      </c>
      <c r="S118" s="874">
        <v>-42037</v>
      </c>
      <c r="T118" s="878"/>
      <c r="U118" s="878"/>
      <c r="V118" s="878"/>
      <c r="W118" s="878"/>
      <c r="X118" s="878"/>
      <c r="Y118" s="878"/>
      <c r="Z118" s="878"/>
      <c r="AA118" s="878"/>
      <c r="AB118" s="879"/>
      <c r="AC118" s="879"/>
      <c r="AD118" s="879"/>
      <c r="AE118" s="879"/>
      <c r="AF118" s="879"/>
      <c r="AG118" s="879"/>
      <c r="AH118" s="879"/>
      <c r="AI118" s="879"/>
    </row>
    <row r="119" spans="1:35" x14ac:dyDescent="0.25">
      <c r="A119" s="876">
        <v>32905</v>
      </c>
      <c r="B119" s="873" t="s">
        <v>1332</v>
      </c>
      <c r="C119" s="873">
        <v>36155044</v>
      </c>
      <c r="D119" s="874">
        <v>25876396</v>
      </c>
      <c r="E119" s="874">
        <v>0</v>
      </c>
      <c r="F119" s="874">
        <v>0</v>
      </c>
      <c r="G119" s="874">
        <v>0</v>
      </c>
      <c r="H119" s="874">
        <v>0</v>
      </c>
      <c r="I119" s="874">
        <f t="shared" si="3"/>
        <v>0</v>
      </c>
      <c r="J119" s="874"/>
      <c r="K119" s="874">
        <v>1855385</v>
      </c>
      <c r="L119" s="874">
        <v>9617</v>
      </c>
      <c r="M119" s="874">
        <v>7126241</v>
      </c>
      <c r="N119" s="874">
        <v>1436310</v>
      </c>
      <c r="O119" s="874">
        <f t="shared" si="4"/>
        <v>10427553</v>
      </c>
      <c r="P119" s="874"/>
      <c r="Q119" s="874">
        <f t="shared" si="5"/>
        <v>1282910</v>
      </c>
      <c r="R119" s="874">
        <v>-287262</v>
      </c>
      <c r="S119" s="874">
        <v>995648</v>
      </c>
      <c r="T119" s="878"/>
      <c r="U119" s="878"/>
      <c r="V119" s="878"/>
      <c r="W119" s="878"/>
      <c r="X119" s="878"/>
      <c r="Y119" s="878"/>
      <c r="Z119" s="878"/>
      <c r="AA119" s="878"/>
      <c r="AB119" s="879"/>
      <c r="AC119" s="879"/>
      <c r="AD119" s="879"/>
      <c r="AE119" s="879"/>
      <c r="AF119" s="879"/>
      <c r="AG119" s="879"/>
      <c r="AH119" s="879"/>
      <c r="AI119" s="879"/>
    </row>
    <row r="120" spans="1:35" x14ac:dyDescent="0.25">
      <c r="A120" s="876">
        <v>32910</v>
      </c>
      <c r="B120" s="873" t="s">
        <v>1333</v>
      </c>
      <c r="C120" s="873">
        <v>45536024</v>
      </c>
      <c r="D120" s="874">
        <v>36132586</v>
      </c>
      <c r="E120" s="874">
        <v>0</v>
      </c>
      <c r="F120" s="874">
        <v>0</v>
      </c>
      <c r="G120" s="874">
        <v>0</v>
      </c>
      <c r="H120" s="874">
        <v>1996200</v>
      </c>
      <c r="I120" s="874">
        <f t="shared" si="3"/>
        <v>1996200</v>
      </c>
      <c r="J120" s="874"/>
      <c r="K120" s="874">
        <v>2590773</v>
      </c>
      <c r="L120" s="874">
        <v>13428</v>
      </c>
      <c r="M120" s="874">
        <v>9950749</v>
      </c>
      <c r="N120" s="874">
        <v>0</v>
      </c>
      <c r="O120" s="874">
        <f t="shared" si="4"/>
        <v>12554950</v>
      </c>
      <c r="P120" s="874"/>
      <c r="Q120" s="874">
        <f t="shared" si="5"/>
        <v>1791396</v>
      </c>
      <c r="R120" s="874">
        <v>399236</v>
      </c>
      <c r="S120" s="874">
        <v>2190632</v>
      </c>
      <c r="T120" s="878"/>
      <c r="U120" s="878"/>
      <c r="V120" s="878"/>
      <c r="W120" s="878"/>
      <c r="X120" s="878"/>
      <c r="Y120" s="878"/>
      <c r="Z120" s="878"/>
      <c r="AA120" s="878"/>
      <c r="AB120" s="879"/>
      <c r="AC120" s="879"/>
      <c r="AD120" s="879"/>
      <c r="AE120" s="879"/>
      <c r="AF120" s="879"/>
      <c r="AG120" s="879"/>
      <c r="AH120" s="879"/>
      <c r="AI120" s="879"/>
    </row>
    <row r="121" spans="1:35" x14ac:dyDescent="0.25">
      <c r="A121" s="876">
        <v>32920</v>
      </c>
      <c r="B121" s="873" t="s">
        <v>1334</v>
      </c>
      <c r="C121" s="873">
        <v>37359877</v>
      </c>
      <c r="D121" s="874">
        <v>30270973</v>
      </c>
      <c r="E121" s="874">
        <v>0</v>
      </c>
      <c r="F121" s="874">
        <v>0</v>
      </c>
      <c r="G121" s="874">
        <v>0</v>
      </c>
      <c r="H121" s="874">
        <v>2288770</v>
      </c>
      <c r="I121" s="874">
        <f t="shared" si="3"/>
        <v>2288770</v>
      </c>
      <c r="J121" s="874"/>
      <c r="K121" s="874">
        <v>2170484</v>
      </c>
      <c r="L121" s="874">
        <v>11250</v>
      </c>
      <c r="M121" s="874">
        <v>8336488</v>
      </c>
      <c r="N121" s="874">
        <v>0</v>
      </c>
      <c r="O121" s="874">
        <f t="shared" si="4"/>
        <v>10518222</v>
      </c>
      <c r="P121" s="874"/>
      <c r="Q121" s="874">
        <f t="shared" si="5"/>
        <v>1500786</v>
      </c>
      <c r="R121" s="874">
        <v>457753</v>
      </c>
      <c r="S121" s="874">
        <v>1958539</v>
      </c>
      <c r="T121" s="878"/>
      <c r="U121" s="878"/>
      <c r="V121" s="878"/>
      <c r="W121" s="878"/>
      <c r="X121" s="878"/>
      <c r="Y121" s="878"/>
      <c r="Z121" s="878"/>
      <c r="AA121" s="878"/>
      <c r="AB121" s="879"/>
      <c r="AC121" s="879"/>
      <c r="AD121" s="879"/>
      <c r="AE121" s="879"/>
      <c r="AF121" s="879"/>
      <c r="AG121" s="879"/>
      <c r="AH121" s="879"/>
      <c r="AI121" s="879"/>
    </row>
    <row r="122" spans="1:35" x14ac:dyDescent="0.25">
      <c r="A122" s="876">
        <v>33000</v>
      </c>
      <c r="B122" s="873" t="s">
        <v>1335</v>
      </c>
      <c r="C122" s="873">
        <v>96638459</v>
      </c>
      <c r="D122" s="874">
        <v>74143671</v>
      </c>
      <c r="E122" s="874">
        <v>0</v>
      </c>
      <c r="F122" s="874">
        <v>0</v>
      </c>
      <c r="G122" s="874">
        <v>0</v>
      </c>
      <c r="H122" s="874">
        <v>1286575</v>
      </c>
      <c r="I122" s="874">
        <f t="shared" si="3"/>
        <v>1286575</v>
      </c>
      <c r="J122" s="874"/>
      <c r="K122" s="874">
        <v>5316238</v>
      </c>
      <c r="L122" s="874">
        <v>27555</v>
      </c>
      <c r="M122" s="874">
        <v>20418828</v>
      </c>
      <c r="N122" s="874">
        <v>0</v>
      </c>
      <c r="O122" s="874">
        <f t="shared" si="4"/>
        <v>25762621</v>
      </c>
      <c r="P122" s="874"/>
      <c r="Q122" s="874">
        <f t="shared" si="5"/>
        <v>3675924</v>
      </c>
      <c r="R122" s="874">
        <v>257317</v>
      </c>
      <c r="S122" s="874">
        <v>3933241</v>
      </c>
      <c r="T122" s="878"/>
      <c r="U122" s="878"/>
      <c r="V122" s="878"/>
      <c r="W122" s="878"/>
      <c r="X122" s="878"/>
      <c r="Y122" s="878"/>
      <c r="Z122" s="878"/>
      <c r="AA122" s="878"/>
      <c r="AB122" s="879"/>
      <c r="AC122" s="879"/>
      <c r="AD122" s="879"/>
      <c r="AE122" s="879"/>
      <c r="AF122" s="879"/>
      <c r="AG122" s="879"/>
      <c r="AH122" s="879"/>
      <c r="AI122" s="879"/>
    </row>
    <row r="123" spans="1:35" x14ac:dyDescent="0.25">
      <c r="A123" s="876">
        <v>33001</v>
      </c>
      <c r="B123" s="873" t="s">
        <v>1336</v>
      </c>
      <c r="C123" s="873">
        <v>2571662</v>
      </c>
      <c r="D123" s="874">
        <v>2135878</v>
      </c>
      <c r="E123" s="874">
        <v>0</v>
      </c>
      <c r="F123" s="874">
        <v>0</v>
      </c>
      <c r="G123" s="874">
        <v>0</v>
      </c>
      <c r="H123" s="874">
        <v>215660</v>
      </c>
      <c r="I123" s="874">
        <f t="shared" si="3"/>
        <v>215660</v>
      </c>
      <c r="J123" s="874"/>
      <c r="K123" s="874">
        <v>153146</v>
      </c>
      <c r="L123" s="874">
        <v>794</v>
      </c>
      <c r="M123" s="874">
        <v>588211</v>
      </c>
      <c r="N123" s="874">
        <v>0</v>
      </c>
      <c r="O123" s="874">
        <f t="shared" si="4"/>
        <v>742151</v>
      </c>
      <c r="P123" s="874"/>
      <c r="Q123" s="874">
        <f t="shared" si="5"/>
        <v>105893</v>
      </c>
      <c r="R123" s="874">
        <v>43131</v>
      </c>
      <c r="S123" s="874">
        <v>149024</v>
      </c>
      <c r="T123" s="878"/>
      <c r="U123" s="878"/>
      <c r="V123" s="878"/>
      <c r="W123" s="878"/>
      <c r="X123" s="878"/>
      <c r="Y123" s="878"/>
      <c r="Z123" s="878"/>
      <c r="AA123" s="878"/>
      <c r="AB123" s="879"/>
      <c r="AC123" s="879"/>
      <c r="AD123" s="879"/>
      <c r="AE123" s="879"/>
      <c r="AF123" s="879"/>
      <c r="AG123" s="879"/>
      <c r="AH123" s="879"/>
      <c r="AI123" s="879"/>
    </row>
    <row r="124" spans="1:35" x14ac:dyDescent="0.25">
      <c r="A124" s="876">
        <v>33027</v>
      </c>
      <c r="B124" s="873" t="s">
        <v>1337</v>
      </c>
      <c r="C124" s="873">
        <v>9938112</v>
      </c>
      <c r="D124" s="874">
        <v>8646125</v>
      </c>
      <c r="E124" s="874">
        <v>0</v>
      </c>
      <c r="F124" s="874">
        <v>0</v>
      </c>
      <c r="G124" s="874">
        <v>0</v>
      </c>
      <c r="H124" s="874">
        <v>1226030</v>
      </c>
      <c r="I124" s="874">
        <f t="shared" si="3"/>
        <v>1226030</v>
      </c>
      <c r="J124" s="874"/>
      <c r="K124" s="874">
        <v>619943</v>
      </c>
      <c r="L124" s="874">
        <v>3213</v>
      </c>
      <c r="M124" s="874">
        <v>2381103</v>
      </c>
      <c r="N124" s="874">
        <v>0</v>
      </c>
      <c r="O124" s="874">
        <f t="shared" si="4"/>
        <v>3004259</v>
      </c>
      <c r="P124" s="874"/>
      <c r="Q124" s="874">
        <f t="shared" si="5"/>
        <v>428661</v>
      </c>
      <c r="R124" s="874">
        <v>245205</v>
      </c>
      <c r="S124" s="874">
        <v>673866</v>
      </c>
      <c r="T124" s="878"/>
      <c r="U124" s="878"/>
      <c r="V124" s="878"/>
      <c r="W124" s="878"/>
      <c r="X124" s="878"/>
      <c r="Y124" s="878"/>
      <c r="Z124" s="878"/>
      <c r="AA124" s="878"/>
      <c r="AB124" s="879"/>
      <c r="AC124" s="879"/>
      <c r="AD124" s="879"/>
      <c r="AE124" s="879"/>
      <c r="AF124" s="879"/>
      <c r="AG124" s="879"/>
      <c r="AH124" s="879"/>
      <c r="AI124" s="879"/>
    </row>
    <row r="125" spans="1:35" x14ac:dyDescent="0.25">
      <c r="A125" s="876">
        <v>33100</v>
      </c>
      <c r="B125" s="873" t="s">
        <v>1338</v>
      </c>
      <c r="C125" s="873">
        <v>138163312</v>
      </c>
      <c r="D125" s="874">
        <v>105778285</v>
      </c>
      <c r="E125" s="874">
        <v>0</v>
      </c>
      <c r="F125" s="874">
        <v>0</v>
      </c>
      <c r="G125" s="874">
        <v>0</v>
      </c>
      <c r="H125" s="874">
        <v>1699420</v>
      </c>
      <c r="I125" s="874">
        <f t="shared" si="3"/>
        <v>1699420</v>
      </c>
      <c r="J125" s="874"/>
      <c r="K125" s="874">
        <v>7584498</v>
      </c>
      <c r="L125" s="874">
        <v>39312</v>
      </c>
      <c r="M125" s="874">
        <v>29130857</v>
      </c>
      <c r="N125" s="874">
        <v>0</v>
      </c>
      <c r="O125" s="874">
        <f t="shared" si="4"/>
        <v>36754667</v>
      </c>
      <c r="P125" s="874"/>
      <c r="Q125" s="874">
        <f t="shared" si="5"/>
        <v>5244318</v>
      </c>
      <c r="R125" s="874">
        <v>339887</v>
      </c>
      <c r="S125" s="874">
        <v>5584205</v>
      </c>
      <c r="T125" s="878"/>
      <c r="U125" s="878"/>
      <c r="V125" s="878"/>
      <c r="W125" s="878"/>
      <c r="X125" s="878"/>
      <c r="Y125" s="878"/>
      <c r="Z125" s="878"/>
      <c r="AA125" s="878"/>
      <c r="AB125" s="879"/>
      <c r="AC125" s="879"/>
      <c r="AD125" s="879"/>
      <c r="AE125" s="879"/>
      <c r="AF125" s="879"/>
      <c r="AG125" s="879"/>
      <c r="AH125" s="879"/>
      <c r="AI125" s="879"/>
    </row>
    <row r="126" spans="1:35" x14ac:dyDescent="0.25">
      <c r="A126" s="876">
        <v>33105</v>
      </c>
      <c r="B126" s="873" t="s">
        <v>1339</v>
      </c>
      <c r="C126" s="873">
        <v>15531174</v>
      </c>
      <c r="D126" s="874">
        <v>11246954</v>
      </c>
      <c r="E126" s="874">
        <v>0</v>
      </c>
      <c r="F126" s="874">
        <v>0</v>
      </c>
      <c r="G126" s="874">
        <v>0</v>
      </c>
      <c r="H126" s="874">
        <v>0</v>
      </c>
      <c r="I126" s="874">
        <f t="shared" si="3"/>
        <v>0</v>
      </c>
      <c r="J126" s="874"/>
      <c r="K126" s="874">
        <v>806427</v>
      </c>
      <c r="L126" s="874">
        <v>4180</v>
      </c>
      <c r="M126" s="874">
        <v>3097360</v>
      </c>
      <c r="N126" s="874">
        <v>486990</v>
      </c>
      <c r="O126" s="874">
        <f t="shared" si="4"/>
        <v>4394957</v>
      </c>
      <c r="P126" s="874"/>
      <c r="Q126" s="874">
        <f t="shared" si="5"/>
        <v>557606</v>
      </c>
      <c r="R126" s="874">
        <v>-97400</v>
      </c>
      <c r="S126" s="874">
        <v>460206</v>
      </c>
      <c r="T126" s="878"/>
      <c r="U126" s="878"/>
      <c r="V126" s="878"/>
      <c r="W126" s="878"/>
      <c r="X126" s="878"/>
      <c r="Y126" s="878"/>
      <c r="Z126" s="878"/>
      <c r="AA126" s="878"/>
      <c r="AB126" s="879"/>
      <c r="AC126" s="879"/>
      <c r="AD126" s="879"/>
      <c r="AE126" s="879"/>
      <c r="AF126" s="879"/>
      <c r="AG126" s="879"/>
      <c r="AH126" s="879"/>
      <c r="AI126" s="879"/>
    </row>
    <row r="127" spans="1:35" x14ac:dyDescent="0.25">
      <c r="A127" s="876">
        <v>33200</v>
      </c>
      <c r="B127" s="873" t="s">
        <v>1340</v>
      </c>
      <c r="C127" s="873">
        <v>603001942</v>
      </c>
      <c r="D127" s="874">
        <v>468027345</v>
      </c>
      <c r="E127" s="874">
        <v>0</v>
      </c>
      <c r="F127" s="874">
        <v>0</v>
      </c>
      <c r="G127" s="874">
        <v>0</v>
      </c>
      <c r="H127" s="874">
        <v>13827995</v>
      </c>
      <c r="I127" s="874">
        <f t="shared" si="3"/>
        <v>13827995</v>
      </c>
      <c r="J127" s="874"/>
      <c r="K127" s="874">
        <v>33558422</v>
      </c>
      <c r="L127" s="874">
        <v>173939</v>
      </c>
      <c r="M127" s="874">
        <v>128892594</v>
      </c>
      <c r="N127" s="874">
        <v>0</v>
      </c>
      <c r="O127" s="874">
        <f t="shared" si="4"/>
        <v>162624955</v>
      </c>
      <c r="P127" s="874"/>
      <c r="Q127" s="874">
        <f t="shared" si="5"/>
        <v>23204045</v>
      </c>
      <c r="R127" s="874">
        <v>2765595</v>
      </c>
      <c r="S127" s="874">
        <v>25969640</v>
      </c>
      <c r="T127" s="878"/>
      <c r="U127" s="878"/>
      <c r="V127" s="878"/>
      <c r="W127" s="878"/>
      <c r="X127" s="878"/>
      <c r="Y127" s="878"/>
      <c r="Z127" s="878"/>
      <c r="AA127" s="878"/>
      <c r="AB127" s="879"/>
      <c r="AC127" s="879"/>
      <c r="AD127" s="879"/>
      <c r="AE127" s="879"/>
      <c r="AF127" s="879"/>
      <c r="AG127" s="879"/>
      <c r="AH127" s="879"/>
      <c r="AI127" s="879"/>
    </row>
    <row r="128" spans="1:35" x14ac:dyDescent="0.25">
      <c r="A128" s="876">
        <v>33202</v>
      </c>
      <c r="B128" s="873" t="s">
        <v>1341</v>
      </c>
      <c r="C128" s="873">
        <v>7214591</v>
      </c>
      <c r="D128" s="874">
        <v>6941474</v>
      </c>
      <c r="E128" s="874">
        <v>0</v>
      </c>
      <c r="F128" s="874">
        <v>0</v>
      </c>
      <c r="G128" s="874">
        <v>0</v>
      </c>
      <c r="H128" s="874">
        <v>1627260</v>
      </c>
      <c r="I128" s="874">
        <f t="shared" si="3"/>
        <v>1627260</v>
      </c>
      <c r="J128" s="874"/>
      <c r="K128" s="874">
        <v>497716</v>
      </c>
      <c r="L128" s="874">
        <v>2580</v>
      </c>
      <c r="M128" s="874">
        <v>1911650</v>
      </c>
      <c r="N128" s="874">
        <v>0</v>
      </c>
      <c r="O128" s="874">
        <f t="shared" si="4"/>
        <v>2411946</v>
      </c>
      <c r="P128" s="874"/>
      <c r="Q128" s="874">
        <f t="shared" si="5"/>
        <v>344147</v>
      </c>
      <c r="R128" s="874">
        <v>325452</v>
      </c>
      <c r="S128" s="874">
        <v>669599</v>
      </c>
      <c r="T128" s="878"/>
      <c r="U128" s="878"/>
      <c r="V128" s="878"/>
      <c r="W128" s="878"/>
      <c r="X128" s="878"/>
      <c r="Y128" s="878"/>
      <c r="Z128" s="878"/>
      <c r="AA128" s="878"/>
      <c r="AB128" s="879"/>
      <c r="AC128" s="879"/>
      <c r="AD128" s="879"/>
      <c r="AE128" s="879"/>
      <c r="AF128" s="879"/>
      <c r="AG128" s="879"/>
      <c r="AH128" s="879"/>
      <c r="AI128" s="879"/>
    </row>
    <row r="129" spans="1:35" x14ac:dyDescent="0.25">
      <c r="A129" s="876">
        <v>33203</v>
      </c>
      <c r="B129" s="873" t="s">
        <v>1342</v>
      </c>
      <c r="C129" s="873">
        <v>4992073</v>
      </c>
      <c r="D129" s="874">
        <v>4006932</v>
      </c>
      <c r="E129" s="874">
        <v>0</v>
      </c>
      <c r="F129" s="874">
        <v>0</v>
      </c>
      <c r="G129" s="874">
        <v>0</v>
      </c>
      <c r="H129" s="874">
        <v>250315</v>
      </c>
      <c r="I129" s="874">
        <f t="shared" si="3"/>
        <v>250315</v>
      </c>
      <c r="J129" s="874"/>
      <c r="K129" s="874">
        <v>287304</v>
      </c>
      <c r="L129" s="874">
        <v>1489</v>
      </c>
      <c r="M129" s="874">
        <v>1103491</v>
      </c>
      <c r="N129" s="874">
        <v>0</v>
      </c>
      <c r="O129" s="874">
        <f t="shared" si="4"/>
        <v>1392284</v>
      </c>
      <c r="P129" s="874"/>
      <c r="Q129" s="874">
        <f t="shared" si="5"/>
        <v>198657</v>
      </c>
      <c r="R129" s="874">
        <v>50063</v>
      </c>
      <c r="S129" s="874">
        <v>248720</v>
      </c>
      <c r="T129" s="878"/>
      <c r="U129" s="878"/>
      <c r="V129" s="878"/>
      <c r="W129" s="878"/>
      <c r="X129" s="878"/>
      <c r="Y129" s="878"/>
      <c r="Z129" s="878"/>
      <c r="AA129" s="878"/>
      <c r="AB129" s="879"/>
      <c r="AC129" s="879"/>
      <c r="AD129" s="879"/>
      <c r="AE129" s="879"/>
      <c r="AF129" s="879"/>
      <c r="AG129" s="879"/>
      <c r="AH129" s="879"/>
      <c r="AI129" s="879"/>
    </row>
    <row r="130" spans="1:35" x14ac:dyDescent="0.25">
      <c r="A130" s="876">
        <v>33204</v>
      </c>
      <c r="B130" s="873" t="s">
        <v>1343</v>
      </c>
      <c r="C130" s="873">
        <v>17614820</v>
      </c>
      <c r="D130" s="874">
        <v>14468414</v>
      </c>
      <c r="E130" s="874">
        <v>0</v>
      </c>
      <c r="F130" s="874">
        <v>0</v>
      </c>
      <c r="G130" s="874">
        <v>0</v>
      </c>
      <c r="H130" s="874">
        <v>1230005</v>
      </c>
      <c r="I130" s="874">
        <f t="shared" si="3"/>
        <v>1230005</v>
      </c>
      <c r="J130" s="874"/>
      <c r="K130" s="874">
        <v>1037412</v>
      </c>
      <c r="L130" s="874">
        <v>5377</v>
      </c>
      <c r="M130" s="874">
        <v>3984535</v>
      </c>
      <c r="N130" s="874">
        <v>0</v>
      </c>
      <c r="O130" s="874">
        <f t="shared" si="4"/>
        <v>5027324</v>
      </c>
      <c r="P130" s="874"/>
      <c r="Q130" s="874">
        <f t="shared" si="5"/>
        <v>717321</v>
      </c>
      <c r="R130" s="874">
        <v>246004</v>
      </c>
      <c r="S130" s="874">
        <v>963325</v>
      </c>
      <c r="T130" s="878"/>
      <c r="U130" s="878"/>
      <c r="V130" s="878"/>
      <c r="W130" s="878"/>
      <c r="X130" s="878"/>
      <c r="Y130" s="878"/>
      <c r="Z130" s="878"/>
      <c r="AA130" s="878"/>
      <c r="AB130" s="879"/>
      <c r="AC130" s="879"/>
      <c r="AD130" s="879"/>
      <c r="AE130" s="879"/>
      <c r="AF130" s="879"/>
      <c r="AG130" s="879"/>
      <c r="AH130" s="879"/>
      <c r="AI130" s="879"/>
    </row>
    <row r="131" spans="1:35" x14ac:dyDescent="0.25">
      <c r="A131" s="876">
        <v>33205</v>
      </c>
      <c r="B131" s="873" t="s">
        <v>1344</v>
      </c>
      <c r="C131" s="873">
        <v>48649784</v>
      </c>
      <c r="D131" s="874">
        <v>35343440</v>
      </c>
      <c r="E131" s="874">
        <v>0</v>
      </c>
      <c r="F131" s="874">
        <v>0</v>
      </c>
      <c r="G131" s="874">
        <v>0</v>
      </c>
      <c r="H131" s="874">
        <v>0</v>
      </c>
      <c r="I131" s="874">
        <f t="shared" si="3"/>
        <v>0</v>
      </c>
      <c r="J131" s="874"/>
      <c r="K131" s="874">
        <v>2534190</v>
      </c>
      <c r="L131" s="874">
        <v>13135</v>
      </c>
      <c r="M131" s="874">
        <v>9733422</v>
      </c>
      <c r="N131" s="874">
        <v>1374235</v>
      </c>
      <c r="O131" s="874">
        <f t="shared" si="4"/>
        <v>13654982</v>
      </c>
      <c r="P131" s="874"/>
      <c r="Q131" s="874">
        <f t="shared" si="5"/>
        <v>1752271</v>
      </c>
      <c r="R131" s="874">
        <v>-274850</v>
      </c>
      <c r="S131" s="874">
        <v>1477421</v>
      </c>
      <c r="T131" s="878"/>
      <c r="U131" s="878"/>
      <c r="V131" s="878"/>
      <c r="W131" s="878"/>
      <c r="X131" s="878"/>
      <c r="Y131" s="878"/>
      <c r="Z131" s="878"/>
      <c r="AA131" s="878"/>
      <c r="AB131" s="879"/>
      <c r="AC131" s="879"/>
      <c r="AD131" s="879"/>
      <c r="AE131" s="879"/>
      <c r="AF131" s="879"/>
      <c r="AG131" s="879"/>
      <c r="AH131" s="879"/>
      <c r="AI131" s="879"/>
    </row>
    <row r="132" spans="1:35" x14ac:dyDescent="0.25">
      <c r="A132" s="876">
        <v>33206</v>
      </c>
      <c r="B132" s="873" t="s">
        <v>1345</v>
      </c>
      <c r="C132" s="873">
        <v>3975469</v>
      </c>
      <c r="D132" s="874">
        <v>3308308</v>
      </c>
      <c r="E132" s="874">
        <v>0</v>
      </c>
      <c r="F132" s="874">
        <v>0</v>
      </c>
      <c r="G132" s="874">
        <v>0</v>
      </c>
      <c r="H132" s="874">
        <v>340795</v>
      </c>
      <c r="I132" s="874">
        <f t="shared" si="3"/>
        <v>340795</v>
      </c>
      <c r="J132" s="874"/>
      <c r="K132" s="874">
        <v>237212</v>
      </c>
      <c r="L132" s="874">
        <v>1230</v>
      </c>
      <c r="M132" s="874">
        <v>911093</v>
      </c>
      <c r="N132" s="874">
        <v>0</v>
      </c>
      <c r="O132" s="874">
        <f t="shared" si="4"/>
        <v>1149535</v>
      </c>
      <c r="P132" s="874"/>
      <c r="Q132" s="874">
        <f t="shared" si="5"/>
        <v>164021</v>
      </c>
      <c r="R132" s="874">
        <v>68160</v>
      </c>
      <c r="S132" s="874">
        <v>232181</v>
      </c>
      <c r="T132" s="878"/>
      <c r="U132" s="878"/>
      <c r="V132" s="878"/>
      <c r="W132" s="878"/>
      <c r="X132" s="878"/>
      <c r="Y132" s="878"/>
      <c r="Z132" s="878"/>
      <c r="AA132" s="878"/>
      <c r="AB132" s="879"/>
      <c r="AC132" s="879"/>
      <c r="AD132" s="879"/>
      <c r="AE132" s="879"/>
      <c r="AF132" s="879"/>
      <c r="AG132" s="879"/>
      <c r="AH132" s="879"/>
      <c r="AI132" s="879"/>
    </row>
    <row r="133" spans="1:35" x14ac:dyDescent="0.25">
      <c r="A133" s="876">
        <v>33207</v>
      </c>
      <c r="B133" s="873" t="s">
        <v>1346</v>
      </c>
      <c r="C133" s="873">
        <v>8157012</v>
      </c>
      <c r="D133" s="874">
        <v>9486827</v>
      </c>
      <c r="E133" s="874">
        <v>0</v>
      </c>
      <c r="F133" s="874">
        <v>0</v>
      </c>
      <c r="G133" s="874">
        <v>0</v>
      </c>
      <c r="H133" s="874">
        <v>3614020</v>
      </c>
      <c r="I133" s="874">
        <f t="shared" si="3"/>
        <v>3614020</v>
      </c>
      <c r="J133" s="874"/>
      <c r="K133" s="874">
        <v>680223</v>
      </c>
      <c r="L133" s="874">
        <v>3526</v>
      </c>
      <c r="M133" s="874">
        <v>2612629</v>
      </c>
      <c r="N133" s="874">
        <v>0</v>
      </c>
      <c r="O133" s="874">
        <f t="shared" si="4"/>
        <v>3296378</v>
      </c>
      <c r="P133" s="874"/>
      <c r="Q133" s="874">
        <f t="shared" si="5"/>
        <v>470342</v>
      </c>
      <c r="R133" s="874">
        <v>722804</v>
      </c>
      <c r="S133" s="874">
        <v>1193146</v>
      </c>
      <c r="T133" s="878"/>
      <c r="U133" s="878"/>
      <c r="V133" s="878"/>
      <c r="W133" s="878"/>
      <c r="X133" s="878"/>
      <c r="Y133" s="878"/>
      <c r="Z133" s="878"/>
      <c r="AA133" s="878"/>
      <c r="AB133" s="879"/>
      <c r="AC133" s="879"/>
      <c r="AD133" s="879"/>
      <c r="AE133" s="879"/>
      <c r="AF133" s="879"/>
      <c r="AG133" s="879"/>
      <c r="AH133" s="879"/>
      <c r="AI133" s="879"/>
    </row>
    <row r="134" spans="1:35" x14ac:dyDescent="0.25">
      <c r="A134" s="876">
        <v>33208</v>
      </c>
      <c r="B134" s="873" t="s">
        <v>1347</v>
      </c>
      <c r="C134" s="873">
        <v>1303837</v>
      </c>
      <c r="D134" s="874">
        <v>895903</v>
      </c>
      <c r="E134" s="874">
        <v>0</v>
      </c>
      <c r="F134" s="874">
        <v>0</v>
      </c>
      <c r="G134" s="874">
        <v>0</v>
      </c>
      <c r="H134" s="874">
        <v>0</v>
      </c>
      <c r="I134" s="874">
        <f t="shared" si="3"/>
        <v>0</v>
      </c>
      <c r="J134" s="874"/>
      <c r="K134" s="874">
        <v>64238</v>
      </c>
      <c r="L134" s="874">
        <v>333</v>
      </c>
      <c r="M134" s="874">
        <v>246728</v>
      </c>
      <c r="N134" s="874">
        <v>112295</v>
      </c>
      <c r="O134" s="874">
        <f t="shared" si="4"/>
        <v>423594</v>
      </c>
      <c r="P134" s="874"/>
      <c r="Q134" s="874">
        <f t="shared" si="5"/>
        <v>44417</v>
      </c>
      <c r="R134" s="874">
        <v>-22454</v>
      </c>
      <c r="S134" s="874">
        <v>21963</v>
      </c>
      <c r="T134" s="878"/>
      <c r="U134" s="878"/>
      <c r="V134" s="878"/>
      <c r="W134" s="878"/>
      <c r="X134" s="878"/>
      <c r="Y134" s="878"/>
      <c r="Z134" s="878"/>
      <c r="AA134" s="878"/>
      <c r="AB134" s="879"/>
      <c r="AC134" s="879"/>
      <c r="AD134" s="879"/>
      <c r="AE134" s="879"/>
      <c r="AF134" s="879"/>
      <c r="AG134" s="879"/>
      <c r="AH134" s="879"/>
      <c r="AI134" s="879"/>
    </row>
    <row r="135" spans="1:35" x14ac:dyDescent="0.25">
      <c r="A135" s="876">
        <v>33209</v>
      </c>
      <c r="B135" s="873" t="s">
        <v>1348</v>
      </c>
      <c r="C135" s="873">
        <v>3006485</v>
      </c>
      <c r="D135" s="874">
        <v>2453128</v>
      </c>
      <c r="E135" s="874">
        <v>0</v>
      </c>
      <c r="F135" s="874">
        <v>0</v>
      </c>
      <c r="G135" s="874">
        <v>0</v>
      </c>
      <c r="H135" s="874">
        <v>195065</v>
      </c>
      <c r="I135" s="874">
        <f t="shared" si="3"/>
        <v>195065</v>
      </c>
      <c r="J135" s="874"/>
      <c r="K135" s="874">
        <v>175894</v>
      </c>
      <c r="L135" s="874">
        <v>912</v>
      </c>
      <c r="M135" s="874">
        <v>675580</v>
      </c>
      <c r="N135" s="874">
        <v>0</v>
      </c>
      <c r="O135" s="874">
        <f t="shared" si="4"/>
        <v>852386</v>
      </c>
      <c r="P135" s="874"/>
      <c r="Q135" s="874">
        <f t="shared" si="5"/>
        <v>121622</v>
      </c>
      <c r="R135" s="874">
        <v>39013</v>
      </c>
      <c r="S135" s="874">
        <v>160635</v>
      </c>
      <c r="T135" s="878"/>
      <c r="U135" s="878"/>
      <c r="V135" s="878"/>
      <c r="W135" s="878"/>
      <c r="X135" s="878"/>
      <c r="Y135" s="878"/>
      <c r="Z135" s="878"/>
      <c r="AA135" s="878"/>
      <c r="AB135" s="879"/>
      <c r="AC135" s="879"/>
      <c r="AD135" s="879"/>
      <c r="AE135" s="879"/>
      <c r="AF135" s="879"/>
      <c r="AG135" s="879"/>
      <c r="AH135" s="879"/>
      <c r="AI135" s="879"/>
    </row>
    <row r="136" spans="1:35" x14ac:dyDescent="0.25">
      <c r="A136" s="876">
        <v>33300</v>
      </c>
      <c r="B136" s="873" t="s">
        <v>1349</v>
      </c>
      <c r="C136" s="873">
        <v>86919463</v>
      </c>
      <c r="D136" s="874">
        <v>67632801</v>
      </c>
      <c r="E136" s="874">
        <v>0</v>
      </c>
      <c r="F136" s="874">
        <v>0</v>
      </c>
      <c r="G136" s="874">
        <v>0</v>
      </c>
      <c r="H136" s="874">
        <v>2296410</v>
      </c>
      <c r="I136" s="874">
        <f t="shared" ref="I136:I199" si="6">SUM(E136:H136)</f>
        <v>2296410</v>
      </c>
      <c r="J136" s="874"/>
      <c r="K136" s="874">
        <v>4849396</v>
      </c>
      <c r="L136" s="874">
        <v>25135</v>
      </c>
      <c r="M136" s="874">
        <v>18625765</v>
      </c>
      <c r="N136" s="874">
        <v>0</v>
      </c>
      <c r="O136" s="874">
        <f t="shared" ref="O136:O199" si="7">SUM(K136:N136)</f>
        <v>23500296</v>
      </c>
      <c r="P136" s="874"/>
      <c r="Q136" s="874">
        <f t="shared" ref="Q136:Q199" si="8">S136-R136</f>
        <v>3353126</v>
      </c>
      <c r="R136" s="874">
        <v>459278</v>
      </c>
      <c r="S136" s="874">
        <v>3812404</v>
      </c>
      <c r="T136" s="878"/>
      <c r="U136" s="878"/>
      <c r="V136" s="878"/>
      <c r="W136" s="878"/>
      <c r="X136" s="878"/>
      <c r="Y136" s="878"/>
      <c r="Z136" s="878"/>
      <c r="AA136" s="878"/>
      <c r="AB136" s="879"/>
      <c r="AC136" s="879"/>
      <c r="AD136" s="879"/>
      <c r="AE136" s="879"/>
      <c r="AF136" s="879"/>
      <c r="AG136" s="879"/>
      <c r="AH136" s="879"/>
      <c r="AI136" s="879"/>
    </row>
    <row r="137" spans="1:35" x14ac:dyDescent="0.25">
      <c r="A137" s="876">
        <v>33305</v>
      </c>
      <c r="B137" s="873" t="s">
        <v>1350</v>
      </c>
      <c r="C137" s="873">
        <v>22163784</v>
      </c>
      <c r="D137" s="874">
        <v>16162132</v>
      </c>
      <c r="E137" s="874">
        <v>0</v>
      </c>
      <c r="F137" s="874">
        <v>0</v>
      </c>
      <c r="G137" s="874">
        <v>0</v>
      </c>
      <c r="H137" s="874">
        <v>0</v>
      </c>
      <c r="I137" s="874">
        <f t="shared" si="6"/>
        <v>0</v>
      </c>
      <c r="J137" s="874"/>
      <c r="K137" s="874">
        <v>1158855</v>
      </c>
      <c r="L137" s="874">
        <v>6007</v>
      </c>
      <c r="M137" s="874">
        <v>4450977</v>
      </c>
      <c r="N137" s="874">
        <v>525545</v>
      </c>
      <c r="O137" s="874">
        <f t="shared" si="7"/>
        <v>6141384</v>
      </c>
      <c r="P137" s="874"/>
      <c r="Q137" s="874">
        <f t="shared" si="8"/>
        <v>801293</v>
      </c>
      <c r="R137" s="874">
        <v>-105105</v>
      </c>
      <c r="S137" s="874">
        <v>696188</v>
      </c>
      <c r="T137" s="878"/>
      <c r="U137" s="878"/>
      <c r="V137" s="878"/>
      <c r="W137" s="878"/>
      <c r="X137" s="878"/>
      <c r="Y137" s="878"/>
      <c r="Z137" s="878"/>
      <c r="AA137" s="878"/>
      <c r="AB137" s="879"/>
      <c r="AC137" s="879"/>
      <c r="AD137" s="879"/>
      <c r="AE137" s="879"/>
      <c r="AF137" s="879"/>
      <c r="AG137" s="879"/>
      <c r="AH137" s="879"/>
      <c r="AI137" s="879"/>
    </row>
    <row r="138" spans="1:35" x14ac:dyDescent="0.25">
      <c r="A138" s="876">
        <v>33400</v>
      </c>
      <c r="B138" s="873" t="s">
        <v>1351</v>
      </c>
      <c r="C138" s="873">
        <v>773027436</v>
      </c>
      <c r="D138" s="874">
        <v>611031994</v>
      </c>
      <c r="E138" s="874">
        <v>0</v>
      </c>
      <c r="F138" s="874">
        <v>0</v>
      </c>
      <c r="G138" s="874">
        <v>0</v>
      </c>
      <c r="H138" s="874">
        <v>30809690</v>
      </c>
      <c r="I138" s="874">
        <f t="shared" si="6"/>
        <v>30809690</v>
      </c>
      <c r="J138" s="874"/>
      <c r="K138" s="874">
        <v>43812118</v>
      </c>
      <c r="L138" s="874">
        <v>227086</v>
      </c>
      <c r="M138" s="874">
        <v>168275421</v>
      </c>
      <c r="N138" s="874">
        <v>0</v>
      </c>
      <c r="O138" s="874">
        <f t="shared" si="7"/>
        <v>212314625</v>
      </c>
      <c r="P138" s="874"/>
      <c r="Q138" s="874">
        <f t="shared" si="8"/>
        <v>30293985</v>
      </c>
      <c r="R138" s="874">
        <v>6161940</v>
      </c>
      <c r="S138" s="874">
        <v>36455925</v>
      </c>
      <c r="T138" s="878"/>
      <c r="U138" s="878"/>
      <c r="V138" s="878"/>
      <c r="W138" s="878"/>
      <c r="X138" s="878"/>
      <c r="Y138" s="878"/>
      <c r="Z138" s="878"/>
      <c r="AA138" s="878"/>
      <c r="AB138" s="879"/>
      <c r="AC138" s="879"/>
      <c r="AD138" s="879"/>
      <c r="AE138" s="879"/>
      <c r="AF138" s="879"/>
      <c r="AG138" s="879"/>
      <c r="AH138" s="879"/>
      <c r="AI138" s="879"/>
    </row>
    <row r="139" spans="1:35" x14ac:dyDescent="0.25">
      <c r="A139" s="876">
        <v>33402</v>
      </c>
      <c r="B139" s="873" t="s">
        <v>1352</v>
      </c>
      <c r="C139" s="873">
        <v>6115074</v>
      </c>
      <c r="D139" s="874">
        <v>4960057</v>
      </c>
      <c r="E139" s="874">
        <v>0</v>
      </c>
      <c r="F139" s="874">
        <v>0</v>
      </c>
      <c r="G139" s="874">
        <v>0</v>
      </c>
      <c r="H139" s="874">
        <v>369930</v>
      </c>
      <c r="I139" s="874">
        <f t="shared" si="6"/>
        <v>369930</v>
      </c>
      <c r="J139" s="874"/>
      <c r="K139" s="874">
        <v>355645</v>
      </c>
      <c r="L139" s="874">
        <v>1843</v>
      </c>
      <c r="M139" s="874">
        <v>1365977</v>
      </c>
      <c r="N139" s="874">
        <v>0</v>
      </c>
      <c r="O139" s="874">
        <f t="shared" si="7"/>
        <v>1723465</v>
      </c>
      <c r="P139" s="874"/>
      <c r="Q139" s="874">
        <f t="shared" si="8"/>
        <v>245912</v>
      </c>
      <c r="R139" s="874">
        <v>73985</v>
      </c>
      <c r="S139" s="874">
        <v>319897</v>
      </c>
      <c r="T139" s="878"/>
      <c r="U139" s="878"/>
      <c r="V139" s="878"/>
      <c r="W139" s="878"/>
      <c r="X139" s="878"/>
      <c r="Y139" s="878"/>
      <c r="Z139" s="878"/>
      <c r="AA139" s="878"/>
      <c r="AB139" s="879"/>
      <c r="AC139" s="879"/>
      <c r="AD139" s="879"/>
      <c r="AE139" s="879"/>
      <c r="AF139" s="879"/>
      <c r="AG139" s="879"/>
      <c r="AH139" s="879"/>
      <c r="AI139" s="879"/>
    </row>
    <row r="140" spans="1:35" x14ac:dyDescent="0.25">
      <c r="A140" s="876">
        <v>33405</v>
      </c>
      <c r="B140" s="873" t="s">
        <v>1353</v>
      </c>
      <c r="C140" s="873">
        <v>77698256</v>
      </c>
      <c r="D140" s="874">
        <v>54530162</v>
      </c>
      <c r="E140" s="874">
        <v>0</v>
      </c>
      <c r="F140" s="874">
        <v>0</v>
      </c>
      <c r="G140" s="874">
        <v>0</v>
      </c>
      <c r="H140" s="874">
        <v>0</v>
      </c>
      <c r="I140" s="874">
        <f t="shared" si="6"/>
        <v>0</v>
      </c>
      <c r="J140" s="874"/>
      <c r="K140" s="874">
        <v>3909913</v>
      </c>
      <c r="L140" s="874">
        <v>20266</v>
      </c>
      <c r="M140" s="874">
        <v>15017358</v>
      </c>
      <c r="N140" s="874">
        <v>4299685</v>
      </c>
      <c r="O140" s="874">
        <f t="shared" si="7"/>
        <v>23247222</v>
      </c>
      <c r="P140" s="874"/>
      <c r="Q140" s="874">
        <f t="shared" si="8"/>
        <v>2703518</v>
      </c>
      <c r="R140" s="874">
        <v>-859940</v>
      </c>
      <c r="S140" s="874">
        <v>1843578</v>
      </c>
      <c r="T140" s="878"/>
      <c r="U140" s="878"/>
      <c r="V140" s="878"/>
      <c r="W140" s="878"/>
      <c r="X140" s="878"/>
      <c r="Y140" s="878"/>
      <c r="Z140" s="878"/>
      <c r="AA140" s="878"/>
      <c r="AB140" s="879"/>
      <c r="AC140" s="879"/>
      <c r="AD140" s="879"/>
      <c r="AE140" s="879"/>
      <c r="AF140" s="879"/>
      <c r="AG140" s="879"/>
      <c r="AH140" s="879"/>
      <c r="AI140" s="879"/>
    </row>
    <row r="141" spans="1:35" x14ac:dyDescent="0.25">
      <c r="A141" s="876">
        <v>33500</v>
      </c>
      <c r="B141" s="873" t="s">
        <v>1354</v>
      </c>
      <c r="C141" s="873">
        <v>129225268</v>
      </c>
      <c r="D141" s="874">
        <v>97501426</v>
      </c>
      <c r="E141" s="874">
        <v>0</v>
      </c>
      <c r="F141" s="874">
        <v>0</v>
      </c>
      <c r="G141" s="874">
        <v>0</v>
      </c>
      <c r="H141" s="874">
        <v>0</v>
      </c>
      <c r="I141" s="874">
        <f t="shared" si="6"/>
        <v>0</v>
      </c>
      <c r="J141" s="874"/>
      <c r="K141" s="874">
        <v>6991032</v>
      </c>
      <c r="L141" s="874">
        <v>36236</v>
      </c>
      <c r="M141" s="874">
        <v>26851448</v>
      </c>
      <c r="N141" s="874">
        <v>126505</v>
      </c>
      <c r="O141" s="874">
        <f t="shared" si="7"/>
        <v>34005221</v>
      </c>
      <c r="P141" s="874"/>
      <c r="Q141" s="874">
        <f t="shared" si="8"/>
        <v>4833964</v>
      </c>
      <c r="R141" s="874">
        <v>-25299</v>
      </c>
      <c r="S141" s="874">
        <v>4808665</v>
      </c>
      <c r="T141" s="878"/>
      <c r="U141" s="878"/>
      <c r="V141" s="878"/>
      <c r="W141" s="878"/>
      <c r="X141" s="878"/>
      <c r="Y141" s="878"/>
      <c r="Z141" s="878"/>
      <c r="AA141" s="878"/>
      <c r="AB141" s="879"/>
      <c r="AC141" s="879"/>
      <c r="AD141" s="879"/>
      <c r="AE141" s="879"/>
      <c r="AF141" s="879"/>
      <c r="AG141" s="879"/>
      <c r="AH141" s="879"/>
      <c r="AI141" s="879"/>
    </row>
    <row r="142" spans="1:35" x14ac:dyDescent="0.25">
      <c r="A142" s="876">
        <v>33501</v>
      </c>
      <c r="B142" s="873" t="s">
        <v>1355</v>
      </c>
      <c r="C142" s="873">
        <v>2683493</v>
      </c>
      <c r="D142" s="874">
        <v>2363943</v>
      </c>
      <c r="E142" s="874">
        <v>0</v>
      </c>
      <c r="F142" s="874">
        <v>0</v>
      </c>
      <c r="G142" s="874">
        <v>0</v>
      </c>
      <c r="H142" s="874">
        <v>367165</v>
      </c>
      <c r="I142" s="874">
        <f t="shared" si="6"/>
        <v>367165</v>
      </c>
      <c r="J142" s="874"/>
      <c r="K142" s="874">
        <v>169499</v>
      </c>
      <c r="L142" s="874">
        <v>879</v>
      </c>
      <c r="M142" s="874">
        <v>651019</v>
      </c>
      <c r="N142" s="874">
        <v>0</v>
      </c>
      <c r="O142" s="874">
        <f t="shared" si="7"/>
        <v>821397</v>
      </c>
      <c r="P142" s="874"/>
      <c r="Q142" s="874">
        <f t="shared" si="8"/>
        <v>117201</v>
      </c>
      <c r="R142" s="874">
        <v>73437</v>
      </c>
      <c r="S142" s="874">
        <v>190638</v>
      </c>
      <c r="T142" s="878"/>
      <c r="U142" s="878"/>
      <c r="V142" s="878"/>
      <c r="W142" s="878"/>
      <c r="X142" s="878"/>
      <c r="Y142" s="878"/>
      <c r="Z142" s="878"/>
      <c r="AA142" s="878"/>
      <c r="AB142" s="879"/>
      <c r="AC142" s="879"/>
      <c r="AD142" s="879"/>
      <c r="AE142" s="879"/>
      <c r="AF142" s="879"/>
      <c r="AG142" s="879"/>
      <c r="AH142" s="879"/>
      <c r="AI142" s="879"/>
    </row>
    <row r="143" spans="1:35" x14ac:dyDescent="0.25">
      <c r="A143" s="876">
        <v>33600</v>
      </c>
      <c r="B143" s="873" t="s">
        <v>1356</v>
      </c>
      <c r="C143" s="873">
        <v>409571482</v>
      </c>
      <c r="D143" s="874">
        <v>326892034</v>
      </c>
      <c r="E143" s="874">
        <v>0</v>
      </c>
      <c r="F143" s="874">
        <v>0</v>
      </c>
      <c r="G143" s="874">
        <v>0</v>
      </c>
      <c r="H143" s="874">
        <v>19518310</v>
      </c>
      <c r="I143" s="874">
        <f t="shared" si="6"/>
        <v>19518310</v>
      </c>
      <c r="J143" s="874"/>
      <c r="K143" s="874">
        <v>23438760</v>
      </c>
      <c r="L143" s="874">
        <v>121487</v>
      </c>
      <c r="M143" s="874">
        <v>90024574</v>
      </c>
      <c r="N143" s="874">
        <v>0</v>
      </c>
      <c r="O143" s="874">
        <f t="shared" si="7"/>
        <v>113584821</v>
      </c>
      <c r="P143" s="874"/>
      <c r="Q143" s="874">
        <f t="shared" si="8"/>
        <v>16206782</v>
      </c>
      <c r="R143" s="874">
        <v>3903656</v>
      </c>
      <c r="S143" s="874">
        <v>20110438</v>
      </c>
      <c r="T143" s="878"/>
      <c r="U143" s="878"/>
      <c r="V143" s="878"/>
      <c r="W143" s="878"/>
      <c r="X143" s="878"/>
      <c r="Y143" s="878"/>
      <c r="Z143" s="878"/>
      <c r="AA143" s="878"/>
      <c r="AB143" s="879"/>
      <c r="AC143" s="879"/>
      <c r="AD143" s="879"/>
      <c r="AE143" s="879"/>
      <c r="AF143" s="879"/>
      <c r="AG143" s="879"/>
      <c r="AH143" s="879"/>
      <c r="AI143" s="879"/>
    </row>
    <row r="144" spans="1:35" x14ac:dyDescent="0.25">
      <c r="A144" s="876">
        <v>33605</v>
      </c>
      <c r="B144" s="873" t="s">
        <v>1357</v>
      </c>
      <c r="C144" s="873">
        <v>54527233</v>
      </c>
      <c r="D144" s="874">
        <v>39838354</v>
      </c>
      <c r="E144" s="874">
        <v>0</v>
      </c>
      <c r="F144" s="874">
        <v>0</v>
      </c>
      <c r="G144" s="874">
        <v>0</v>
      </c>
      <c r="H144" s="874">
        <v>0</v>
      </c>
      <c r="I144" s="874">
        <f t="shared" si="6"/>
        <v>0</v>
      </c>
      <c r="J144" s="874"/>
      <c r="K144" s="874">
        <v>2856483</v>
      </c>
      <c r="L144" s="874">
        <v>14806</v>
      </c>
      <c r="M144" s="874">
        <v>10971301</v>
      </c>
      <c r="N144" s="874">
        <v>1235160</v>
      </c>
      <c r="O144" s="874">
        <f t="shared" si="7"/>
        <v>15077750</v>
      </c>
      <c r="P144" s="874"/>
      <c r="Q144" s="874">
        <f t="shared" si="8"/>
        <v>1975122</v>
      </c>
      <c r="R144" s="874">
        <v>-247032</v>
      </c>
      <c r="S144" s="874">
        <v>1728090</v>
      </c>
      <c r="T144" s="878"/>
      <c r="U144" s="878"/>
      <c r="V144" s="878"/>
      <c r="W144" s="878"/>
      <c r="X144" s="878"/>
      <c r="Y144" s="878"/>
      <c r="Z144" s="878"/>
      <c r="AA144" s="878"/>
      <c r="AB144" s="879"/>
      <c r="AC144" s="879"/>
      <c r="AD144" s="879"/>
      <c r="AE144" s="879"/>
      <c r="AF144" s="879"/>
      <c r="AG144" s="879"/>
      <c r="AH144" s="879"/>
      <c r="AI144" s="879"/>
    </row>
    <row r="145" spans="1:35" x14ac:dyDescent="0.25">
      <c r="A145" s="876">
        <v>33700</v>
      </c>
      <c r="B145" s="873" t="s">
        <v>1358</v>
      </c>
      <c r="C145" s="873">
        <v>29058318</v>
      </c>
      <c r="D145" s="874">
        <v>22044368</v>
      </c>
      <c r="E145" s="874">
        <v>0</v>
      </c>
      <c r="F145" s="874">
        <v>0</v>
      </c>
      <c r="G145" s="874">
        <v>0</v>
      </c>
      <c r="H145" s="874">
        <v>152525</v>
      </c>
      <c r="I145" s="874">
        <f t="shared" si="6"/>
        <v>152525</v>
      </c>
      <c r="J145" s="874"/>
      <c r="K145" s="874">
        <v>1580622</v>
      </c>
      <c r="L145" s="874">
        <v>8193</v>
      </c>
      <c r="M145" s="874">
        <v>6070918</v>
      </c>
      <c r="N145" s="874">
        <v>0</v>
      </c>
      <c r="O145" s="874">
        <f t="shared" si="7"/>
        <v>7659733</v>
      </c>
      <c r="P145" s="874"/>
      <c r="Q145" s="874">
        <f t="shared" si="8"/>
        <v>1092924</v>
      </c>
      <c r="R145" s="874">
        <v>30502</v>
      </c>
      <c r="S145" s="874">
        <v>1123426</v>
      </c>
      <c r="T145" s="878"/>
      <c r="U145" s="878"/>
      <c r="V145" s="878"/>
      <c r="W145" s="878"/>
      <c r="X145" s="878"/>
      <c r="Y145" s="878"/>
      <c r="Z145" s="878"/>
      <c r="AA145" s="878"/>
      <c r="AB145" s="879"/>
      <c r="AC145" s="879"/>
      <c r="AD145" s="879"/>
      <c r="AE145" s="879"/>
      <c r="AF145" s="879"/>
      <c r="AG145" s="879"/>
      <c r="AH145" s="879"/>
      <c r="AI145" s="879"/>
    </row>
    <row r="146" spans="1:35" x14ac:dyDescent="0.25">
      <c r="A146" s="876">
        <v>33800</v>
      </c>
      <c r="B146" s="873" t="s">
        <v>1359</v>
      </c>
      <c r="C146" s="873">
        <v>21971080</v>
      </c>
      <c r="D146" s="874">
        <v>17257472</v>
      </c>
      <c r="E146" s="874">
        <v>0</v>
      </c>
      <c r="F146" s="874">
        <v>0</v>
      </c>
      <c r="G146" s="874">
        <v>0</v>
      </c>
      <c r="H146" s="874">
        <v>752930</v>
      </c>
      <c r="I146" s="874">
        <f t="shared" si="6"/>
        <v>752930</v>
      </c>
      <c r="J146" s="874"/>
      <c r="K146" s="874">
        <v>1237392</v>
      </c>
      <c r="L146" s="874">
        <v>6414</v>
      </c>
      <c r="M146" s="874">
        <v>4752629</v>
      </c>
      <c r="N146" s="874">
        <v>0</v>
      </c>
      <c r="O146" s="874">
        <f t="shared" si="7"/>
        <v>5996435</v>
      </c>
      <c r="P146" s="874"/>
      <c r="Q146" s="874">
        <f t="shared" si="8"/>
        <v>855598</v>
      </c>
      <c r="R146" s="874">
        <v>150588</v>
      </c>
      <c r="S146" s="874">
        <v>1006186</v>
      </c>
      <c r="T146" s="878"/>
      <c r="U146" s="878"/>
      <c r="V146" s="878"/>
      <c r="W146" s="878"/>
      <c r="X146" s="878"/>
      <c r="Y146" s="878"/>
      <c r="Z146" s="878"/>
      <c r="AA146" s="878"/>
      <c r="AB146" s="879"/>
      <c r="AC146" s="879"/>
      <c r="AD146" s="879"/>
      <c r="AE146" s="879"/>
      <c r="AF146" s="879"/>
      <c r="AG146" s="879"/>
      <c r="AH146" s="879"/>
      <c r="AI146" s="879"/>
    </row>
    <row r="147" spans="1:35" x14ac:dyDescent="0.25">
      <c r="A147" s="876">
        <v>33900</v>
      </c>
      <c r="B147" s="873" t="s">
        <v>1360</v>
      </c>
      <c r="C147" s="873">
        <v>114626821</v>
      </c>
      <c r="D147" s="874">
        <v>86700782</v>
      </c>
      <c r="E147" s="874">
        <v>0</v>
      </c>
      <c r="F147" s="874">
        <v>0</v>
      </c>
      <c r="G147" s="874">
        <v>0</v>
      </c>
      <c r="H147" s="874">
        <v>299760</v>
      </c>
      <c r="I147" s="874">
        <f t="shared" si="6"/>
        <v>299760</v>
      </c>
      <c r="J147" s="874"/>
      <c r="K147" s="874">
        <v>6216606</v>
      </c>
      <c r="L147" s="874">
        <v>32222</v>
      </c>
      <c r="M147" s="874">
        <v>23877000</v>
      </c>
      <c r="N147" s="874">
        <v>0</v>
      </c>
      <c r="O147" s="874">
        <f t="shared" si="7"/>
        <v>30125828</v>
      </c>
      <c r="P147" s="874"/>
      <c r="Q147" s="874">
        <f t="shared" si="8"/>
        <v>4298486</v>
      </c>
      <c r="R147" s="874">
        <v>59951</v>
      </c>
      <c r="S147" s="874">
        <v>4358437</v>
      </c>
      <c r="T147" s="878"/>
      <c r="U147" s="878"/>
      <c r="V147" s="878"/>
      <c r="W147" s="878"/>
      <c r="X147" s="878"/>
      <c r="Y147" s="878"/>
      <c r="Z147" s="878"/>
      <c r="AA147" s="878"/>
      <c r="AB147" s="879"/>
      <c r="AC147" s="879"/>
      <c r="AD147" s="879"/>
      <c r="AE147" s="879"/>
      <c r="AF147" s="879"/>
      <c r="AG147" s="879"/>
      <c r="AH147" s="879"/>
      <c r="AI147" s="879"/>
    </row>
    <row r="148" spans="1:35" x14ac:dyDescent="0.25">
      <c r="A148" s="876">
        <v>34000</v>
      </c>
      <c r="B148" s="873" t="s">
        <v>1361</v>
      </c>
      <c r="C148" s="873">
        <v>50003563</v>
      </c>
      <c r="D148" s="874">
        <v>39260073</v>
      </c>
      <c r="E148" s="874">
        <v>0</v>
      </c>
      <c r="F148" s="874">
        <v>0</v>
      </c>
      <c r="G148" s="874">
        <v>0</v>
      </c>
      <c r="H148" s="874">
        <v>1656115</v>
      </c>
      <c r="I148" s="874">
        <f t="shared" si="6"/>
        <v>1656115</v>
      </c>
      <c r="J148" s="874"/>
      <c r="K148" s="874">
        <v>2815019</v>
      </c>
      <c r="L148" s="874">
        <v>14591</v>
      </c>
      <c r="M148" s="874">
        <v>10812045</v>
      </c>
      <c r="N148" s="874">
        <v>0</v>
      </c>
      <c r="O148" s="874">
        <f t="shared" si="7"/>
        <v>13641655</v>
      </c>
      <c r="P148" s="874"/>
      <c r="Q148" s="874">
        <f t="shared" si="8"/>
        <v>1946451</v>
      </c>
      <c r="R148" s="874">
        <v>331223</v>
      </c>
      <c r="S148" s="874">
        <v>2277674</v>
      </c>
      <c r="T148" s="878"/>
      <c r="U148" s="878"/>
      <c r="V148" s="878"/>
      <c r="W148" s="878"/>
      <c r="X148" s="878"/>
      <c r="Y148" s="878"/>
      <c r="Z148" s="878"/>
      <c r="AA148" s="878"/>
      <c r="AB148" s="879"/>
      <c r="AC148" s="879"/>
      <c r="AD148" s="879"/>
      <c r="AE148" s="879"/>
      <c r="AF148" s="879"/>
      <c r="AG148" s="879"/>
      <c r="AH148" s="879"/>
      <c r="AI148" s="879"/>
    </row>
    <row r="149" spans="1:35" x14ac:dyDescent="0.25">
      <c r="A149" s="876">
        <v>34100</v>
      </c>
      <c r="B149" s="873" t="s">
        <v>1362</v>
      </c>
      <c r="C149" s="873">
        <v>1134540199</v>
      </c>
      <c r="D149" s="874">
        <v>876058743</v>
      </c>
      <c r="E149" s="874">
        <v>0</v>
      </c>
      <c r="F149" s="874">
        <v>0</v>
      </c>
      <c r="G149" s="874">
        <v>0</v>
      </c>
      <c r="H149" s="874">
        <v>21366210</v>
      </c>
      <c r="I149" s="874">
        <f t="shared" si="6"/>
        <v>21366210</v>
      </c>
      <c r="J149" s="874"/>
      <c r="K149" s="874">
        <v>62815023</v>
      </c>
      <c r="L149" s="874">
        <v>325581</v>
      </c>
      <c r="M149" s="874">
        <v>241262578</v>
      </c>
      <c r="N149" s="874">
        <v>0</v>
      </c>
      <c r="O149" s="874">
        <f t="shared" si="7"/>
        <v>304403182</v>
      </c>
      <c r="P149" s="874"/>
      <c r="Q149" s="874">
        <f t="shared" si="8"/>
        <v>43433586</v>
      </c>
      <c r="R149" s="874">
        <v>4273242</v>
      </c>
      <c r="S149" s="874">
        <v>47706828</v>
      </c>
      <c r="T149" s="878"/>
      <c r="U149" s="878"/>
      <c r="V149" s="878"/>
      <c r="W149" s="878"/>
      <c r="X149" s="878"/>
      <c r="Y149" s="878"/>
      <c r="Z149" s="878"/>
      <c r="AA149" s="878"/>
      <c r="AB149" s="879"/>
      <c r="AC149" s="879"/>
      <c r="AD149" s="879"/>
      <c r="AE149" s="879"/>
      <c r="AF149" s="879"/>
      <c r="AG149" s="879"/>
      <c r="AH149" s="879"/>
      <c r="AI149" s="879"/>
    </row>
    <row r="150" spans="1:35" x14ac:dyDescent="0.25">
      <c r="A150" s="876">
        <v>34105</v>
      </c>
      <c r="B150" s="873" t="s">
        <v>1363</v>
      </c>
      <c r="C150" s="873">
        <v>95182394</v>
      </c>
      <c r="D150" s="874">
        <v>69371212</v>
      </c>
      <c r="E150" s="874">
        <v>0</v>
      </c>
      <c r="F150" s="874">
        <v>0</v>
      </c>
      <c r="G150" s="874">
        <v>0</v>
      </c>
      <c r="H150" s="874">
        <v>0</v>
      </c>
      <c r="I150" s="874">
        <f t="shared" si="6"/>
        <v>0</v>
      </c>
      <c r="J150" s="874"/>
      <c r="K150" s="874">
        <v>4974044</v>
      </c>
      <c r="L150" s="874">
        <v>25781</v>
      </c>
      <c r="M150" s="874">
        <v>19104515</v>
      </c>
      <c r="N150" s="874">
        <v>2416060</v>
      </c>
      <c r="O150" s="874">
        <f t="shared" si="7"/>
        <v>26520400</v>
      </c>
      <c r="P150" s="874"/>
      <c r="Q150" s="874">
        <f t="shared" si="8"/>
        <v>3439313</v>
      </c>
      <c r="R150" s="874">
        <v>-483209</v>
      </c>
      <c r="S150" s="874">
        <v>2956104</v>
      </c>
      <c r="T150" s="878"/>
      <c r="U150" s="878"/>
      <c r="V150" s="878"/>
      <c r="W150" s="878"/>
      <c r="X150" s="878"/>
      <c r="Y150" s="878"/>
      <c r="Z150" s="878"/>
      <c r="AA150" s="878"/>
      <c r="AB150" s="879"/>
      <c r="AC150" s="879"/>
      <c r="AD150" s="879"/>
      <c r="AE150" s="879"/>
      <c r="AF150" s="879"/>
      <c r="AG150" s="879"/>
      <c r="AH150" s="879"/>
      <c r="AI150" s="879"/>
    </row>
    <row r="151" spans="1:35" x14ac:dyDescent="0.25">
      <c r="A151" s="876">
        <v>34200</v>
      </c>
      <c r="B151" s="873" t="s">
        <v>1364</v>
      </c>
      <c r="C151" s="873">
        <v>43578570</v>
      </c>
      <c r="D151" s="874">
        <v>28706578</v>
      </c>
      <c r="E151" s="874">
        <v>0</v>
      </c>
      <c r="F151" s="874">
        <v>0</v>
      </c>
      <c r="G151" s="874">
        <v>0</v>
      </c>
      <c r="H151" s="874">
        <v>0</v>
      </c>
      <c r="I151" s="874">
        <f t="shared" si="6"/>
        <v>0</v>
      </c>
      <c r="J151" s="874"/>
      <c r="K151" s="874">
        <v>2058314</v>
      </c>
      <c r="L151" s="874">
        <v>10669</v>
      </c>
      <c r="M151" s="874">
        <v>7905661</v>
      </c>
      <c r="N151" s="874">
        <v>4547215</v>
      </c>
      <c r="O151" s="874">
        <f t="shared" si="7"/>
        <v>14521859</v>
      </c>
      <c r="P151" s="874"/>
      <c r="Q151" s="874">
        <f t="shared" si="8"/>
        <v>1423226</v>
      </c>
      <c r="R151" s="874">
        <v>-909442</v>
      </c>
      <c r="S151" s="874">
        <v>513784</v>
      </c>
      <c r="T151" s="878"/>
      <c r="U151" s="878"/>
      <c r="V151" s="878"/>
      <c r="W151" s="878"/>
      <c r="X151" s="878"/>
      <c r="Y151" s="878"/>
      <c r="Z151" s="878"/>
      <c r="AA151" s="878"/>
      <c r="AB151" s="879"/>
      <c r="AC151" s="879"/>
      <c r="AD151" s="879"/>
      <c r="AE151" s="879"/>
      <c r="AF151" s="879"/>
      <c r="AG151" s="879"/>
      <c r="AH151" s="879"/>
      <c r="AI151" s="879"/>
    </row>
    <row r="152" spans="1:35" x14ac:dyDescent="0.25">
      <c r="A152" s="876">
        <v>34205</v>
      </c>
      <c r="B152" s="873" t="s">
        <v>1365</v>
      </c>
      <c r="C152" s="873">
        <v>17780134</v>
      </c>
      <c r="D152" s="874">
        <v>12437938</v>
      </c>
      <c r="E152" s="874">
        <v>0</v>
      </c>
      <c r="F152" s="874">
        <v>0</v>
      </c>
      <c r="G152" s="874">
        <v>0</v>
      </c>
      <c r="H152" s="874">
        <v>0</v>
      </c>
      <c r="I152" s="874">
        <f t="shared" si="6"/>
        <v>0</v>
      </c>
      <c r="J152" s="874"/>
      <c r="K152" s="874">
        <v>891823</v>
      </c>
      <c r="L152" s="874">
        <v>4622</v>
      </c>
      <c r="M152" s="874">
        <v>3425351</v>
      </c>
      <c r="N152" s="874">
        <v>1010785</v>
      </c>
      <c r="O152" s="874">
        <f t="shared" si="7"/>
        <v>5332581</v>
      </c>
      <c r="P152" s="874"/>
      <c r="Q152" s="874">
        <f t="shared" si="8"/>
        <v>616653</v>
      </c>
      <c r="R152" s="874">
        <v>-202158</v>
      </c>
      <c r="S152" s="874">
        <v>414495</v>
      </c>
      <c r="T152" s="878"/>
      <c r="U152" s="878"/>
      <c r="V152" s="878"/>
      <c r="W152" s="878"/>
      <c r="X152" s="878"/>
      <c r="Y152" s="878"/>
      <c r="Z152" s="878"/>
      <c r="AA152" s="878"/>
      <c r="AB152" s="879"/>
      <c r="AC152" s="879"/>
      <c r="AD152" s="879"/>
      <c r="AE152" s="879"/>
      <c r="AF152" s="879"/>
      <c r="AG152" s="879"/>
      <c r="AH152" s="879"/>
      <c r="AI152" s="879"/>
    </row>
    <row r="153" spans="1:35" x14ac:dyDescent="0.25">
      <c r="A153" s="876">
        <v>34220</v>
      </c>
      <c r="B153" s="873" t="s">
        <v>1366</v>
      </c>
      <c r="C153" s="873">
        <v>39649767</v>
      </c>
      <c r="D153" s="874">
        <v>32355349</v>
      </c>
      <c r="E153" s="874">
        <v>0</v>
      </c>
      <c r="F153" s="874">
        <v>0</v>
      </c>
      <c r="G153" s="874">
        <v>0</v>
      </c>
      <c r="H153" s="874">
        <v>2738670</v>
      </c>
      <c r="I153" s="874">
        <f t="shared" si="6"/>
        <v>2738670</v>
      </c>
      <c r="J153" s="874"/>
      <c r="K153" s="874">
        <v>2319938</v>
      </c>
      <c r="L153" s="874">
        <v>12025</v>
      </c>
      <c r="M153" s="874">
        <v>8910515</v>
      </c>
      <c r="N153" s="874">
        <v>0</v>
      </c>
      <c r="O153" s="874">
        <f t="shared" si="7"/>
        <v>11242478</v>
      </c>
      <c r="P153" s="874"/>
      <c r="Q153" s="874">
        <f t="shared" si="8"/>
        <v>1604126</v>
      </c>
      <c r="R153" s="874">
        <v>547732</v>
      </c>
      <c r="S153" s="874">
        <v>2151858</v>
      </c>
      <c r="T153" s="878"/>
      <c r="U153" s="878"/>
      <c r="V153" s="878"/>
      <c r="W153" s="878"/>
      <c r="X153" s="878"/>
      <c r="Y153" s="878"/>
      <c r="Z153" s="878"/>
      <c r="AA153" s="878"/>
      <c r="AB153" s="879"/>
      <c r="AC153" s="879"/>
      <c r="AD153" s="879"/>
      <c r="AE153" s="879"/>
      <c r="AF153" s="879"/>
      <c r="AG153" s="879"/>
      <c r="AH153" s="879"/>
      <c r="AI153" s="879"/>
    </row>
    <row r="154" spans="1:35" x14ac:dyDescent="0.25">
      <c r="A154" s="876">
        <v>34230</v>
      </c>
      <c r="B154" s="873" t="s">
        <v>1367</v>
      </c>
      <c r="C154" s="873">
        <v>18668457</v>
      </c>
      <c r="D154" s="874">
        <v>13559150</v>
      </c>
      <c r="E154" s="874">
        <v>0</v>
      </c>
      <c r="F154" s="874">
        <v>0</v>
      </c>
      <c r="G154" s="874">
        <v>0</v>
      </c>
      <c r="H154" s="874">
        <v>0</v>
      </c>
      <c r="I154" s="874">
        <f t="shared" si="6"/>
        <v>0</v>
      </c>
      <c r="J154" s="874"/>
      <c r="K154" s="874">
        <v>972216</v>
      </c>
      <c r="L154" s="874">
        <v>5039</v>
      </c>
      <c r="M154" s="874">
        <v>3734128</v>
      </c>
      <c r="N154" s="874">
        <v>585915</v>
      </c>
      <c r="O154" s="874">
        <f t="shared" si="7"/>
        <v>5297298</v>
      </c>
      <c r="P154" s="874"/>
      <c r="Q154" s="874">
        <f t="shared" si="8"/>
        <v>672241</v>
      </c>
      <c r="R154" s="874">
        <v>-117188</v>
      </c>
      <c r="S154" s="874">
        <v>555053</v>
      </c>
      <c r="T154" s="878"/>
      <c r="U154" s="878"/>
      <c r="V154" s="878"/>
      <c r="W154" s="878"/>
      <c r="X154" s="878"/>
      <c r="Y154" s="878"/>
      <c r="Z154" s="878"/>
      <c r="AA154" s="878"/>
      <c r="AB154" s="879"/>
      <c r="AC154" s="879"/>
      <c r="AD154" s="879"/>
      <c r="AE154" s="879"/>
      <c r="AF154" s="879"/>
      <c r="AG154" s="879"/>
      <c r="AH154" s="879"/>
      <c r="AI154" s="879"/>
    </row>
    <row r="155" spans="1:35" x14ac:dyDescent="0.25">
      <c r="A155" s="876">
        <v>34300</v>
      </c>
      <c r="B155" s="873" t="s">
        <v>1368</v>
      </c>
      <c r="C155" s="873">
        <v>268000753</v>
      </c>
      <c r="D155" s="874">
        <v>212961815</v>
      </c>
      <c r="E155" s="874">
        <v>0</v>
      </c>
      <c r="F155" s="874">
        <v>0</v>
      </c>
      <c r="G155" s="874">
        <v>0</v>
      </c>
      <c r="H155" s="874">
        <v>11638600</v>
      </c>
      <c r="I155" s="874">
        <f t="shared" si="6"/>
        <v>11638600</v>
      </c>
      <c r="J155" s="874"/>
      <c r="K155" s="874">
        <v>15269754</v>
      </c>
      <c r="L155" s="874">
        <v>79146</v>
      </c>
      <c r="M155" s="874">
        <v>58648712</v>
      </c>
      <c r="N155" s="874">
        <v>0</v>
      </c>
      <c r="O155" s="874">
        <f t="shared" si="7"/>
        <v>73997612</v>
      </c>
      <c r="P155" s="874"/>
      <c r="Q155" s="874">
        <f t="shared" si="8"/>
        <v>10558305</v>
      </c>
      <c r="R155" s="874">
        <v>2327724</v>
      </c>
      <c r="S155" s="874">
        <v>12886029</v>
      </c>
      <c r="T155" s="878"/>
      <c r="U155" s="878"/>
      <c r="V155" s="878"/>
      <c r="W155" s="878"/>
      <c r="X155" s="878"/>
      <c r="Y155" s="878"/>
      <c r="Z155" s="878"/>
      <c r="AA155" s="878"/>
      <c r="AB155" s="879"/>
      <c r="AC155" s="879"/>
      <c r="AD155" s="879"/>
      <c r="AE155" s="879"/>
      <c r="AF155" s="879"/>
      <c r="AG155" s="879"/>
      <c r="AH155" s="879"/>
      <c r="AI155" s="879"/>
    </row>
    <row r="156" spans="1:35" x14ac:dyDescent="0.25">
      <c r="A156" s="876">
        <v>34400</v>
      </c>
      <c r="B156" s="873" t="s">
        <v>1369</v>
      </c>
      <c r="C156" s="873">
        <v>113763955</v>
      </c>
      <c r="D156" s="874">
        <v>85206053</v>
      </c>
      <c r="E156" s="874">
        <v>0</v>
      </c>
      <c r="F156" s="874">
        <v>0</v>
      </c>
      <c r="G156" s="874">
        <v>0</v>
      </c>
      <c r="H156" s="874">
        <v>0</v>
      </c>
      <c r="I156" s="874">
        <f t="shared" si="6"/>
        <v>0</v>
      </c>
      <c r="J156" s="874"/>
      <c r="K156" s="874">
        <v>6109431</v>
      </c>
      <c r="L156" s="874">
        <v>31666</v>
      </c>
      <c r="M156" s="874">
        <v>23465358</v>
      </c>
      <c r="N156" s="874">
        <v>766155</v>
      </c>
      <c r="O156" s="874">
        <f t="shared" si="7"/>
        <v>30372610</v>
      </c>
      <c r="P156" s="874"/>
      <c r="Q156" s="874">
        <f t="shared" si="8"/>
        <v>4224379</v>
      </c>
      <c r="R156" s="874">
        <v>-153226</v>
      </c>
      <c r="S156" s="874">
        <v>4071153</v>
      </c>
      <c r="T156" s="878"/>
      <c r="U156" s="878"/>
      <c r="V156" s="878"/>
      <c r="W156" s="878"/>
      <c r="X156" s="878"/>
      <c r="Y156" s="878"/>
      <c r="Z156" s="878"/>
      <c r="AA156" s="878"/>
      <c r="AB156" s="879"/>
      <c r="AC156" s="879"/>
      <c r="AD156" s="879"/>
      <c r="AE156" s="879"/>
      <c r="AF156" s="879"/>
      <c r="AG156" s="879"/>
      <c r="AH156" s="879"/>
      <c r="AI156" s="879"/>
    </row>
    <row r="157" spans="1:35" x14ac:dyDescent="0.25">
      <c r="A157" s="876">
        <v>34405</v>
      </c>
      <c r="B157" s="873" t="s">
        <v>1370</v>
      </c>
      <c r="C157" s="873">
        <v>23837773</v>
      </c>
      <c r="D157" s="874">
        <v>16164449</v>
      </c>
      <c r="E157" s="874">
        <v>0</v>
      </c>
      <c r="F157" s="874">
        <v>0</v>
      </c>
      <c r="G157" s="874">
        <v>0</v>
      </c>
      <c r="H157" s="874">
        <v>0</v>
      </c>
      <c r="I157" s="874">
        <f t="shared" si="6"/>
        <v>0</v>
      </c>
      <c r="J157" s="874"/>
      <c r="K157" s="874">
        <v>1159021</v>
      </c>
      <c r="L157" s="874">
        <v>6007</v>
      </c>
      <c r="M157" s="874">
        <v>4451615</v>
      </c>
      <c r="N157" s="874">
        <v>1983365</v>
      </c>
      <c r="O157" s="874">
        <f t="shared" si="7"/>
        <v>7600008</v>
      </c>
      <c r="P157" s="874"/>
      <c r="Q157" s="874">
        <f t="shared" si="8"/>
        <v>801407</v>
      </c>
      <c r="R157" s="874">
        <v>-396673</v>
      </c>
      <c r="S157" s="874">
        <v>404734</v>
      </c>
      <c r="T157" s="878"/>
      <c r="U157" s="878"/>
      <c r="V157" s="878"/>
      <c r="W157" s="878"/>
      <c r="X157" s="878"/>
      <c r="Y157" s="878"/>
      <c r="Z157" s="878"/>
      <c r="AA157" s="878"/>
      <c r="AB157" s="879"/>
      <c r="AC157" s="879"/>
      <c r="AD157" s="879"/>
      <c r="AE157" s="879"/>
      <c r="AF157" s="879"/>
      <c r="AG157" s="879"/>
      <c r="AH157" s="879"/>
      <c r="AI157" s="879"/>
    </row>
    <row r="158" spans="1:35" x14ac:dyDescent="0.25">
      <c r="A158" s="876">
        <v>34500</v>
      </c>
      <c r="B158" s="873" t="s">
        <v>1371</v>
      </c>
      <c r="C158" s="873">
        <v>195497193</v>
      </c>
      <c r="D158" s="874">
        <v>150412119</v>
      </c>
      <c r="E158" s="874">
        <v>0</v>
      </c>
      <c r="F158" s="874">
        <v>0</v>
      </c>
      <c r="G158" s="874">
        <v>0</v>
      </c>
      <c r="H158" s="874">
        <v>3168065</v>
      </c>
      <c r="I158" s="874">
        <f t="shared" si="6"/>
        <v>3168065</v>
      </c>
      <c r="J158" s="874"/>
      <c r="K158" s="874">
        <v>10784826</v>
      </c>
      <c r="L158" s="874">
        <v>55900</v>
      </c>
      <c r="M158" s="874">
        <v>41422811</v>
      </c>
      <c r="N158" s="874">
        <v>0</v>
      </c>
      <c r="O158" s="874">
        <f t="shared" si="7"/>
        <v>52263537</v>
      </c>
      <c r="P158" s="874"/>
      <c r="Q158" s="874">
        <f t="shared" si="8"/>
        <v>7457191</v>
      </c>
      <c r="R158" s="874">
        <v>633614</v>
      </c>
      <c r="S158" s="874">
        <v>8090805</v>
      </c>
      <c r="T158" s="878"/>
      <c r="U158" s="878"/>
      <c r="V158" s="878"/>
      <c r="W158" s="878"/>
      <c r="X158" s="878"/>
      <c r="Y158" s="878"/>
      <c r="Z158" s="878"/>
      <c r="AA158" s="878"/>
      <c r="AB158" s="879"/>
      <c r="AC158" s="879"/>
      <c r="AD158" s="879"/>
      <c r="AE158" s="879"/>
      <c r="AF158" s="879"/>
      <c r="AG158" s="879"/>
      <c r="AH158" s="879"/>
      <c r="AI158" s="879"/>
    </row>
    <row r="159" spans="1:35" x14ac:dyDescent="0.25">
      <c r="A159" s="876">
        <v>34501</v>
      </c>
      <c r="B159" s="873" t="s">
        <v>1372</v>
      </c>
      <c r="C159" s="873">
        <v>2244297</v>
      </c>
      <c r="D159" s="874">
        <v>1850632</v>
      </c>
      <c r="E159" s="874">
        <v>0</v>
      </c>
      <c r="F159" s="874">
        <v>0</v>
      </c>
      <c r="G159" s="874">
        <v>0</v>
      </c>
      <c r="H159" s="874">
        <v>170360</v>
      </c>
      <c r="I159" s="874">
        <f t="shared" si="6"/>
        <v>170360</v>
      </c>
      <c r="J159" s="874"/>
      <c r="K159" s="874">
        <v>132694</v>
      </c>
      <c r="L159" s="874">
        <v>688</v>
      </c>
      <c r="M159" s="874">
        <v>509656</v>
      </c>
      <c r="N159" s="874">
        <v>0</v>
      </c>
      <c r="O159" s="874">
        <f t="shared" si="7"/>
        <v>643038</v>
      </c>
      <c r="P159" s="874"/>
      <c r="Q159" s="874">
        <f t="shared" si="8"/>
        <v>91751</v>
      </c>
      <c r="R159" s="874">
        <v>34070</v>
      </c>
      <c r="S159" s="874">
        <v>125821</v>
      </c>
      <c r="T159" s="878"/>
      <c r="U159" s="878"/>
      <c r="V159" s="878"/>
      <c r="W159" s="878"/>
      <c r="X159" s="878"/>
      <c r="Y159" s="878"/>
      <c r="Z159" s="878"/>
      <c r="AA159" s="878"/>
      <c r="AB159" s="879"/>
      <c r="AC159" s="879"/>
      <c r="AD159" s="879"/>
      <c r="AE159" s="879"/>
      <c r="AF159" s="879"/>
      <c r="AG159" s="879"/>
      <c r="AH159" s="879"/>
      <c r="AI159" s="879"/>
    </row>
    <row r="160" spans="1:35" x14ac:dyDescent="0.25">
      <c r="A160" s="876">
        <v>34505</v>
      </c>
      <c r="B160" s="873" t="s">
        <v>1373</v>
      </c>
      <c r="C160" s="873">
        <v>24164245</v>
      </c>
      <c r="D160" s="874">
        <v>17236632</v>
      </c>
      <c r="E160" s="874">
        <v>0</v>
      </c>
      <c r="F160" s="874">
        <v>0</v>
      </c>
      <c r="G160" s="874">
        <v>0</v>
      </c>
      <c r="H160" s="874">
        <v>0</v>
      </c>
      <c r="I160" s="874">
        <f t="shared" si="6"/>
        <v>0</v>
      </c>
      <c r="J160" s="874"/>
      <c r="K160" s="874">
        <v>1235898</v>
      </c>
      <c r="L160" s="874">
        <v>6406</v>
      </c>
      <c r="M160" s="874">
        <v>4746890</v>
      </c>
      <c r="N160" s="874">
        <v>993080</v>
      </c>
      <c r="O160" s="874">
        <f t="shared" si="7"/>
        <v>6982274</v>
      </c>
      <c r="P160" s="874"/>
      <c r="Q160" s="874">
        <f t="shared" si="8"/>
        <v>854565</v>
      </c>
      <c r="R160" s="874">
        <v>-198617</v>
      </c>
      <c r="S160" s="874">
        <v>655948</v>
      </c>
      <c r="T160" s="878"/>
      <c r="U160" s="878"/>
      <c r="V160" s="878"/>
      <c r="W160" s="878"/>
      <c r="X160" s="878"/>
      <c r="Y160" s="878"/>
      <c r="Z160" s="878"/>
      <c r="AA160" s="878"/>
      <c r="AB160" s="879"/>
      <c r="AC160" s="879"/>
      <c r="AD160" s="879"/>
      <c r="AE160" s="879"/>
      <c r="AF160" s="879"/>
      <c r="AG160" s="879"/>
      <c r="AH160" s="879"/>
      <c r="AI160" s="879"/>
    </row>
    <row r="161" spans="1:35" x14ac:dyDescent="0.25">
      <c r="A161" s="876">
        <v>34600</v>
      </c>
      <c r="B161" s="873" t="s">
        <v>1374</v>
      </c>
      <c r="C161" s="873">
        <v>46045142</v>
      </c>
      <c r="D161" s="874">
        <v>34897842</v>
      </c>
      <c r="E161" s="874">
        <v>0</v>
      </c>
      <c r="F161" s="874">
        <v>0</v>
      </c>
      <c r="G161" s="874">
        <v>0</v>
      </c>
      <c r="H161" s="874">
        <v>239235</v>
      </c>
      <c r="I161" s="874">
        <f t="shared" si="6"/>
        <v>239235</v>
      </c>
      <c r="J161" s="874"/>
      <c r="K161" s="874">
        <v>2502239</v>
      </c>
      <c r="L161" s="874">
        <v>12970</v>
      </c>
      <c r="M161" s="874">
        <v>9610706</v>
      </c>
      <c r="N161" s="874">
        <v>0</v>
      </c>
      <c r="O161" s="874">
        <f t="shared" si="7"/>
        <v>12125915</v>
      </c>
      <c r="P161" s="874"/>
      <c r="Q161" s="874">
        <f t="shared" si="8"/>
        <v>1730179</v>
      </c>
      <c r="R161" s="874">
        <v>47848</v>
      </c>
      <c r="S161" s="874">
        <v>1778027</v>
      </c>
      <c r="T161" s="878"/>
      <c r="U161" s="878"/>
      <c r="V161" s="878"/>
      <c r="W161" s="878"/>
      <c r="X161" s="878"/>
      <c r="Y161" s="878"/>
      <c r="Z161" s="878"/>
      <c r="AA161" s="878"/>
      <c r="AB161" s="879"/>
      <c r="AC161" s="879"/>
      <c r="AD161" s="879"/>
      <c r="AE161" s="879"/>
      <c r="AF161" s="879"/>
      <c r="AG161" s="879"/>
      <c r="AH161" s="879"/>
      <c r="AI161" s="879"/>
    </row>
    <row r="162" spans="1:35" x14ac:dyDescent="0.25">
      <c r="A162" s="876">
        <v>34605</v>
      </c>
      <c r="B162" s="873" t="s">
        <v>1375</v>
      </c>
      <c r="C162" s="873">
        <v>10773365</v>
      </c>
      <c r="D162" s="874">
        <v>7453292</v>
      </c>
      <c r="E162" s="874">
        <v>0</v>
      </c>
      <c r="F162" s="874">
        <v>0</v>
      </c>
      <c r="G162" s="874">
        <v>0</v>
      </c>
      <c r="H162" s="874">
        <v>0</v>
      </c>
      <c r="I162" s="874">
        <f t="shared" si="6"/>
        <v>0</v>
      </c>
      <c r="J162" s="874"/>
      <c r="K162" s="874">
        <v>534415</v>
      </c>
      <c r="L162" s="874">
        <v>2770</v>
      </c>
      <c r="M162" s="874">
        <v>2052603</v>
      </c>
      <c r="N162" s="874">
        <v>730745</v>
      </c>
      <c r="O162" s="874">
        <f t="shared" si="7"/>
        <v>3320533</v>
      </c>
      <c r="P162" s="874"/>
      <c r="Q162" s="874">
        <f t="shared" si="8"/>
        <v>369522</v>
      </c>
      <c r="R162" s="874">
        <v>-146148</v>
      </c>
      <c r="S162" s="874">
        <v>223374</v>
      </c>
      <c r="T162" s="878"/>
      <c r="U162" s="878"/>
      <c r="V162" s="878"/>
      <c r="W162" s="878"/>
      <c r="X162" s="878"/>
      <c r="Y162" s="878"/>
      <c r="Z162" s="878"/>
      <c r="AA162" s="878"/>
      <c r="AB162" s="879"/>
      <c r="AC162" s="879"/>
      <c r="AD162" s="879"/>
      <c r="AE162" s="879"/>
      <c r="AF162" s="879"/>
      <c r="AG162" s="879"/>
      <c r="AH162" s="879"/>
      <c r="AI162" s="879"/>
    </row>
    <row r="163" spans="1:35" x14ac:dyDescent="0.25">
      <c r="A163" s="876">
        <v>34700</v>
      </c>
      <c r="B163" s="873" t="s">
        <v>1376</v>
      </c>
      <c r="C163" s="873">
        <v>128331914</v>
      </c>
      <c r="D163" s="874">
        <v>98246008</v>
      </c>
      <c r="E163" s="874">
        <v>0</v>
      </c>
      <c r="F163" s="874">
        <v>0</v>
      </c>
      <c r="G163" s="874">
        <v>0</v>
      </c>
      <c r="H163" s="874">
        <v>1377960</v>
      </c>
      <c r="I163" s="874">
        <f t="shared" si="6"/>
        <v>1377960</v>
      </c>
      <c r="J163" s="874"/>
      <c r="K163" s="874">
        <v>7044420</v>
      </c>
      <c r="L163" s="874">
        <v>36512</v>
      </c>
      <c r="M163" s="874">
        <v>27056502</v>
      </c>
      <c r="N163" s="874">
        <v>0</v>
      </c>
      <c r="O163" s="874">
        <f t="shared" si="7"/>
        <v>34137434</v>
      </c>
      <c r="P163" s="874"/>
      <c r="Q163" s="874">
        <f t="shared" si="8"/>
        <v>4870879</v>
      </c>
      <c r="R163" s="874">
        <v>275588</v>
      </c>
      <c r="S163" s="874">
        <v>5146467</v>
      </c>
      <c r="T163" s="878"/>
      <c r="U163" s="878"/>
      <c r="V163" s="878"/>
      <c r="W163" s="878"/>
      <c r="X163" s="878"/>
      <c r="Y163" s="878"/>
      <c r="Z163" s="878"/>
      <c r="AA163" s="878"/>
      <c r="AB163" s="879"/>
      <c r="AC163" s="879"/>
      <c r="AD163" s="879"/>
      <c r="AE163" s="879"/>
      <c r="AF163" s="879"/>
      <c r="AG163" s="879"/>
      <c r="AH163" s="879"/>
      <c r="AI163" s="879"/>
    </row>
    <row r="164" spans="1:35" x14ac:dyDescent="0.25">
      <c r="A164" s="876">
        <v>34800</v>
      </c>
      <c r="B164" s="873" t="s">
        <v>1377</v>
      </c>
      <c r="C164" s="873">
        <v>13136765</v>
      </c>
      <c r="D164" s="874">
        <v>10908167</v>
      </c>
      <c r="E164" s="874">
        <v>0</v>
      </c>
      <c r="F164" s="874">
        <v>0</v>
      </c>
      <c r="G164" s="874">
        <v>0</v>
      </c>
      <c r="H164" s="874">
        <v>1129150</v>
      </c>
      <c r="I164" s="874">
        <f t="shared" si="6"/>
        <v>1129150</v>
      </c>
      <c r="J164" s="874"/>
      <c r="K164" s="874">
        <v>782136</v>
      </c>
      <c r="L164" s="874">
        <v>4054</v>
      </c>
      <c r="M164" s="874">
        <v>3004059</v>
      </c>
      <c r="N164" s="874">
        <v>0</v>
      </c>
      <c r="O164" s="874">
        <f t="shared" si="7"/>
        <v>3790249</v>
      </c>
      <c r="P164" s="874"/>
      <c r="Q164" s="874">
        <f t="shared" si="8"/>
        <v>540809</v>
      </c>
      <c r="R164" s="874">
        <v>225833</v>
      </c>
      <c r="S164" s="874">
        <v>766642</v>
      </c>
      <c r="T164" s="878"/>
      <c r="U164" s="878"/>
      <c r="V164" s="878"/>
      <c r="W164" s="878"/>
      <c r="X164" s="878"/>
      <c r="Y164" s="878"/>
      <c r="Z164" s="878"/>
      <c r="AA164" s="878"/>
      <c r="AB164" s="879"/>
      <c r="AC164" s="879"/>
      <c r="AD164" s="879"/>
      <c r="AE164" s="879"/>
      <c r="AF164" s="879"/>
      <c r="AG164" s="879"/>
      <c r="AH164" s="879"/>
      <c r="AI164" s="879"/>
    </row>
    <row r="165" spans="1:35" x14ac:dyDescent="0.25">
      <c r="A165" s="876">
        <v>34900</v>
      </c>
      <c r="B165" s="873" t="s">
        <v>1378</v>
      </c>
      <c r="C165" s="873">
        <v>279591436</v>
      </c>
      <c r="D165" s="874">
        <v>217402149</v>
      </c>
      <c r="E165" s="874">
        <v>0</v>
      </c>
      <c r="F165" s="874">
        <v>0</v>
      </c>
      <c r="G165" s="874">
        <v>0</v>
      </c>
      <c r="H165" s="874">
        <v>7115840</v>
      </c>
      <c r="I165" s="874">
        <f t="shared" si="6"/>
        <v>7115840</v>
      </c>
      <c r="J165" s="874"/>
      <c r="K165" s="874">
        <v>15588134</v>
      </c>
      <c r="L165" s="874">
        <v>80796</v>
      </c>
      <c r="M165" s="874">
        <v>59871559</v>
      </c>
      <c r="N165" s="874">
        <v>0</v>
      </c>
      <c r="O165" s="874">
        <f t="shared" si="7"/>
        <v>75540489</v>
      </c>
      <c r="P165" s="874"/>
      <c r="Q165" s="874">
        <f t="shared" si="8"/>
        <v>10778450</v>
      </c>
      <c r="R165" s="874">
        <v>1423169</v>
      </c>
      <c r="S165" s="874">
        <v>12201619</v>
      </c>
      <c r="T165" s="878"/>
      <c r="U165" s="878"/>
      <c r="V165" s="878"/>
      <c r="W165" s="878"/>
      <c r="X165" s="878"/>
      <c r="Y165" s="878"/>
      <c r="Z165" s="878"/>
      <c r="AA165" s="878"/>
      <c r="AB165" s="879"/>
      <c r="AC165" s="879"/>
      <c r="AD165" s="879"/>
      <c r="AE165" s="879"/>
      <c r="AF165" s="879"/>
      <c r="AG165" s="879"/>
      <c r="AH165" s="879"/>
      <c r="AI165" s="879"/>
    </row>
    <row r="166" spans="1:35" x14ac:dyDescent="0.25">
      <c r="A166" s="876">
        <v>34901</v>
      </c>
      <c r="B166" s="873" t="s">
        <v>1379</v>
      </c>
      <c r="C166" s="873">
        <v>7129812</v>
      </c>
      <c r="D166" s="874">
        <v>5693757</v>
      </c>
      <c r="E166" s="874">
        <v>0</v>
      </c>
      <c r="F166" s="874">
        <v>0</v>
      </c>
      <c r="G166" s="874">
        <v>0</v>
      </c>
      <c r="H166" s="874">
        <v>323055</v>
      </c>
      <c r="I166" s="874">
        <f t="shared" si="6"/>
        <v>323055</v>
      </c>
      <c r="J166" s="874"/>
      <c r="K166" s="874">
        <v>408253</v>
      </c>
      <c r="L166" s="874">
        <v>2116</v>
      </c>
      <c r="M166" s="874">
        <v>1568035</v>
      </c>
      <c r="N166" s="874">
        <v>0</v>
      </c>
      <c r="O166" s="874">
        <f t="shared" si="7"/>
        <v>1978404</v>
      </c>
      <c r="P166" s="874"/>
      <c r="Q166" s="874">
        <f t="shared" si="8"/>
        <v>282287</v>
      </c>
      <c r="R166" s="874">
        <v>64606</v>
      </c>
      <c r="S166" s="874">
        <v>346893</v>
      </c>
      <c r="T166" s="878"/>
      <c r="U166" s="878"/>
      <c r="V166" s="878"/>
      <c r="W166" s="878"/>
      <c r="X166" s="878"/>
      <c r="Y166" s="878"/>
      <c r="Z166" s="878"/>
      <c r="AA166" s="878"/>
      <c r="AB166" s="879"/>
      <c r="AC166" s="879"/>
      <c r="AD166" s="879"/>
      <c r="AE166" s="879"/>
      <c r="AF166" s="879"/>
      <c r="AG166" s="879"/>
      <c r="AH166" s="879"/>
      <c r="AI166" s="879"/>
    </row>
    <row r="167" spans="1:35" x14ac:dyDescent="0.25">
      <c r="A167" s="876">
        <v>34903</v>
      </c>
      <c r="B167" s="873" t="s">
        <v>1380</v>
      </c>
      <c r="C167" s="873">
        <v>447119</v>
      </c>
      <c r="D167" s="874">
        <v>343966</v>
      </c>
      <c r="E167" s="874">
        <v>0</v>
      </c>
      <c r="F167" s="874">
        <v>0</v>
      </c>
      <c r="G167" s="874">
        <v>0</v>
      </c>
      <c r="H167" s="874">
        <v>11940</v>
      </c>
      <c r="I167" s="874">
        <f t="shared" si="6"/>
        <v>11940</v>
      </c>
      <c r="J167" s="874"/>
      <c r="K167" s="874">
        <v>24663</v>
      </c>
      <c r="L167" s="874">
        <v>128</v>
      </c>
      <c r="M167" s="874">
        <v>94727</v>
      </c>
      <c r="N167" s="874">
        <v>0</v>
      </c>
      <c r="O167" s="874">
        <f t="shared" si="7"/>
        <v>119518</v>
      </c>
      <c r="P167" s="874"/>
      <c r="Q167" s="874">
        <f t="shared" si="8"/>
        <v>17053</v>
      </c>
      <c r="R167" s="874">
        <v>2391</v>
      </c>
      <c r="S167" s="874">
        <v>19444</v>
      </c>
      <c r="T167" s="878"/>
      <c r="U167" s="878"/>
      <c r="V167" s="878"/>
      <c r="W167" s="878"/>
      <c r="X167" s="878"/>
      <c r="Y167" s="878"/>
      <c r="Z167" s="878"/>
      <c r="AA167" s="878"/>
      <c r="AB167" s="879"/>
      <c r="AC167" s="879"/>
      <c r="AD167" s="879"/>
      <c r="AE167" s="879"/>
      <c r="AF167" s="879"/>
      <c r="AG167" s="879"/>
      <c r="AH167" s="879"/>
      <c r="AI167" s="879"/>
    </row>
    <row r="168" spans="1:35" x14ac:dyDescent="0.25">
      <c r="A168" s="876">
        <v>34905</v>
      </c>
      <c r="B168" s="873" t="s">
        <v>1381</v>
      </c>
      <c r="C168" s="873">
        <v>28138198</v>
      </c>
      <c r="D168" s="874">
        <v>19446808</v>
      </c>
      <c r="E168" s="874">
        <v>0</v>
      </c>
      <c r="F168" s="874">
        <v>0</v>
      </c>
      <c r="G168" s="874">
        <v>0</v>
      </c>
      <c r="H168" s="874">
        <v>0</v>
      </c>
      <c r="I168" s="874">
        <f t="shared" si="6"/>
        <v>0</v>
      </c>
      <c r="J168" s="874"/>
      <c r="K168" s="874">
        <v>1394372</v>
      </c>
      <c r="L168" s="874">
        <v>7227</v>
      </c>
      <c r="M168" s="874">
        <v>5355562</v>
      </c>
      <c r="N168" s="874">
        <v>1910020</v>
      </c>
      <c r="O168" s="874">
        <f t="shared" si="7"/>
        <v>8667181</v>
      </c>
      <c r="P168" s="874"/>
      <c r="Q168" s="874">
        <f t="shared" si="8"/>
        <v>964142</v>
      </c>
      <c r="R168" s="874">
        <v>-382005</v>
      </c>
      <c r="S168" s="874">
        <v>582137</v>
      </c>
      <c r="T168" s="878"/>
      <c r="U168" s="878"/>
      <c r="V168" s="878"/>
      <c r="W168" s="878"/>
      <c r="X168" s="878"/>
      <c r="Y168" s="878"/>
      <c r="Z168" s="878"/>
      <c r="AA168" s="878"/>
      <c r="AB168" s="879"/>
      <c r="AC168" s="879"/>
      <c r="AD168" s="879"/>
      <c r="AE168" s="879"/>
      <c r="AF168" s="879"/>
      <c r="AG168" s="879"/>
      <c r="AH168" s="879"/>
      <c r="AI168" s="879"/>
    </row>
    <row r="169" spans="1:35" x14ac:dyDescent="0.25">
      <c r="A169" s="876">
        <v>34910</v>
      </c>
      <c r="B169" s="873" t="s">
        <v>1382</v>
      </c>
      <c r="C169" s="873">
        <v>88090955</v>
      </c>
      <c r="D169" s="874">
        <v>67882513</v>
      </c>
      <c r="E169" s="874">
        <v>0</v>
      </c>
      <c r="F169" s="874">
        <v>0</v>
      </c>
      <c r="G169" s="874">
        <v>0</v>
      </c>
      <c r="H169" s="874">
        <v>1476235</v>
      </c>
      <c r="I169" s="874">
        <f t="shared" si="6"/>
        <v>1476235</v>
      </c>
      <c r="J169" s="874"/>
      <c r="K169" s="874">
        <v>4867301</v>
      </c>
      <c r="L169" s="874">
        <v>25228</v>
      </c>
      <c r="M169" s="874">
        <v>18694534</v>
      </c>
      <c r="N169" s="874">
        <v>0</v>
      </c>
      <c r="O169" s="874">
        <f t="shared" si="7"/>
        <v>23587063</v>
      </c>
      <c r="P169" s="874"/>
      <c r="Q169" s="874">
        <f t="shared" si="8"/>
        <v>3365506</v>
      </c>
      <c r="R169" s="874">
        <v>295248</v>
      </c>
      <c r="S169" s="874">
        <v>3660754</v>
      </c>
      <c r="T169" s="878"/>
      <c r="U169" s="878"/>
      <c r="V169" s="878"/>
      <c r="W169" s="878"/>
      <c r="X169" s="878"/>
      <c r="Y169" s="878"/>
      <c r="Z169" s="878"/>
      <c r="AA169" s="878"/>
      <c r="AB169" s="879"/>
      <c r="AC169" s="879"/>
      <c r="AD169" s="879"/>
      <c r="AE169" s="879"/>
      <c r="AF169" s="879"/>
      <c r="AG169" s="879"/>
      <c r="AH169" s="879"/>
      <c r="AI169" s="879"/>
    </row>
    <row r="170" spans="1:35" x14ac:dyDescent="0.25">
      <c r="A170" s="876">
        <v>35000</v>
      </c>
      <c r="B170" s="873" t="s">
        <v>1383</v>
      </c>
      <c r="C170" s="873">
        <v>56612103</v>
      </c>
      <c r="D170" s="874">
        <v>44635464</v>
      </c>
      <c r="E170" s="874">
        <v>0</v>
      </c>
      <c r="F170" s="874">
        <v>0</v>
      </c>
      <c r="G170" s="874">
        <v>0</v>
      </c>
      <c r="H170" s="874">
        <v>2093195</v>
      </c>
      <c r="I170" s="874">
        <f t="shared" si="6"/>
        <v>2093195</v>
      </c>
      <c r="J170" s="874"/>
      <c r="K170" s="874">
        <v>3200445</v>
      </c>
      <c r="L170" s="874">
        <v>16588</v>
      </c>
      <c r="M170" s="874">
        <v>12292403</v>
      </c>
      <c r="N170" s="874">
        <v>0</v>
      </c>
      <c r="O170" s="874">
        <f t="shared" si="7"/>
        <v>15509436</v>
      </c>
      <c r="P170" s="874"/>
      <c r="Q170" s="874">
        <f t="shared" si="8"/>
        <v>2212955</v>
      </c>
      <c r="R170" s="874">
        <v>418642</v>
      </c>
      <c r="S170" s="874">
        <v>2631597</v>
      </c>
      <c r="T170" s="878"/>
      <c r="U170" s="878"/>
      <c r="V170" s="878"/>
      <c r="W170" s="878"/>
      <c r="X170" s="878"/>
      <c r="Y170" s="878"/>
      <c r="Z170" s="878"/>
      <c r="AA170" s="878"/>
      <c r="AB170" s="879"/>
      <c r="AC170" s="879"/>
      <c r="AD170" s="879"/>
      <c r="AE170" s="879"/>
      <c r="AF170" s="879"/>
      <c r="AG170" s="879"/>
      <c r="AH170" s="879"/>
      <c r="AI170" s="879"/>
    </row>
    <row r="171" spans="1:35" x14ac:dyDescent="0.25">
      <c r="A171" s="876">
        <v>35005</v>
      </c>
      <c r="B171" s="873" t="s">
        <v>1384</v>
      </c>
      <c r="C171" s="873">
        <v>26682465</v>
      </c>
      <c r="D171" s="874">
        <v>19180331</v>
      </c>
      <c r="E171" s="874">
        <v>0</v>
      </c>
      <c r="F171" s="874">
        <v>0</v>
      </c>
      <c r="G171" s="874">
        <v>0</v>
      </c>
      <c r="H171" s="874">
        <v>0</v>
      </c>
      <c r="I171" s="874">
        <f t="shared" si="6"/>
        <v>0</v>
      </c>
      <c r="J171" s="874"/>
      <c r="K171" s="874">
        <v>1375265</v>
      </c>
      <c r="L171" s="874">
        <v>7128</v>
      </c>
      <c r="M171" s="874">
        <v>5282176</v>
      </c>
      <c r="N171" s="874">
        <v>989965</v>
      </c>
      <c r="O171" s="874">
        <f t="shared" si="7"/>
        <v>7654534</v>
      </c>
      <c r="P171" s="874"/>
      <c r="Q171" s="874">
        <f t="shared" si="8"/>
        <v>950930</v>
      </c>
      <c r="R171" s="874">
        <v>-197994</v>
      </c>
      <c r="S171" s="874">
        <v>752936</v>
      </c>
      <c r="T171" s="878"/>
      <c r="U171" s="878"/>
      <c r="V171" s="878"/>
      <c r="W171" s="878"/>
      <c r="X171" s="878"/>
      <c r="Y171" s="878"/>
      <c r="Z171" s="878"/>
      <c r="AA171" s="878"/>
      <c r="AB171" s="879"/>
      <c r="AC171" s="879"/>
      <c r="AD171" s="879"/>
      <c r="AE171" s="879"/>
      <c r="AF171" s="879"/>
      <c r="AG171" s="879"/>
      <c r="AH171" s="879"/>
      <c r="AI171" s="879"/>
    </row>
    <row r="172" spans="1:35" x14ac:dyDescent="0.25">
      <c r="A172" s="876">
        <v>35100</v>
      </c>
      <c r="B172" s="873" t="s">
        <v>1385</v>
      </c>
      <c r="C172" s="873">
        <v>496523474</v>
      </c>
      <c r="D172" s="874">
        <v>396255480</v>
      </c>
      <c r="E172" s="874">
        <v>0</v>
      </c>
      <c r="F172" s="874">
        <v>0</v>
      </c>
      <c r="G172" s="874">
        <v>0</v>
      </c>
      <c r="H172" s="874">
        <v>23270860</v>
      </c>
      <c r="I172" s="874">
        <f t="shared" si="6"/>
        <v>23270860</v>
      </c>
      <c r="J172" s="874"/>
      <c r="K172" s="874">
        <v>28412247</v>
      </c>
      <c r="L172" s="874">
        <v>147266</v>
      </c>
      <c r="M172" s="874">
        <v>109126950</v>
      </c>
      <c r="N172" s="874">
        <v>0</v>
      </c>
      <c r="O172" s="874">
        <f t="shared" si="7"/>
        <v>137686463</v>
      </c>
      <c r="P172" s="874"/>
      <c r="Q172" s="874">
        <f t="shared" si="8"/>
        <v>19645711</v>
      </c>
      <c r="R172" s="874">
        <v>4654171</v>
      </c>
      <c r="S172" s="874">
        <v>24299882</v>
      </c>
      <c r="T172" s="878"/>
      <c r="U172" s="878"/>
      <c r="V172" s="878"/>
      <c r="W172" s="878"/>
      <c r="X172" s="878"/>
      <c r="Y172" s="878"/>
      <c r="Z172" s="878"/>
      <c r="AA172" s="878"/>
      <c r="AB172" s="879"/>
      <c r="AC172" s="879"/>
      <c r="AD172" s="879"/>
      <c r="AE172" s="879"/>
      <c r="AF172" s="879"/>
      <c r="AG172" s="879"/>
      <c r="AH172" s="879"/>
      <c r="AI172" s="879"/>
    </row>
    <row r="173" spans="1:35" x14ac:dyDescent="0.25">
      <c r="A173" s="876">
        <v>35105</v>
      </c>
      <c r="B173" s="873" t="s">
        <v>1386</v>
      </c>
      <c r="C173" s="873">
        <v>46217033</v>
      </c>
      <c r="D173" s="874">
        <v>32385407</v>
      </c>
      <c r="E173" s="874">
        <v>0</v>
      </c>
      <c r="F173" s="874">
        <v>0</v>
      </c>
      <c r="G173" s="874">
        <v>0</v>
      </c>
      <c r="H173" s="874">
        <v>0</v>
      </c>
      <c r="I173" s="874">
        <f t="shared" si="6"/>
        <v>0</v>
      </c>
      <c r="J173" s="874"/>
      <c r="K173" s="874">
        <v>2322093</v>
      </c>
      <c r="L173" s="874">
        <v>12036</v>
      </c>
      <c r="M173" s="874">
        <v>8918793</v>
      </c>
      <c r="N173" s="874">
        <v>2707775</v>
      </c>
      <c r="O173" s="874">
        <f t="shared" si="7"/>
        <v>13960697</v>
      </c>
      <c r="P173" s="874"/>
      <c r="Q173" s="874">
        <f t="shared" si="8"/>
        <v>1605617</v>
      </c>
      <c r="R173" s="874">
        <v>-541558</v>
      </c>
      <c r="S173" s="874">
        <v>1064059</v>
      </c>
      <c r="T173" s="878"/>
      <c r="U173" s="878"/>
      <c r="V173" s="878"/>
      <c r="W173" s="878"/>
      <c r="X173" s="878"/>
      <c r="Y173" s="878"/>
      <c r="Z173" s="878"/>
      <c r="AA173" s="878"/>
      <c r="AB173" s="879"/>
      <c r="AC173" s="879"/>
      <c r="AD173" s="879"/>
      <c r="AE173" s="879"/>
      <c r="AF173" s="879"/>
      <c r="AG173" s="879"/>
      <c r="AH173" s="879"/>
      <c r="AI173" s="879"/>
    </row>
    <row r="174" spans="1:35" x14ac:dyDescent="0.25">
      <c r="A174" s="876">
        <v>35106</v>
      </c>
      <c r="B174" s="873" t="s">
        <v>1387</v>
      </c>
      <c r="C174" s="873">
        <v>11584607</v>
      </c>
      <c r="D174" s="874">
        <v>8870821</v>
      </c>
      <c r="E174" s="874">
        <v>0</v>
      </c>
      <c r="F174" s="874">
        <v>0</v>
      </c>
      <c r="G174" s="874">
        <v>0</v>
      </c>
      <c r="H174" s="874">
        <v>107675</v>
      </c>
      <c r="I174" s="874">
        <f t="shared" si="6"/>
        <v>107675</v>
      </c>
      <c r="J174" s="874"/>
      <c r="K174" s="874">
        <v>636054</v>
      </c>
      <c r="L174" s="874">
        <v>3297</v>
      </c>
      <c r="M174" s="874">
        <v>2442984</v>
      </c>
      <c r="N174" s="874">
        <v>0</v>
      </c>
      <c r="O174" s="874">
        <f t="shared" si="7"/>
        <v>3082335</v>
      </c>
      <c r="P174" s="874"/>
      <c r="Q174" s="874">
        <f t="shared" si="8"/>
        <v>439801</v>
      </c>
      <c r="R174" s="874">
        <v>21536</v>
      </c>
      <c r="S174" s="874">
        <v>461337</v>
      </c>
      <c r="T174" s="878"/>
      <c r="U174" s="878"/>
      <c r="V174" s="878"/>
      <c r="W174" s="878"/>
      <c r="X174" s="878"/>
      <c r="Y174" s="878"/>
      <c r="Z174" s="878"/>
      <c r="AA174" s="878"/>
      <c r="AB174" s="879"/>
      <c r="AC174" s="879"/>
      <c r="AD174" s="879"/>
      <c r="AE174" s="879"/>
      <c r="AF174" s="879"/>
      <c r="AG174" s="879"/>
      <c r="AH174" s="879"/>
      <c r="AI174" s="879"/>
    </row>
    <row r="175" spans="1:35" x14ac:dyDescent="0.25">
      <c r="A175" s="876">
        <v>35200</v>
      </c>
      <c r="B175" s="873" t="s">
        <v>1388</v>
      </c>
      <c r="C175" s="873">
        <v>21344841</v>
      </c>
      <c r="D175" s="874">
        <v>16532303</v>
      </c>
      <c r="E175" s="874">
        <v>0</v>
      </c>
      <c r="F175" s="874">
        <v>0</v>
      </c>
      <c r="G175" s="874">
        <v>0</v>
      </c>
      <c r="H175" s="874">
        <v>507955</v>
      </c>
      <c r="I175" s="874">
        <f t="shared" si="6"/>
        <v>507955</v>
      </c>
      <c r="J175" s="874"/>
      <c r="K175" s="874">
        <v>1185397</v>
      </c>
      <c r="L175" s="874">
        <v>6144</v>
      </c>
      <c r="M175" s="874">
        <v>4552921</v>
      </c>
      <c r="N175" s="874">
        <v>0</v>
      </c>
      <c r="O175" s="874">
        <f t="shared" si="7"/>
        <v>5744462</v>
      </c>
      <c r="P175" s="874"/>
      <c r="Q175" s="874">
        <f t="shared" si="8"/>
        <v>819645</v>
      </c>
      <c r="R175" s="874">
        <v>101588</v>
      </c>
      <c r="S175" s="874">
        <v>921233</v>
      </c>
      <c r="T175" s="878"/>
      <c r="U175" s="878"/>
      <c r="V175" s="878"/>
      <c r="W175" s="878"/>
      <c r="X175" s="878"/>
      <c r="Y175" s="878"/>
      <c r="Z175" s="878"/>
      <c r="AA175" s="878"/>
      <c r="AB175" s="879"/>
      <c r="AC175" s="879"/>
      <c r="AD175" s="879"/>
      <c r="AE175" s="879"/>
      <c r="AF175" s="879"/>
      <c r="AG175" s="879"/>
      <c r="AH175" s="879"/>
      <c r="AI175" s="879"/>
    </row>
    <row r="176" spans="1:35" x14ac:dyDescent="0.25">
      <c r="A176" s="876">
        <v>35300</v>
      </c>
      <c r="B176" s="873" t="s">
        <v>1389</v>
      </c>
      <c r="C176" s="873">
        <v>145543449</v>
      </c>
      <c r="D176" s="874">
        <v>119790962</v>
      </c>
      <c r="E176" s="874">
        <v>0</v>
      </c>
      <c r="F176" s="874">
        <v>0</v>
      </c>
      <c r="G176" s="874">
        <v>0</v>
      </c>
      <c r="H176" s="874">
        <v>10871745</v>
      </c>
      <c r="I176" s="874">
        <f t="shared" si="6"/>
        <v>10871745</v>
      </c>
      <c r="J176" s="874"/>
      <c r="K176" s="874">
        <v>8589232</v>
      </c>
      <c r="L176" s="874">
        <v>44520</v>
      </c>
      <c r="M176" s="874">
        <v>32989884</v>
      </c>
      <c r="N176" s="874">
        <v>0</v>
      </c>
      <c r="O176" s="874">
        <f t="shared" si="7"/>
        <v>41623636</v>
      </c>
      <c r="P176" s="874"/>
      <c r="Q176" s="874">
        <f t="shared" si="8"/>
        <v>5939044</v>
      </c>
      <c r="R176" s="874">
        <v>2174352</v>
      </c>
      <c r="S176" s="874">
        <v>8113396</v>
      </c>
      <c r="T176" s="878"/>
      <c r="U176" s="878"/>
      <c r="V176" s="878"/>
      <c r="W176" s="878"/>
      <c r="X176" s="878"/>
      <c r="Y176" s="878"/>
      <c r="Z176" s="878"/>
      <c r="AA176" s="878"/>
      <c r="AB176" s="879"/>
      <c r="AC176" s="879"/>
      <c r="AD176" s="879"/>
      <c r="AE176" s="879"/>
      <c r="AF176" s="879"/>
      <c r="AG176" s="879"/>
      <c r="AH176" s="879"/>
      <c r="AI176" s="879"/>
    </row>
    <row r="177" spans="1:35" x14ac:dyDescent="0.25">
      <c r="A177" s="876">
        <v>35305</v>
      </c>
      <c r="B177" s="873" t="s">
        <v>1390</v>
      </c>
      <c r="C177" s="873">
        <v>54801298</v>
      </c>
      <c r="D177" s="874">
        <v>39998236</v>
      </c>
      <c r="E177" s="874">
        <v>0</v>
      </c>
      <c r="F177" s="874">
        <v>0</v>
      </c>
      <c r="G177" s="874">
        <v>0</v>
      </c>
      <c r="H177" s="874">
        <v>0</v>
      </c>
      <c r="I177" s="874">
        <f t="shared" si="6"/>
        <v>0</v>
      </c>
      <c r="J177" s="874"/>
      <c r="K177" s="874">
        <v>2867947</v>
      </c>
      <c r="L177" s="874">
        <v>14865</v>
      </c>
      <c r="M177" s="874">
        <v>11015331</v>
      </c>
      <c r="N177" s="874">
        <v>1402975</v>
      </c>
      <c r="O177" s="874">
        <f t="shared" si="7"/>
        <v>15301118</v>
      </c>
      <c r="P177" s="874"/>
      <c r="Q177" s="874">
        <f t="shared" si="8"/>
        <v>1983048</v>
      </c>
      <c r="R177" s="874">
        <v>-280597</v>
      </c>
      <c r="S177" s="874">
        <v>1702451</v>
      </c>
      <c r="T177" s="878"/>
      <c r="U177" s="878"/>
      <c r="V177" s="878"/>
      <c r="W177" s="878"/>
      <c r="X177" s="878"/>
      <c r="Y177" s="878"/>
      <c r="Z177" s="878"/>
      <c r="AA177" s="878"/>
      <c r="AB177" s="879"/>
      <c r="AC177" s="879"/>
      <c r="AD177" s="879"/>
      <c r="AE177" s="879"/>
      <c r="AF177" s="879"/>
      <c r="AG177" s="879"/>
      <c r="AH177" s="879"/>
      <c r="AI177" s="879"/>
    </row>
    <row r="178" spans="1:35" x14ac:dyDescent="0.25">
      <c r="A178" s="876">
        <v>35400</v>
      </c>
      <c r="B178" s="873" t="s">
        <v>1391</v>
      </c>
      <c r="C178" s="873">
        <v>116451377</v>
      </c>
      <c r="D178" s="874">
        <v>88553112</v>
      </c>
      <c r="E178" s="874">
        <v>0</v>
      </c>
      <c r="F178" s="874">
        <v>0</v>
      </c>
      <c r="G178" s="874">
        <v>0</v>
      </c>
      <c r="H178" s="874">
        <v>826440</v>
      </c>
      <c r="I178" s="874">
        <f t="shared" si="6"/>
        <v>826440</v>
      </c>
      <c r="J178" s="874"/>
      <c r="K178" s="874">
        <v>6349421</v>
      </c>
      <c r="L178" s="874">
        <v>32910</v>
      </c>
      <c r="M178" s="874">
        <v>24387123</v>
      </c>
      <c r="N178" s="874">
        <v>0</v>
      </c>
      <c r="O178" s="874">
        <f t="shared" si="7"/>
        <v>30769454</v>
      </c>
      <c r="P178" s="874"/>
      <c r="Q178" s="874">
        <f t="shared" si="8"/>
        <v>4390321</v>
      </c>
      <c r="R178" s="874">
        <v>165286</v>
      </c>
      <c r="S178" s="874">
        <v>4555607</v>
      </c>
      <c r="T178" s="878"/>
      <c r="U178" s="878"/>
      <c r="V178" s="878"/>
      <c r="W178" s="878"/>
      <c r="X178" s="878"/>
      <c r="Y178" s="878"/>
      <c r="Z178" s="878"/>
      <c r="AA178" s="878"/>
      <c r="AB178" s="879"/>
      <c r="AC178" s="879"/>
      <c r="AD178" s="879"/>
      <c r="AE178" s="879"/>
      <c r="AF178" s="879"/>
      <c r="AG178" s="879"/>
      <c r="AH178" s="879"/>
      <c r="AI178" s="879"/>
    </row>
    <row r="179" spans="1:35" x14ac:dyDescent="0.25">
      <c r="A179" s="876">
        <v>35401</v>
      </c>
      <c r="B179" s="873" t="s">
        <v>1392</v>
      </c>
      <c r="C179" s="873">
        <v>1072414</v>
      </c>
      <c r="D179" s="874">
        <v>1088886</v>
      </c>
      <c r="E179" s="874">
        <v>0</v>
      </c>
      <c r="F179" s="874">
        <v>0</v>
      </c>
      <c r="G179" s="874">
        <v>0</v>
      </c>
      <c r="H179" s="874">
        <v>305965</v>
      </c>
      <c r="I179" s="874">
        <f t="shared" si="6"/>
        <v>305965</v>
      </c>
      <c r="J179" s="874"/>
      <c r="K179" s="874">
        <v>78075</v>
      </c>
      <c r="L179" s="874">
        <v>405</v>
      </c>
      <c r="M179" s="874">
        <v>299874</v>
      </c>
      <c r="N179" s="874">
        <v>0</v>
      </c>
      <c r="O179" s="874">
        <f t="shared" si="7"/>
        <v>378354</v>
      </c>
      <c r="P179" s="874"/>
      <c r="Q179" s="874">
        <f t="shared" si="8"/>
        <v>53985</v>
      </c>
      <c r="R179" s="874">
        <v>61195</v>
      </c>
      <c r="S179" s="874">
        <v>115180</v>
      </c>
      <c r="T179" s="878"/>
      <c r="U179" s="878"/>
      <c r="V179" s="878"/>
      <c r="W179" s="878"/>
      <c r="X179" s="878"/>
      <c r="Y179" s="878"/>
      <c r="Z179" s="878"/>
      <c r="AA179" s="878"/>
      <c r="AB179" s="879"/>
      <c r="AC179" s="879"/>
      <c r="AD179" s="879"/>
      <c r="AE179" s="879"/>
      <c r="AF179" s="879"/>
      <c r="AG179" s="879"/>
      <c r="AH179" s="879"/>
      <c r="AI179" s="879"/>
    </row>
    <row r="180" spans="1:35" x14ac:dyDescent="0.25">
      <c r="A180" s="876">
        <v>35405</v>
      </c>
      <c r="B180" s="873" t="s">
        <v>1393</v>
      </c>
      <c r="C180" s="873">
        <v>40384454</v>
      </c>
      <c r="D180" s="874">
        <v>28754914</v>
      </c>
      <c r="E180" s="874">
        <v>0</v>
      </c>
      <c r="F180" s="874">
        <v>0</v>
      </c>
      <c r="G180" s="874">
        <v>0</v>
      </c>
      <c r="H180" s="874">
        <v>0</v>
      </c>
      <c r="I180" s="874">
        <f t="shared" si="6"/>
        <v>0</v>
      </c>
      <c r="J180" s="874"/>
      <c r="K180" s="874">
        <v>2061780</v>
      </c>
      <c r="L180" s="874">
        <v>10687</v>
      </c>
      <c r="M180" s="874">
        <v>7918972</v>
      </c>
      <c r="N180" s="874">
        <v>1850800</v>
      </c>
      <c r="O180" s="874">
        <f t="shared" si="7"/>
        <v>11842239</v>
      </c>
      <c r="P180" s="874"/>
      <c r="Q180" s="874">
        <f t="shared" si="8"/>
        <v>1425622</v>
      </c>
      <c r="R180" s="874">
        <v>-370159</v>
      </c>
      <c r="S180" s="874">
        <v>1055463</v>
      </c>
      <c r="T180" s="878"/>
      <c r="U180" s="878"/>
      <c r="V180" s="878"/>
      <c r="W180" s="878"/>
      <c r="X180" s="878"/>
      <c r="Y180" s="878"/>
      <c r="Z180" s="878"/>
      <c r="AA180" s="878"/>
      <c r="AB180" s="879"/>
      <c r="AC180" s="879"/>
      <c r="AD180" s="879"/>
      <c r="AE180" s="879"/>
      <c r="AF180" s="879"/>
      <c r="AG180" s="879"/>
      <c r="AH180" s="879"/>
      <c r="AI180" s="879"/>
    </row>
    <row r="181" spans="1:35" x14ac:dyDescent="0.25">
      <c r="A181" s="876">
        <v>35500</v>
      </c>
      <c r="B181" s="873" t="s">
        <v>1394</v>
      </c>
      <c r="C181" s="873">
        <v>166017067</v>
      </c>
      <c r="D181" s="874">
        <v>123670043</v>
      </c>
      <c r="E181" s="874">
        <v>0</v>
      </c>
      <c r="F181" s="874">
        <v>0</v>
      </c>
      <c r="G181" s="874">
        <v>0</v>
      </c>
      <c r="H181" s="874">
        <v>0</v>
      </c>
      <c r="I181" s="874">
        <f t="shared" si="6"/>
        <v>0</v>
      </c>
      <c r="J181" s="874"/>
      <c r="K181" s="874">
        <v>8867370</v>
      </c>
      <c r="L181" s="874">
        <v>45961</v>
      </c>
      <c r="M181" s="874">
        <v>34058165</v>
      </c>
      <c r="N181" s="874">
        <v>1852930</v>
      </c>
      <c r="O181" s="874">
        <f t="shared" si="7"/>
        <v>44824426</v>
      </c>
      <c r="P181" s="874"/>
      <c r="Q181" s="874">
        <f t="shared" si="8"/>
        <v>6131362</v>
      </c>
      <c r="R181" s="874">
        <v>-370582</v>
      </c>
      <c r="S181" s="874">
        <v>5760780</v>
      </c>
      <c r="T181" s="878"/>
      <c r="U181" s="878"/>
      <c r="V181" s="878"/>
      <c r="W181" s="878"/>
      <c r="X181" s="878"/>
      <c r="Y181" s="878"/>
      <c r="Z181" s="878"/>
      <c r="AA181" s="878"/>
      <c r="AB181" s="879"/>
      <c r="AC181" s="879"/>
      <c r="AD181" s="879"/>
      <c r="AE181" s="879"/>
      <c r="AF181" s="879"/>
      <c r="AG181" s="879"/>
      <c r="AH181" s="879"/>
      <c r="AI181" s="879"/>
    </row>
    <row r="182" spans="1:35" x14ac:dyDescent="0.25">
      <c r="A182" s="876">
        <v>35600</v>
      </c>
      <c r="B182" s="873" t="s">
        <v>1395</v>
      </c>
      <c r="C182" s="873">
        <v>63620881</v>
      </c>
      <c r="D182" s="874">
        <v>51057671</v>
      </c>
      <c r="E182" s="874">
        <v>0</v>
      </c>
      <c r="F182" s="874">
        <v>0</v>
      </c>
      <c r="G182" s="874">
        <v>0</v>
      </c>
      <c r="H182" s="874">
        <v>3385700</v>
      </c>
      <c r="I182" s="874">
        <f t="shared" si="6"/>
        <v>3385700</v>
      </c>
      <c r="J182" s="874"/>
      <c r="K182" s="874">
        <v>3660929</v>
      </c>
      <c r="L182" s="874">
        <v>18975</v>
      </c>
      <c r="M182" s="874">
        <v>14061049</v>
      </c>
      <c r="N182" s="874">
        <v>0</v>
      </c>
      <c r="O182" s="874">
        <f t="shared" si="7"/>
        <v>17740953</v>
      </c>
      <c r="P182" s="874"/>
      <c r="Q182" s="874">
        <f t="shared" si="8"/>
        <v>2531357</v>
      </c>
      <c r="R182" s="874">
        <v>677143</v>
      </c>
      <c r="S182" s="874">
        <v>3208500</v>
      </c>
      <c r="T182" s="878"/>
      <c r="U182" s="878"/>
      <c r="V182" s="878"/>
      <c r="W182" s="878"/>
      <c r="X182" s="878"/>
      <c r="Y182" s="878"/>
      <c r="Z182" s="878"/>
      <c r="AA182" s="878"/>
      <c r="AB182" s="879"/>
      <c r="AC182" s="879"/>
      <c r="AD182" s="879"/>
      <c r="AE182" s="879"/>
      <c r="AF182" s="879"/>
      <c r="AG182" s="879"/>
      <c r="AH182" s="879"/>
      <c r="AI182" s="879"/>
    </row>
    <row r="183" spans="1:35" x14ac:dyDescent="0.25">
      <c r="A183" s="876">
        <v>35700</v>
      </c>
      <c r="B183" s="873" t="s">
        <v>1396</v>
      </c>
      <c r="C183" s="873">
        <v>35840380</v>
      </c>
      <c r="D183" s="874">
        <v>28553119</v>
      </c>
      <c r="E183" s="874">
        <v>0</v>
      </c>
      <c r="F183" s="874">
        <v>0</v>
      </c>
      <c r="G183" s="874">
        <v>0</v>
      </c>
      <c r="H183" s="874">
        <v>1667545</v>
      </c>
      <c r="I183" s="874">
        <f t="shared" si="6"/>
        <v>1667545</v>
      </c>
      <c r="J183" s="874"/>
      <c r="K183" s="874">
        <v>2047311</v>
      </c>
      <c r="L183" s="874">
        <v>10612</v>
      </c>
      <c r="M183" s="874">
        <v>7863399</v>
      </c>
      <c r="N183" s="874">
        <v>0</v>
      </c>
      <c r="O183" s="874">
        <f t="shared" si="7"/>
        <v>9921322</v>
      </c>
      <c r="P183" s="874"/>
      <c r="Q183" s="874">
        <f t="shared" si="8"/>
        <v>1415618</v>
      </c>
      <c r="R183" s="874">
        <v>333512</v>
      </c>
      <c r="S183" s="874">
        <v>1749130</v>
      </c>
      <c r="T183" s="878"/>
      <c r="U183" s="878"/>
      <c r="V183" s="878"/>
      <c r="W183" s="878"/>
      <c r="X183" s="878"/>
      <c r="Y183" s="878"/>
      <c r="Z183" s="878"/>
      <c r="AA183" s="878"/>
      <c r="AB183" s="879"/>
      <c r="AC183" s="879"/>
      <c r="AD183" s="879"/>
      <c r="AE183" s="879"/>
      <c r="AF183" s="879"/>
      <c r="AG183" s="879"/>
      <c r="AH183" s="879"/>
      <c r="AI183" s="879"/>
    </row>
    <row r="184" spans="1:35" x14ac:dyDescent="0.25">
      <c r="A184" s="876">
        <v>35800</v>
      </c>
      <c r="B184" s="873" t="s">
        <v>1397</v>
      </c>
      <c r="C184" s="873">
        <v>51626295</v>
      </c>
      <c r="D184" s="874">
        <v>39405443</v>
      </c>
      <c r="E184" s="874">
        <v>0</v>
      </c>
      <c r="F184" s="874">
        <v>0</v>
      </c>
      <c r="G184" s="874">
        <v>0</v>
      </c>
      <c r="H184" s="874">
        <v>586775</v>
      </c>
      <c r="I184" s="874">
        <f t="shared" si="6"/>
        <v>586775</v>
      </c>
      <c r="J184" s="874"/>
      <c r="K184" s="874">
        <v>2825443</v>
      </c>
      <c r="L184" s="874">
        <v>14645</v>
      </c>
      <c r="M184" s="874">
        <v>10852079</v>
      </c>
      <c r="N184" s="874">
        <v>0</v>
      </c>
      <c r="O184" s="874">
        <f t="shared" si="7"/>
        <v>13692167</v>
      </c>
      <c r="P184" s="874"/>
      <c r="Q184" s="874">
        <f t="shared" si="8"/>
        <v>1953659</v>
      </c>
      <c r="R184" s="874">
        <v>117354</v>
      </c>
      <c r="S184" s="874">
        <v>2071013</v>
      </c>
      <c r="T184" s="878"/>
      <c r="U184" s="878"/>
      <c r="V184" s="878"/>
      <c r="W184" s="878"/>
      <c r="X184" s="878"/>
      <c r="Y184" s="878"/>
      <c r="Z184" s="878"/>
      <c r="AA184" s="878"/>
      <c r="AB184" s="879"/>
      <c r="AC184" s="879"/>
      <c r="AD184" s="879"/>
      <c r="AE184" s="879"/>
      <c r="AF184" s="879"/>
      <c r="AG184" s="879"/>
      <c r="AH184" s="879"/>
      <c r="AI184" s="879"/>
    </row>
    <row r="185" spans="1:35" x14ac:dyDescent="0.25">
      <c r="A185" s="876">
        <v>35805</v>
      </c>
      <c r="B185" s="873" t="s">
        <v>1398</v>
      </c>
      <c r="C185" s="873">
        <v>8075872</v>
      </c>
      <c r="D185" s="874">
        <v>6267062</v>
      </c>
      <c r="E185" s="874">
        <v>0</v>
      </c>
      <c r="F185" s="874">
        <v>0</v>
      </c>
      <c r="G185" s="874">
        <v>0</v>
      </c>
      <c r="H185" s="874">
        <v>241470</v>
      </c>
      <c r="I185" s="874">
        <f t="shared" si="6"/>
        <v>241470</v>
      </c>
      <c r="J185" s="874"/>
      <c r="K185" s="874">
        <v>449360</v>
      </c>
      <c r="L185" s="874">
        <v>2329</v>
      </c>
      <c r="M185" s="874">
        <v>1725920</v>
      </c>
      <c r="N185" s="874">
        <v>0</v>
      </c>
      <c r="O185" s="874">
        <f t="shared" si="7"/>
        <v>2177609</v>
      </c>
      <c r="P185" s="874"/>
      <c r="Q185" s="874">
        <f t="shared" si="8"/>
        <v>310711</v>
      </c>
      <c r="R185" s="874">
        <v>48293</v>
      </c>
      <c r="S185" s="874">
        <v>359004</v>
      </c>
      <c r="T185" s="878"/>
      <c r="U185" s="878"/>
      <c r="V185" s="878"/>
      <c r="W185" s="878"/>
      <c r="X185" s="878"/>
      <c r="Y185" s="878"/>
      <c r="Z185" s="878"/>
      <c r="AA185" s="878"/>
      <c r="AB185" s="879"/>
      <c r="AC185" s="879"/>
      <c r="AD185" s="879"/>
      <c r="AE185" s="879"/>
      <c r="AF185" s="879"/>
      <c r="AG185" s="879"/>
      <c r="AH185" s="879"/>
      <c r="AI185" s="879"/>
    </row>
    <row r="186" spans="1:35" x14ac:dyDescent="0.25">
      <c r="A186" s="876">
        <v>35900</v>
      </c>
      <c r="B186" s="873" t="s">
        <v>1399</v>
      </c>
      <c r="C186" s="873">
        <v>96827378</v>
      </c>
      <c r="D186" s="874">
        <v>73452157</v>
      </c>
      <c r="E186" s="874">
        <v>0</v>
      </c>
      <c r="F186" s="874">
        <v>0</v>
      </c>
      <c r="G186" s="874">
        <v>0</v>
      </c>
      <c r="H186" s="874">
        <v>434235</v>
      </c>
      <c r="I186" s="874">
        <f t="shared" si="6"/>
        <v>434235</v>
      </c>
      <c r="J186" s="874"/>
      <c r="K186" s="874">
        <v>5266655</v>
      </c>
      <c r="L186" s="874">
        <v>27298</v>
      </c>
      <c r="M186" s="874">
        <v>20228389</v>
      </c>
      <c r="N186" s="874">
        <v>0</v>
      </c>
      <c r="O186" s="874">
        <f t="shared" si="7"/>
        <v>25522342</v>
      </c>
      <c r="P186" s="874"/>
      <c r="Q186" s="874">
        <f t="shared" si="8"/>
        <v>3641640</v>
      </c>
      <c r="R186" s="874">
        <v>86850</v>
      </c>
      <c r="S186" s="874">
        <v>3728490</v>
      </c>
      <c r="T186" s="878"/>
      <c r="U186" s="878"/>
      <c r="V186" s="878"/>
      <c r="W186" s="878"/>
      <c r="X186" s="878"/>
      <c r="Y186" s="878"/>
      <c r="Z186" s="878"/>
      <c r="AA186" s="878"/>
      <c r="AB186" s="879"/>
      <c r="AC186" s="879"/>
      <c r="AD186" s="879"/>
      <c r="AE186" s="879"/>
      <c r="AF186" s="879"/>
      <c r="AG186" s="879"/>
      <c r="AH186" s="879"/>
      <c r="AI186" s="879"/>
    </row>
    <row r="187" spans="1:35" x14ac:dyDescent="0.25">
      <c r="A187" s="876">
        <v>35905</v>
      </c>
      <c r="B187" s="873" t="s">
        <v>1400</v>
      </c>
      <c r="C187" s="873">
        <v>12731940</v>
      </c>
      <c r="D187" s="874">
        <v>9532419</v>
      </c>
      <c r="E187" s="874">
        <v>0</v>
      </c>
      <c r="F187" s="874">
        <v>0</v>
      </c>
      <c r="G187" s="874">
        <v>0</v>
      </c>
      <c r="H187" s="874">
        <v>0</v>
      </c>
      <c r="I187" s="874">
        <f t="shared" si="6"/>
        <v>0</v>
      </c>
      <c r="J187" s="874"/>
      <c r="K187" s="874">
        <v>683492</v>
      </c>
      <c r="L187" s="874">
        <v>3543</v>
      </c>
      <c r="M187" s="874">
        <v>2625185</v>
      </c>
      <c r="N187" s="874">
        <v>13325</v>
      </c>
      <c r="O187" s="874">
        <f t="shared" si="7"/>
        <v>3325545</v>
      </c>
      <c r="P187" s="874"/>
      <c r="Q187" s="874">
        <f t="shared" si="8"/>
        <v>472602</v>
      </c>
      <c r="R187" s="874">
        <v>-2668</v>
      </c>
      <c r="S187" s="874">
        <v>469934</v>
      </c>
      <c r="T187" s="878"/>
      <c r="U187" s="878"/>
      <c r="V187" s="878"/>
      <c r="W187" s="878"/>
      <c r="X187" s="878"/>
      <c r="Y187" s="878"/>
      <c r="Z187" s="878"/>
      <c r="AA187" s="878"/>
      <c r="AB187" s="879"/>
      <c r="AC187" s="879"/>
      <c r="AD187" s="879"/>
      <c r="AE187" s="879"/>
      <c r="AF187" s="879"/>
      <c r="AG187" s="879"/>
      <c r="AH187" s="879"/>
      <c r="AI187" s="879"/>
    </row>
    <row r="188" spans="1:35" x14ac:dyDescent="0.25">
      <c r="A188" s="876">
        <v>36000</v>
      </c>
      <c r="B188" s="873" t="s">
        <v>1401</v>
      </c>
      <c r="C188" s="873">
        <v>2272413309</v>
      </c>
      <c r="D188" s="874">
        <v>1795538583</v>
      </c>
      <c r="E188" s="874">
        <v>0</v>
      </c>
      <c r="F188" s="874">
        <v>0</v>
      </c>
      <c r="G188" s="874">
        <v>0</v>
      </c>
      <c r="H188" s="874">
        <v>86324305</v>
      </c>
      <c r="I188" s="874">
        <f t="shared" si="6"/>
        <v>86324305</v>
      </c>
      <c r="J188" s="874"/>
      <c r="K188" s="874">
        <v>128743419</v>
      </c>
      <c r="L188" s="874">
        <v>667300</v>
      </c>
      <c r="M188" s="874">
        <v>494483128</v>
      </c>
      <c r="N188" s="874">
        <v>0</v>
      </c>
      <c r="O188" s="874">
        <f t="shared" si="7"/>
        <v>623893847</v>
      </c>
      <c r="P188" s="874"/>
      <c r="Q188" s="874">
        <f t="shared" si="8"/>
        <v>89019921</v>
      </c>
      <c r="R188" s="874">
        <v>17264857</v>
      </c>
      <c r="S188" s="874">
        <v>106284778</v>
      </c>
      <c r="T188" s="878"/>
      <c r="U188" s="878"/>
      <c r="V188" s="878"/>
      <c r="W188" s="878"/>
      <c r="X188" s="878"/>
      <c r="Y188" s="878"/>
      <c r="Z188" s="878"/>
      <c r="AA188" s="878"/>
      <c r="AB188" s="879"/>
      <c r="AC188" s="879"/>
      <c r="AD188" s="879"/>
      <c r="AE188" s="879"/>
      <c r="AF188" s="879"/>
      <c r="AG188" s="879"/>
      <c r="AH188" s="879"/>
      <c r="AI188" s="879"/>
    </row>
    <row r="189" spans="1:35" x14ac:dyDescent="0.25">
      <c r="A189" s="876">
        <v>36001</v>
      </c>
      <c r="B189" s="873" t="s">
        <v>1402</v>
      </c>
      <c r="C189" s="873">
        <v>1160391</v>
      </c>
      <c r="D189" s="874">
        <v>972313</v>
      </c>
      <c r="E189" s="874">
        <v>0</v>
      </c>
      <c r="F189" s="874">
        <v>0</v>
      </c>
      <c r="G189" s="874">
        <v>0</v>
      </c>
      <c r="H189" s="874">
        <v>106210</v>
      </c>
      <c r="I189" s="874">
        <f t="shared" si="6"/>
        <v>106210</v>
      </c>
      <c r="J189" s="874"/>
      <c r="K189" s="874">
        <v>69717</v>
      </c>
      <c r="L189" s="874">
        <v>361</v>
      </c>
      <c r="M189" s="874">
        <v>267771</v>
      </c>
      <c r="N189" s="874">
        <v>0</v>
      </c>
      <c r="O189" s="874">
        <f t="shared" si="7"/>
        <v>337849</v>
      </c>
      <c r="P189" s="874"/>
      <c r="Q189" s="874">
        <f t="shared" si="8"/>
        <v>48206</v>
      </c>
      <c r="R189" s="874">
        <v>21242</v>
      </c>
      <c r="S189" s="874">
        <v>69448</v>
      </c>
      <c r="T189" s="878"/>
      <c r="U189" s="878"/>
      <c r="V189" s="878"/>
      <c r="W189" s="878"/>
      <c r="X189" s="878"/>
      <c r="Y189" s="878"/>
      <c r="Z189" s="878"/>
      <c r="AA189" s="878"/>
      <c r="AB189" s="879"/>
      <c r="AC189" s="879"/>
      <c r="AD189" s="879"/>
      <c r="AE189" s="879"/>
      <c r="AF189" s="879"/>
      <c r="AG189" s="879"/>
      <c r="AH189" s="879"/>
      <c r="AI189" s="879"/>
    </row>
    <row r="190" spans="1:35" x14ac:dyDescent="0.25">
      <c r="A190" s="876">
        <v>36002</v>
      </c>
      <c r="B190" s="873" t="s">
        <v>1403</v>
      </c>
      <c r="C190" s="873">
        <v>6384706</v>
      </c>
      <c r="D190" s="874">
        <v>719662</v>
      </c>
      <c r="E190" s="874">
        <v>0</v>
      </c>
      <c r="F190" s="874">
        <v>0</v>
      </c>
      <c r="G190" s="874">
        <v>0</v>
      </c>
      <c r="H190" s="874">
        <v>0</v>
      </c>
      <c r="I190" s="874">
        <f t="shared" si="6"/>
        <v>0</v>
      </c>
      <c r="J190" s="874"/>
      <c r="K190" s="874">
        <v>51601</v>
      </c>
      <c r="L190" s="874">
        <v>267</v>
      </c>
      <c r="M190" s="874">
        <v>198192</v>
      </c>
      <c r="N190" s="874">
        <v>4542220</v>
      </c>
      <c r="O190" s="874">
        <f t="shared" si="7"/>
        <v>4792280</v>
      </c>
      <c r="P190" s="874"/>
      <c r="Q190" s="874">
        <f t="shared" si="8"/>
        <v>35680</v>
      </c>
      <c r="R190" s="874">
        <v>-908443</v>
      </c>
      <c r="S190" s="874">
        <v>-872763</v>
      </c>
      <c r="T190" s="878"/>
      <c r="U190" s="878"/>
      <c r="V190" s="878"/>
      <c r="W190" s="878"/>
      <c r="X190" s="878"/>
      <c r="Y190" s="878"/>
      <c r="Z190" s="878"/>
      <c r="AA190" s="878"/>
      <c r="AB190" s="879"/>
      <c r="AC190" s="879"/>
      <c r="AD190" s="879"/>
      <c r="AE190" s="879"/>
      <c r="AF190" s="879"/>
      <c r="AG190" s="879"/>
      <c r="AH190" s="879"/>
      <c r="AI190" s="879"/>
    </row>
    <row r="191" spans="1:35" x14ac:dyDescent="0.25">
      <c r="A191" s="876">
        <v>36003</v>
      </c>
      <c r="B191" s="873" t="s">
        <v>1404</v>
      </c>
      <c r="C191" s="873">
        <v>16863328</v>
      </c>
      <c r="D191" s="874">
        <v>13120512</v>
      </c>
      <c r="E191" s="874">
        <v>0</v>
      </c>
      <c r="F191" s="874">
        <v>0</v>
      </c>
      <c r="G191" s="874">
        <v>0</v>
      </c>
      <c r="H191" s="874">
        <v>386750</v>
      </c>
      <c r="I191" s="874">
        <f t="shared" si="6"/>
        <v>386750</v>
      </c>
      <c r="J191" s="874"/>
      <c r="K191" s="874">
        <v>940765</v>
      </c>
      <c r="L191" s="874">
        <v>4876</v>
      </c>
      <c r="M191" s="874">
        <v>3613329</v>
      </c>
      <c r="N191" s="874">
        <v>0</v>
      </c>
      <c r="O191" s="874">
        <f t="shared" si="7"/>
        <v>4558970</v>
      </c>
      <c r="P191" s="874"/>
      <c r="Q191" s="874">
        <f t="shared" si="8"/>
        <v>650494</v>
      </c>
      <c r="R191" s="874">
        <v>77350</v>
      </c>
      <c r="S191" s="874">
        <v>727844</v>
      </c>
      <c r="T191" s="878"/>
      <c r="U191" s="878"/>
      <c r="V191" s="878"/>
      <c r="W191" s="878"/>
      <c r="X191" s="878"/>
      <c r="Y191" s="878"/>
      <c r="Z191" s="878"/>
      <c r="AA191" s="878"/>
      <c r="AB191" s="879"/>
      <c r="AC191" s="879"/>
      <c r="AD191" s="879"/>
      <c r="AE191" s="879"/>
      <c r="AF191" s="879"/>
      <c r="AG191" s="879"/>
      <c r="AH191" s="879"/>
      <c r="AI191" s="879"/>
    </row>
    <row r="192" spans="1:35" x14ac:dyDescent="0.25">
      <c r="A192" s="876">
        <v>36004</v>
      </c>
      <c r="B192" s="873" t="s">
        <v>1405</v>
      </c>
      <c r="C192" s="873">
        <v>8583501</v>
      </c>
      <c r="D192" s="874">
        <v>7170858</v>
      </c>
      <c r="E192" s="874">
        <v>0</v>
      </c>
      <c r="F192" s="874">
        <v>0</v>
      </c>
      <c r="G192" s="874">
        <v>0</v>
      </c>
      <c r="H192" s="874">
        <v>734340</v>
      </c>
      <c r="I192" s="874">
        <f t="shared" si="6"/>
        <v>734340</v>
      </c>
      <c r="J192" s="874"/>
      <c r="K192" s="874">
        <v>514164</v>
      </c>
      <c r="L192" s="874">
        <v>2665</v>
      </c>
      <c r="M192" s="874">
        <v>1974822</v>
      </c>
      <c r="N192" s="874">
        <v>0</v>
      </c>
      <c r="O192" s="874">
        <f t="shared" si="7"/>
        <v>2491651</v>
      </c>
      <c r="P192" s="874"/>
      <c r="Q192" s="874">
        <f t="shared" si="8"/>
        <v>355520</v>
      </c>
      <c r="R192" s="874">
        <v>146870</v>
      </c>
      <c r="S192" s="874">
        <v>502390</v>
      </c>
      <c r="T192" s="878"/>
      <c r="U192" s="878"/>
      <c r="V192" s="878"/>
      <c r="W192" s="878"/>
      <c r="X192" s="878"/>
      <c r="Y192" s="878"/>
      <c r="Z192" s="878"/>
      <c r="AA192" s="878"/>
      <c r="AB192" s="879"/>
      <c r="AC192" s="879"/>
      <c r="AD192" s="879"/>
      <c r="AE192" s="879"/>
      <c r="AF192" s="879"/>
      <c r="AG192" s="879"/>
      <c r="AH192" s="879"/>
      <c r="AI192" s="879"/>
    </row>
    <row r="193" spans="1:35" x14ac:dyDescent="0.25">
      <c r="A193" s="876">
        <v>36005</v>
      </c>
      <c r="B193" s="873" t="s">
        <v>1406</v>
      </c>
      <c r="C193" s="873">
        <v>193361013</v>
      </c>
      <c r="D193" s="874">
        <v>136676625</v>
      </c>
      <c r="E193" s="874">
        <v>0</v>
      </c>
      <c r="F193" s="874">
        <v>0</v>
      </c>
      <c r="G193" s="874">
        <v>0</v>
      </c>
      <c r="H193" s="874">
        <v>0</v>
      </c>
      <c r="I193" s="874">
        <f t="shared" si="6"/>
        <v>0</v>
      </c>
      <c r="J193" s="874"/>
      <c r="K193" s="874">
        <v>9799965</v>
      </c>
      <c r="L193" s="874">
        <v>50795</v>
      </c>
      <c r="M193" s="874">
        <v>37640119</v>
      </c>
      <c r="N193" s="874">
        <v>9765790</v>
      </c>
      <c r="O193" s="874">
        <f t="shared" si="7"/>
        <v>57256669</v>
      </c>
      <c r="P193" s="874"/>
      <c r="Q193" s="874">
        <f t="shared" si="8"/>
        <v>6776208</v>
      </c>
      <c r="R193" s="874">
        <v>-1953155</v>
      </c>
      <c r="S193" s="874">
        <v>4823053</v>
      </c>
      <c r="T193" s="878"/>
      <c r="U193" s="878"/>
      <c r="V193" s="878"/>
      <c r="W193" s="878"/>
      <c r="X193" s="878"/>
      <c r="Y193" s="878"/>
      <c r="Z193" s="878"/>
      <c r="AA193" s="878"/>
      <c r="AB193" s="879"/>
      <c r="AC193" s="879"/>
      <c r="AD193" s="879"/>
      <c r="AE193" s="879"/>
      <c r="AF193" s="879"/>
      <c r="AG193" s="879"/>
      <c r="AH193" s="879"/>
      <c r="AI193" s="879"/>
    </row>
    <row r="194" spans="1:35" x14ac:dyDescent="0.25">
      <c r="A194" s="876">
        <v>36006</v>
      </c>
      <c r="B194" s="873" t="s">
        <v>1407</v>
      </c>
      <c r="C194" s="873">
        <v>21023779</v>
      </c>
      <c r="D194" s="874">
        <v>17100148</v>
      </c>
      <c r="E194" s="874">
        <v>0</v>
      </c>
      <c r="F194" s="874">
        <v>0</v>
      </c>
      <c r="G194" s="874">
        <v>0</v>
      </c>
      <c r="H194" s="874">
        <v>1298350</v>
      </c>
      <c r="I194" s="874">
        <f t="shared" si="6"/>
        <v>1298350</v>
      </c>
      <c r="J194" s="874"/>
      <c r="K194" s="874">
        <v>1226112</v>
      </c>
      <c r="L194" s="874">
        <v>6355</v>
      </c>
      <c r="M194" s="874">
        <v>4709303</v>
      </c>
      <c r="N194" s="874">
        <v>0</v>
      </c>
      <c r="O194" s="874">
        <f t="shared" si="7"/>
        <v>5941770</v>
      </c>
      <c r="P194" s="874"/>
      <c r="Q194" s="874">
        <f t="shared" si="8"/>
        <v>847798</v>
      </c>
      <c r="R194" s="874">
        <v>259667</v>
      </c>
      <c r="S194" s="874">
        <v>1107465</v>
      </c>
      <c r="T194" s="878"/>
      <c r="U194" s="878"/>
      <c r="V194" s="878"/>
      <c r="W194" s="878"/>
      <c r="X194" s="878"/>
      <c r="Y194" s="878"/>
      <c r="Z194" s="878"/>
      <c r="AA194" s="878"/>
      <c r="AB194" s="879"/>
      <c r="AC194" s="879"/>
      <c r="AD194" s="879"/>
      <c r="AE194" s="879"/>
      <c r="AF194" s="879"/>
      <c r="AG194" s="879"/>
      <c r="AH194" s="879"/>
      <c r="AI194" s="879"/>
    </row>
    <row r="195" spans="1:35" x14ac:dyDescent="0.25">
      <c r="A195" s="876">
        <v>36007</v>
      </c>
      <c r="B195" s="873" t="s">
        <v>1408</v>
      </c>
      <c r="C195" s="873">
        <v>7152156</v>
      </c>
      <c r="D195" s="874">
        <v>5653271</v>
      </c>
      <c r="E195" s="874">
        <v>0</v>
      </c>
      <c r="F195" s="874">
        <v>0</v>
      </c>
      <c r="G195" s="874">
        <v>0</v>
      </c>
      <c r="H195" s="874">
        <v>273020</v>
      </c>
      <c r="I195" s="874">
        <f t="shared" si="6"/>
        <v>273020</v>
      </c>
      <c r="J195" s="874"/>
      <c r="K195" s="874">
        <v>405350</v>
      </c>
      <c r="L195" s="874">
        <v>2101</v>
      </c>
      <c r="M195" s="874">
        <v>1556885</v>
      </c>
      <c r="N195" s="874">
        <v>0</v>
      </c>
      <c r="O195" s="874">
        <f t="shared" si="7"/>
        <v>1964336</v>
      </c>
      <c r="P195" s="874"/>
      <c r="Q195" s="874">
        <f t="shared" si="8"/>
        <v>280280</v>
      </c>
      <c r="R195" s="874">
        <v>54607</v>
      </c>
      <c r="S195" s="874">
        <v>334887</v>
      </c>
      <c r="T195" s="878"/>
      <c r="U195" s="878"/>
      <c r="V195" s="878"/>
      <c r="W195" s="878"/>
      <c r="X195" s="878"/>
      <c r="Y195" s="878"/>
      <c r="Z195" s="878"/>
      <c r="AA195" s="878"/>
      <c r="AB195" s="879"/>
      <c r="AC195" s="879"/>
      <c r="AD195" s="879"/>
      <c r="AE195" s="879"/>
      <c r="AF195" s="879"/>
      <c r="AG195" s="879"/>
      <c r="AH195" s="879"/>
      <c r="AI195" s="879"/>
    </row>
    <row r="196" spans="1:35" x14ac:dyDescent="0.25">
      <c r="A196" s="876">
        <v>36008</v>
      </c>
      <c r="B196" s="873" t="s">
        <v>1409</v>
      </c>
      <c r="C196" s="873">
        <v>22289724</v>
      </c>
      <c r="D196" s="874">
        <v>18912044</v>
      </c>
      <c r="E196" s="874">
        <v>0</v>
      </c>
      <c r="F196" s="874">
        <v>0</v>
      </c>
      <c r="G196" s="874">
        <v>0</v>
      </c>
      <c r="H196" s="874">
        <v>2213910</v>
      </c>
      <c r="I196" s="874">
        <f t="shared" si="6"/>
        <v>2213910</v>
      </c>
      <c r="J196" s="874"/>
      <c r="K196" s="874">
        <v>1356028</v>
      </c>
      <c r="L196" s="874">
        <v>7029</v>
      </c>
      <c r="M196" s="874">
        <v>5208291</v>
      </c>
      <c r="N196" s="874">
        <v>0</v>
      </c>
      <c r="O196" s="874">
        <f t="shared" si="7"/>
        <v>6571348</v>
      </c>
      <c r="P196" s="874"/>
      <c r="Q196" s="874">
        <f t="shared" si="8"/>
        <v>937629</v>
      </c>
      <c r="R196" s="874">
        <v>442783</v>
      </c>
      <c r="S196" s="874">
        <v>1380412</v>
      </c>
      <c r="T196" s="878"/>
      <c r="U196" s="878"/>
      <c r="V196" s="878"/>
      <c r="W196" s="878"/>
      <c r="X196" s="878"/>
      <c r="Y196" s="878"/>
      <c r="Z196" s="878"/>
      <c r="AA196" s="878"/>
      <c r="AB196" s="879"/>
      <c r="AC196" s="879"/>
      <c r="AD196" s="879"/>
      <c r="AE196" s="879"/>
      <c r="AF196" s="879"/>
      <c r="AG196" s="879"/>
      <c r="AH196" s="879"/>
      <c r="AI196" s="879"/>
    </row>
    <row r="197" spans="1:35" x14ac:dyDescent="0.25">
      <c r="A197" s="876">
        <v>36009</v>
      </c>
      <c r="B197" s="873" t="s">
        <v>1410</v>
      </c>
      <c r="C197" s="873">
        <v>6928939</v>
      </c>
      <c r="D197" s="874">
        <v>5403591</v>
      </c>
      <c r="E197" s="874">
        <v>0</v>
      </c>
      <c r="F197" s="874">
        <v>0</v>
      </c>
      <c r="G197" s="874">
        <v>0</v>
      </c>
      <c r="H197" s="874">
        <v>152595</v>
      </c>
      <c r="I197" s="874">
        <f t="shared" si="6"/>
        <v>152595</v>
      </c>
      <c r="J197" s="874"/>
      <c r="K197" s="874">
        <v>387447</v>
      </c>
      <c r="L197" s="874">
        <v>2008</v>
      </c>
      <c r="M197" s="874">
        <v>1488124</v>
      </c>
      <c r="N197" s="874">
        <v>0</v>
      </c>
      <c r="O197" s="874">
        <f t="shared" si="7"/>
        <v>1877579</v>
      </c>
      <c r="P197" s="874"/>
      <c r="Q197" s="874">
        <f t="shared" si="8"/>
        <v>267901</v>
      </c>
      <c r="R197" s="874">
        <v>30521</v>
      </c>
      <c r="S197" s="874">
        <v>298422</v>
      </c>
      <c r="T197" s="878"/>
      <c r="U197" s="878"/>
      <c r="V197" s="878"/>
      <c r="W197" s="878"/>
      <c r="X197" s="878"/>
      <c r="Y197" s="878"/>
      <c r="Z197" s="878"/>
      <c r="AA197" s="878"/>
      <c r="AB197" s="879"/>
      <c r="AC197" s="879"/>
      <c r="AD197" s="879"/>
      <c r="AE197" s="879"/>
      <c r="AF197" s="879"/>
      <c r="AG197" s="879"/>
      <c r="AH197" s="879"/>
      <c r="AI197" s="879"/>
    </row>
    <row r="198" spans="1:35" x14ac:dyDescent="0.25">
      <c r="A198" s="876">
        <v>36100</v>
      </c>
      <c r="B198" s="873" t="s">
        <v>1411</v>
      </c>
      <c r="C198" s="873">
        <v>29257636</v>
      </c>
      <c r="D198" s="874">
        <v>22205523</v>
      </c>
      <c r="E198" s="874">
        <v>0</v>
      </c>
      <c r="F198" s="874">
        <v>0</v>
      </c>
      <c r="G198" s="874">
        <v>0</v>
      </c>
      <c r="H198" s="874">
        <v>180880</v>
      </c>
      <c r="I198" s="874">
        <f t="shared" si="6"/>
        <v>180880</v>
      </c>
      <c r="J198" s="874"/>
      <c r="K198" s="874">
        <v>1592177</v>
      </c>
      <c r="L198" s="874">
        <v>8253</v>
      </c>
      <c r="M198" s="874">
        <v>6115300</v>
      </c>
      <c r="N198" s="874">
        <v>0</v>
      </c>
      <c r="O198" s="874">
        <f t="shared" si="7"/>
        <v>7715730</v>
      </c>
      <c r="P198" s="874"/>
      <c r="Q198" s="874">
        <f t="shared" si="8"/>
        <v>1100914</v>
      </c>
      <c r="R198" s="874">
        <v>36178</v>
      </c>
      <c r="S198" s="874">
        <v>1137092</v>
      </c>
      <c r="T198" s="878"/>
      <c r="U198" s="878"/>
      <c r="V198" s="878"/>
      <c r="W198" s="878"/>
      <c r="X198" s="878"/>
      <c r="Y198" s="878"/>
      <c r="Z198" s="878"/>
      <c r="AA198" s="878"/>
      <c r="AB198" s="879"/>
      <c r="AC198" s="879"/>
      <c r="AD198" s="879"/>
      <c r="AE198" s="879"/>
      <c r="AF198" s="879"/>
      <c r="AG198" s="879"/>
      <c r="AH198" s="879"/>
      <c r="AI198" s="879"/>
    </row>
    <row r="199" spans="1:35" x14ac:dyDescent="0.25">
      <c r="A199" s="876">
        <v>36102</v>
      </c>
      <c r="B199" s="873" t="s">
        <v>1412</v>
      </c>
      <c r="C199" s="873">
        <v>7079712</v>
      </c>
      <c r="D199" s="874">
        <v>6113381</v>
      </c>
      <c r="E199" s="874">
        <v>0</v>
      </c>
      <c r="F199" s="874">
        <v>0</v>
      </c>
      <c r="G199" s="874">
        <v>0</v>
      </c>
      <c r="H199" s="874">
        <v>830730</v>
      </c>
      <c r="I199" s="874">
        <f t="shared" si="6"/>
        <v>830730</v>
      </c>
      <c r="J199" s="874"/>
      <c r="K199" s="874">
        <v>438341</v>
      </c>
      <c r="L199" s="874">
        <v>2272</v>
      </c>
      <c r="M199" s="874">
        <v>1683597</v>
      </c>
      <c r="N199" s="874">
        <v>0</v>
      </c>
      <c r="O199" s="874">
        <f t="shared" si="7"/>
        <v>2124210</v>
      </c>
      <c r="P199" s="874"/>
      <c r="Q199" s="874">
        <f t="shared" si="8"/>
        <v>303092</v>
      </c>
      <c r="R199" s="874">
        <v>166144</v>
      </c>
      <c r="S199" s="874">
        <v>469236</v>
      </c>
      <c r="T199" s="878"/>
      <c r="U199" s="878"/>
      <c r="V199" s="878"/>
      <c r="W199" s="878"/>
      <c r="X199" s="878"/>
      <c r="Y199" s="878"/>
      <c r="Z199" s="878"/>
      <c r="AA199" s="878"/>
      <c r="AB199" s="879"/>
      <c r="AC199" s="879"/>
      <c r="AD199" s="879"/>
      <c r="AE199" s="879"/>
      <c r="AF199" s="879"/>
      <c r="AG199" s="879"/>
      <c r="AH199" s="879"/>
      <c r="AI199" s="879"/>
    </row>
    <row r="200" spans="1:35" x14ac:dyDescent="0.25">
      <c r="A200" s="876">
        <v>36105</v>
      </c>
      <c r="B200" s="873" t="s">
        <v>1413</v>
      </c>
      <c r="C200" s="873">
        <v>14988100</v>
      </c>
      <c r="D200" s="874">
        <v>11185651</v>
      </c>
      <c r="E200" s="874">
        <v>0</v>
      </c>
      <c r="F200" s="874">
        <v>0</v>
      </c>
      <c r="G200" s="874">
        <v>0</v>
      </c>
      <c r="H200" s="874">
        <v>0</v>
      </c>
      <c r="I200" s="874">
        <f t="shared" ref="I200:I263" si="9">SUM(E200:H200)</f>
        <v>0</v>
      </c>
      <c r="J200" s="874"/>
      <c r="K200" s="874">
        <v>802032</v>
      </c>
      <c r="L200" s="874">
        <v>4157</v>
      </c>
      <c r="M200" s="874">
        <v>3080477</v>
      </c>
      <c r="N200" s="874">
        <v>86035</v>
      </c>
      <c r="O200" s="874">
        <f t="shared" ref="O200:O263" si="10">SUM(K200:N200)</f>
        <v>3972701</v>
      </c>
      <c r="P200" s="874"/>
      <c r="Q200" s="874">
        <f t="shared" ref="Q200:Q263" si="11">S200-R200</f>
        <v>554567</v>
      </c>
      <c r="R200" s="874">
        <v>-17205</v>
      </c>
      <c r="S200" s="874">
        <v>537362</v>
      </c>
      <c r="T200" s="878"/>
      <c r="U200" s="878"/>
      <c r="V200" s="878"/>
      <c r="W200" s="878"/>
      <c r="X200" s="878"/>
      <c r="Y200" s="878"/>
      <c r="Z200" s="878"/>
      <c r="AA200" s="878"/>
      <c r="AB200" s="879"/>
      <c r="AC200" s="879"/>
      <c r="AD200" s="879"/>
      <c r="AE200" s="879"/>
      <c r="AF200" s="879"/>
      <c r="AG200" s="879"/>
      <c r="AH200" s="879"/>
      <c r="AI200" s="879"/>
    </row>
    <row r="201" spans="1:35" x14ac:dyDescent="0.25">
      <c r="A201" s="876">
        <v>36200</v>
      </c>
      <c r="B201" s="873" t="s">
        <v>1414</v>
      </c>
      <c r="C201" s="873">
        <v>60089721</v>
      </c>
      <c r="D201" s="874">
        <v>47077718</v>
      </c>
      <c r="E201" s="874">
        <v>0</v>
      </c>
      <c r="F201" s="874">
        <v>0</v>
      </c>
      <c r="G201" s="874">
        <v>0</v>
      </c>
      <c r="H201" s="874">
        <v>1961270</v>
      </c>
      <c r="I201" s="874">
        <f t="shared" si="9"/>
        <v>1961270</v>
      </c>
      <c r="J201" s="874"/>
      <c r="K201" s="874">
        <v>3375559</v>
      </c>
      <c r="L201" s="874">
        <v>17496</v>
      </c>
      <c r="M201" s="874">
        <v>12964989</v>
      </c>
      <c r="N201" s="874">
        <v>0</v>
      </c>
      <c r="O201" s="874">
        <f t="shared" si="10"/>
        <v>16358044</v>
      </c>
      <c r="P201" s="874"/>
      <c r="Q201" s="874">
        <f t="shared" si="11"/>
        <v>2334038</v>
      </c>
      <c r="R201" s="874">
        <v>392254</v>
      </c>
      <c r="S201" s="874">
        <v>2726292</v>
      </c>
      <c r="T201" s="878"/>
      <c r="U201" s="878"/>
      <c r="V201" s="878"/>
      <c r="W201" s="878"/>
      <c r="X201" s="878"/>
      <c r="Y201" s="878"/>
      <c r="Z201" s="878"/>
      <c r="AA201" s="878"/>
      <c r="AB201" s="879"/>
      <c r="AC201" s="879"/>
      <c r="AD201" s="879"/>
      <c r="AE201" s="879"/>
      <c r="AF201" s="879"/>
      <c r="AG201" s="879"/>
      <c r="AH201" s="879"/>
      <c r="AI201" s="879"/>
    </row>
    <row r="202" spans="1:35" x14ac:dyDescent="0.25">
      <c r="A202" s="876">
        <v>36205</v>
      </c>
      <c r="B202" s="873" t="s">
        <v>1415</v>
      </c>
      <c r="C202" s="873">
        <v>10600856</v>
      </c>
      <c r="D202" s="874">
        <v>7500935</v>
      </c>
      <c r="E202" s="874">
        <v>0</v>
      </c>
      <c r="F202" s="874">
        <v>0</v>
      </c>
      <c r="G202" s="874">
        <v>0</v>
      </c>
      <c r="H202" s="874">
        <v>0</v>
      </c>
      <c r="I202" s="874">
        <f t="shared" si="9"/>
        <v>0</v>
      </c>
      <c r="J202" s="874"/>
      <c r="K202" s="874">
        <v>537831</v>
      </c>
      <c r="L202" s="874">
        <v>2788</v>
      </c>
      <c r="M202" s="874">
        <v>2065723</v>
      </c>
      <c r="N202" s="874">
        <v>523910</v>
      </c>
      <c r="O202" s="874">
        <f t="shared" si="10"/>
        <v>3130252</v>
      </c>
      <c r="P202" s="874"/>
      <c r="Q202" s="874">
        <f t="shared" si="11"/>
        <v>371884</v>
      </c>
      <c r="R202" s="874">
        <v>-104782</v>
      </c>
      <c r="S202" s="874">
        <v>267102</v>
      </c>
      <c r="T202" s="878"/>
      <c r="U202" s="878"/>
      <c r="V202" s="878"/>
      <c r="W202" s="878"/>
      <c r="X202" s="878"/>
      <c r="Y202" s="878"/>
      <c r="Z202" s="878"/>
      <c r="AA202" s="878"/>
      <c r="AB202" s="879"/>
      <c r="AC202" s="879"/>
      <c r="AD202" s="879"/>
      <c r="AE202" s="879"/>
      <c r="AF202" s="879"/>
      <c r="AG202" s="879"/>
      <c r="AH202" s="879"/>
      <c r="AI202" s="879"/>
    </row>
    <row r="203" spans="1:35" x14ac:dyDescent="0.25">
      <c r="A203" s="876">
        <v>36300</v>
      </c>
      <c r="B203" s="873" t="s">
        <v>1416</v>
      </c>
      <c r="C203" s="873">
        <v>190023492</v>
      </c>
      <c r="D203" s="874">
        <v>151611555</v>
      </c>
      <c r="E203" s="874">
        <v>0</v>
      </c>
      <c r="F203" s="874">
        <v>0</v>
      </c>
      <c r="G203" s="874">
        <v>0</v>
      </c>
      <c r="H203" s="874">
        <v>8979780</v>
      </c>
      <c r="I203" s="874">
        <f t="shared" si="9"/>
        <v>8979780</v>
      </c>
      <c r="J203" s="874"/>
      <c r="K203" s="874">
        <v>10870827</v>
      </c>
      <c r="L203" s="874">
        <v>56345</v>
      </c>
      <c r="M203" s="874">
        <v>41753130</v>
      </c>
      <c r="N203" s="874">
        <v>0</v>
      </c>
      <c r="O203" s="874">
        <f t="shared" si="10"/>
        <v>52680302</v>
      </c>
      <c r="P203" s="874"/>
      <c r="Q203" s="874">
        <f t="shared" si="11"/>
        <v>7516658</v>
      </c>
      <c r="R203" s="874">
        <v>1795961</v>
      </c>
      <c r="S203" s="874">
        <v>9312619</v>
      </c>
      <c r="T203" s="878"/>
      <c r="U203" s="878"/>
      <c r="V203" s="878"/>
      <c r="W203" s="878"/>
      <c r="X203" s="878"/>
      <c r="Y203" s="878"/>
      <c r="Z203" s="878"/>
      <c r="AA203" s="878"/>
      <c r="AB203" s="879"/>
      <c r="AC203" s="879"/>
      <c r="AD203" s="879"/>
      <c r="AE203" s="879"/>
      <c r="AF203" s="879"/>
      <c r="AG203" s="879"/>
      <c r="AH203" s="879"/>
      <c r="AI203" s="879"/>
    </row>
    <row r="204" spans="1:35" x14ac:dyDescent="0.25">
      <c r="A204" s="876">
        <v>36301</v>
      </c>
      <c r="B204" s="873" t="s">
        <v>1417</v>
      </c>
      <c r="C204" s="873">
        <v>2452552</v>
      </c>
      <c r="D204" s="874">
        <v>2324127</v>
      </c>
      <c r="E204" s="874">
        <v>0</v>
      </c>
      <c r="F204" s="874">
        <v>0</v>
      </c>
      <c r="G204" s="874">
        <v>0</v>
      </c>
      <c r="H204" s="874">
        <v>514450</v>
      </c>
      <c r="I204" s="874">
        <f t="shared" si="9"/>
        <v>514450</v>
      </c>
      <c r="J204" s="874"/>
      <c r="K204" s="874">
        <v>166644</v>
      </c>
      <c r="L204" s="874">
        <v>864</v>
      </c>
      <c r="M204" s="874">
        <v>640054</v>
      </c>
      <c r="N204" s="874">
        <v>0</v>
      </c>
      <c r="O204" s="874">
        <f t="shared" si="10"/>
        <v>807562</v>
      </c>
      <c r="P204" s="874"/>
      <c r="Q204" s="874">
        <f t="shared" si="11"/>
        <v>115226</v>
      </c>
      <c r="R204" s="874">
        <v>102892</v>
      </c>
      <c r="S204" s="874">
        <v>218118</v>
      </c>
      <c r="T204" s="878"/>
      <c r="U204" s="878"/>
      <c r="V204" s="878"/>
      <c r="W204" s="878"/>
      <c r="X204" s="878"/>
      <c r="Y204" s="878"/>
      <c r="Z204" s="878"/>
      <c r="AA204" s="878"/>
      <c r="AB204" s="879"/>
      <c r="AC204" s="879"/>
      <c r="AD204" s="879"/>
      <c r="AE204" s="879"/>
      <c r="AF204" s="879"/>
      <c r="AG204" s="879"/>
      <c r="AH204" s="879"/>
      <c r="AI204" s="879"/>
    </row>
    <row r="205" spans="1:35" x14ac:dyDescent="0.25">
      <c r="A205" s="876">
        <v>36302</v>
      </c>
      <c r="B205" s="873" t="s">
        <v>1418</v>
      </c>
      <c r="C205" s="873">
        <v>4827335</v>
      </c>
      <c r="D205" s="874">
        <v>3782975</v>
      </c>
      <c r="E205" s="874">
        <v>0</v>
      </c>
      <c r="F205" s="874">
        <v>0</v>
      </c>
      <c r="G205" s="874">
        <v>0</v>
      </c>
      <c r="H205" s="874">
        <v>138385</v>
      </c>
      <c r="I205" s="874">
        <f t="shared" si="9"/>
        <v>138385</v>
      </c>
      <c r="J205" s="874"/>
      <c r="K205" s="874">
        <v>271246</v>
      </c>
      <c r="L205" s="874">
        <v>1406</v>
      </c>
      <c r="M205" s="874">
        <v>1041814</v>
      </c>
      <c r="N205" s="874">
        <v>0</v>
      </c>
      <c r="O205" s="874">
        <f t="shared" si="10"/>
        <v>1314466</v>
      </c>
      <c r="P205" s="874"/>
      <c r="Q205" s="874">
        <f t="shared" si="11"/>
        <v>187554</v>
      </c>
      <c r="R205" s="874">
        <v>27674</v>
      </c>
      <c r="S205" s="874">
        <v>215228</v>
      </c>
      <c r="T205" s="878"/>
      <c r="U205" s="878"/>
      <c r="V205" s="878"/>
      <c r="W205" s="878"/>
      <c r="X205" s="878"/>
      <c r="Y205" s="878"/>
      <c r="Z205" s="878"/>
      <c r="AA205" s="878"/>
      <c r="AB205" s="879"/>
      <c r="AC205" s="879"/>
      <c r="AD205" s="879"/>
      <c r="AE205" s="879"/>
      <c r="AF205" s="879"/>
      <c r="AG205" s="879"/>
      <c r="AH205" s="879"/>
      <c r="AI205" s="879"/>
    </row>
    <row r="206" spans="1:35" x14ac:dyDescent="0.25">
      <c r="A206" s="876">
        <v>36305</v>
      </c>
      <c r="B206" s="873" t="s">
        <v>1419</v>
      </c>
      <c r="C206" s="873">
        <v>38260211</v>
      </c>
      <c r="D206" s="874">
        <v>26572084</v>
      </c>
      <c r="E206" s="874">
        <v>0</v>
      </c>
      <c r="F206" s="874">
        <v>0</v>
      </c>
      <c r="G206" s="874">
        <v>0</v>
      </c>
      <c r="H206" s="874">
        <v>0</v>
      </c>
      <c r="I206" s="874">
        <f t="shared" si="9"/>
        <v>0</v>
      </c>
      <c r="J206" s="874"/>
      <c r="K206" s="874">
        <v>1905267</v>
      </c>
      <c r="L206" s="874">
        <v>9875</v>
      </c>
      <c r="M206" s="874">
        <v>7317830</v>
      </c>
      <c r="N206" s="874">
        <v>2404210</v>
      </c>
      <c r="O206" s="874">
        <f t="shared" si="10"/>
        <v>11637182</v>
      </c>
      <c r="P206" s="874"/>
      <c r="Q206" s="874">
        <f t="shared" si="11"/>
        <v>1317401</v>
      </c>
      <c r="R206" s="874">
        <v>-480840</v>
      </c>
      <c r="S206" s="874">
        <v>836561</v>
      </c>
      <c r="T206" s="878"/>
      <c r="U206" s="878"/>
      <c r="V206" s="878"/>
      <c r="W206" s="878"/>
      <c r="X206" s="878"/>
      <c r="Y206" s="878"/>
      <c r="Z206" s="878"/>
      <c r="AA206" s="878"/>
      <c r="AB206" s="879"/>
      <c r="AC206" s="879"/>
      <c r="AD206" s="879"/>
      <c r="AE206" s="879"/>
      <c r="AF206" s="879"/>
      <c r="AG206" s="879"/>
      <c r="AH206" s="879"/>
      <c r="AI206" s="879"/>
    </row>
    <row r="207" spans="1:35" x14ac:dyDescent="0.25">
      <c r="A207" s="876">
        <v>36310</v>
      </c>
      <c r="B207" s="873" t="s">
        <v>1420</v>
      </c>
      <c r="C207" s="874">
        <v>0</v>
      </c>
      <c r="D207" s="874">
        <v>803427</v>
      </c>
      <c r="E207" s="874">
        <v>0</v>
      </c>
      <c r="F207" s="874">
        <v>0</v>
      </c>
      <c r="G207" s="874">
        <v>0</v>
      </c>
      <c r="H207" s="874">
        <v>892945</v>
      </c>
      <c r="I207" s="874">
        <f t="shared" si="9"/>
        <v>892945</v>
      </c>
      <c r="J207" s="874"/>
      <c r="K207" s="874">
        <v>57607</v>
      </c>
      <c r="L207" s="874">
        <v>299</v>
      </c>
      <c r="M207" s="874">
        <v>221260</v>
      </c>
      <c r="N207" s="874">
        <v>0</v>
      </c>
      <c r="O207" s="874">
        <f t="shared" si="10"/>
        <v>279166</v>
      </c>
      <c r="P207" s="874"/>
      <c r="Q207" s="874">
        <f t="shared" si="11"/>
        <v>39833</v>
      </c>
      <c r="R207" s="874">
        <v>178587</v>
      </c>
      <c r="S207" s="874">
        <v>218420</v>
      </c>
      <c r="T207" s="878"/>
      <c r="U207" s="878"/>
      <c r="V207" s="878"/>
      <c r="W207" s="878"/>
      <c r="X207" s="878"/>
      <c r="Y207" s="878"/>
      <c r="Z207" s="878"/>
      <c r="AA207" s="878"/>
      <c r="AB207" s="879"/>
      <c r="AC207" s="879"/>
      <c r="AD207" s="879"/>
      <c r="AE207" s="879"/>
      <c r="AF207" s="879"/>
      <c r="AG207" s="879"/>
      <c r="AH207" s="879"/>
      <c r="AI207" s="879"/>
    </row>
    <row r="208" spans="1:35" x14ac:dyDescent="0.25">
      <c r="A208" s="876">
        <v>36400</v>
      </c>
      <c r="B208" s="873" t="s">
        <v>1421</v>
      </c>
      <c r="C208" s="873">
        <v>203906417</v>
      </c>
      <c r="D208" s="874">
        <v>167007178</v>
      </c>
      <c r="E208" s="874">
        <v>0</v>
      </c>
      <c r="F208" s="874">
        <v>0</v>
      </c>
      <c r="G208" s="874">
        <v>0</v>
      </c>
      <c r="H208" s="874">
        <v>14654825</v>
      </c>
      <c r="I208" s="874">
        <f t="shared" si="9"/>
        <v>14654825</v>
      </c>
      <c r="J208" s="874"/>
      <c r="K208" s="874">
        <v>11974722</v>
      </c>
      <c r="L208" s="874">
        <v>62067</v>
      </c>
      <c r="M208" s="874">
        <v>45993014</v>
      </c>
      <c r="N208" s="874">
        <v>0</v>
      </c>
      <c r="O208" s="874">
        <f t="shared" si="10"/>
        <v>58029803</v>
      </c>
      <c r="P208" s="874"/>
      <c r="Q208" s="874">
        <f t="shared" si="11"/>
        <v>8279948</v>
      </c>
      <c r="R208" s="874">
        <v>2930963</v>
      </c>
      <c r="S208" s="874">
        <v>11210911</v>
      </c>
      <c r="T208" s="878"/>
      <c r="U208" s="878"/>
      <c r="V208" s="878"/>
      <c r="W208" s="878"/>
      <c r="X208" s="878"/>
      <c r="Y208" s="878"/>
      <c r="Z208" s="878"/>
      <c r="AA208" s="878"/>
      <c r="AB208" s="879"/>
      <c r="AC208" s="879"/>
      <c r="AD208" s="879"/>
      <c r="AE208" s="879"/>
      <c r="AF208" s="879"/>
      <c r="AG208" s="879"/>
      <c r="AH208" s="879"/>
      <c r="AI208" s="879"/>
    </row>
    <row r="209" spans="1:35" x14ac:dyDescent="0.25">
      <c r="A209" s="876">
        <v>36405</v>
      </c>
      <c r="B209" s="873" t="s">
        <v>1422</v>
      </c>
      <c r="C209" s="873">
        <v>34676532</v>
      </c>
      <c r="D209" s="874">
        <v>25818414</v>
      </c>
      <c r="E209" s="874">
        <v>0</v>
      </c>
      <c r="F209" s="874">
        <v>0</v>
      </c>
      <c r="G209" s="874">
        <v>0</v>
      </c>
      <c r="H209" s="874">
        <v>0</v>
      </c>
      <c r="I209" s="874">
        <f t="shared" si="9"/>
        <v>0</v>
      </c>
      <c r="J209" s="874"/>
      <c r="K209" s="874">
        <v>1851228</v>
      </c>
      <c r="L209" s="874">
        <v>9595</v>
      </c>
      <c r="M209" s="874">
        <v>7110273</v>
      </c>
      <c r="N209" s="874">
        <v>325545</v>
      </c>
      <c r="O209" s="874">
        <f t="shared" si="10"/>
        <v>9296641</v>
      </c>
      <c r="P209" s="874"/>
      <c r="Q209" s="874">
        <f t="shared" si="11"/>
        <v>1280036</v>
      </c>
      <c r="R209" s="874">
        <v>-65110</v>
      </c>
      <c r="S209" s="874">
        <v>1214926</v>
      </c>
      <c r="T209" s="878"/>
      <c r="U209" s="878"/>
      <c r="V209" s="878"/>
      <c r="W209" s="878"/>
      <c r="X209" s="878"/>
      <c r="Y209" s="878"/>
      <c r="Z209" s="878"/>
      <c r="AA209" s="878"/>
      <c r="AB209" s="879"/>
      <c r="AC209" s="879"/>
      <c r="AD209" s="879"/>
      <c r="AE209" s="879"/>
      <c r="AF209" s="879"/>
      <c r="AG209" s="879"/>
      <c r="AH209" s="879"/>
      <c r="AI209" s="879"/>
    </row>
    <row r="210" spans="1:35" x14ac:dyDescent="0.25">
      <c r="A210" s="876">
        <v>36500</v>
      </c>
      <c r="B210" s="873" t="s">
        <v>1423</v>
      </c>
      <c r="C210" s="873">
        <v>402845548</v>
      </c>
      <c r="D210" s="874">
        <v>323208169</v>
      </c>
      <c r="E210" s="874">
        <v>0</v>
      </c>
      <c r="F210" s="874">
        <v>0</v>
      </c>
      <c r="G210" s="874">
        <v>0</v>
      </c>
      <c r="H210" s="874">
        <v>21162215</v>
      </c>
      <c r="I210" s="874">
        <f t="shared" si="9"/>
        <v>21162215</v>
      </c>
      <c r="J210" s="874"/>
      <c r="K210" s="874">
        <v>23174620</v>
      </c>
      <c r="L210" s="874">
        <v>120118</v>
      </c>
      <c r="M210" s="874">
        <v>89010054</v>
      </c>
      <c r="N210" s="874">
        <v>0</v>
      </c>
      <c r="O210" s="874">
        <f t="shared" si="10"/>
        <v>112304792</v>
      </c>
      <c r="P210" s="874"/>
      <c r="Q210" s="874">
        <f t="shared" si="11"/>
        <v>16024142</v>
      </c>
      <c r="R210" s="874">
        <v>4232440</v>
      </c>
      <c r="S210" s="874">
        <v>20256582</v>
      </c>
      <c r="T210" s="878"/>
      <c r="U210" s="878"/>
      <c r="V210" s="878"/>
      <c r="W210" s="878"/>
      <c r="X210" s="878"/>
      <c r="Y210" s="878"/>
      <c r="Z210" s="878"/>
      <c r="AA210" s="878"/>
      <c r="AB210" s="879"/>
      <c r="AC210" s="879"/>
      <c r="AD210" s="879"/>
      <c r="AE210" s="879"/>
      <c r="AF210" s="879"/>
      <c r="AG210" s="879"/>
      <c r="AH210" s="879"/>
      <c r="AI210" s="879"/>
    </row>
    <row r="211" spans="1:35" x14ac:dyDescent="0.25">
      <c r="A211" s="876">
        <v>36501</v>
      </c>
      <c r="B211" s="873" t="s">
        <v>1424</v>
      </c>
      <c r="C211" s="873">
        <v>4814574</v>
      </c>
      <c r="D211" s="874">
        <v>4013507</v>
      </c>
      <c r="E211" s="874">
        <v>0</v>
      </c>
      <c r="F211" s="874">
        <v>0</v>
      </c>
      <c r="G211" s="874">
        <v>0</v>
      </c>
      <c r="H211" s="874">
        <v>411780</v>
      </c>
      <c r="I211" s="874">
        <f t="shared" si="9"/>
        <v>411780</v>
      </c>
      <c r="J211" s="874"/>
      <c r="K211" s="874">
        <v>287776</v>
      </c>
      <c r="L211" s="874">
        <v>1492</v>
      </c>
      <c r="M211" s="874">
        <v>1105301</v>
      </c>
      <c r="N211" s="874">
        <v>0</v>
      </c>
      <c r="O211" s="874">
        <f t="shared" si="10"/>
        <v>1394569</v>
      </c>
      <c r="P211" s="874"/>
      <c r="Q211" s="874">
        <f t="shared" si="11"/>
        <v>198983</v>
      </c>
      <c r="R211" s="874">
        <v>82354</v>
      </c>
      <c r="S211" s="874">
        <v>281337</v>
      </c>
      <c r="T211" s="878"/>
      <c r="U211" s="878"/>
      <c r="V211" s="878"/>
      <c r="W211" s="878"/>
      <c r="X211" s="878"/>
      <c r="Y211" s="878"/>
      <c r="Z211" s="878"/>
      <c r="AA211" s="878"/>
      <c r="AB211" s="879"/>
      <c r="AC211" s="879"/>
      <c r="AD211" s="879"/>
      <c r="AE211" s="879"/>
      <c r="AF211" s="879"/>
      <c r="AG211" s="879"/>
      <c r="AH211" s="879"/>
      <c r="AI211" s="879"/>
    </row>
    <row r="212" spans="1:35" x14ac:dyDescent="0.25">
      <c r="A212" s="876">
        <v>36502</v>
      </c>
      <c r="B212" s="873" t="s">
        <v>1425</v>
      </c>
      <c r="C212" s="873">
        <v>1987185</v>
      </c>
      <c r="D212" s="874">
        <v>1474358</v>
      </c>
      <c r="E212" s="874">
        <v>0</v>
      </c>
      <c r="F212" s="874">
        <v>0</v>
      </c>
      <c r="G212" s="874">
        <v>0</v>
      </c>
      <c r="H212" s="874">
        <v>0</v>
      </c>
      <c r="I212" s="874">
        <f t="shared" si="9"/>
        <v>0</v>
      </c>
      <c r="J212" s="874"/>
      <c r="K212" s="874">
        <v>105714</v>
      </c>
      <c r="L212" s="874">
        <v>548</v>
      </c>
      <c r="M212" s="874">
        <v>406032</v>
      </c>
      <c r="N212" s="874">
        <v>31650</v>
      </c>
      <c r="O212" s="874">
        <f t="shared" si="10"/>
        <v>543944</v>
      </c>
      <c r="P212" s="874"/>
      <c r="Q212" s="874">
        <f t="shared" si="11"/>
        <v>73096</v>
      </c>
      <c r="R212" s="874">
        <v>-6329</v>
      </c>
      <c r="S212" s="874">
        <v>66767</v>
      </c>
      <c r="T212" s="878"/>
      <c r="U212" s="878"/>
      <c r="V212" s="878"/>
      <c r="W212" s="878"/>
      <c r="X212" s="878"/>
      <c r="Y212" s="878"/>
      <c r="Z212" s="878"/>
      <c r="AA212" s="878"/>
      <c r="AB212" s="879"/>
      <c r="AC212" s="879"/>
      <c r="AD212" s="879"/>
      <c r="AE212" s="879"/>
      <c r="AF212" s="879"/>
      <c r="AG212" s="879"/>
      <c r="AH212" s="879"/>
      <c r="AI212" s="879"/>
    </row>
    <row r="213" spans="1:35" x14ac:dyDescent="0.25">
      <c r="A213" s="876">
        <v>36505</v>
      </c>
      <c r="B213" s="873" t="s">
        <v>1426</v>
      </c>
      <c r="C213" s="873">
        <v>80392931</v>
      </c>
      <c r="D213" s="874">
        <v>61085621</v>
      </c>
      <c r="E213" s="874">
        <v>0</v>
      </c>
      <c r="F213" s="874">
        <v>0</v>
      </c>
      <c r="G213" s="874">
        <v>0</v>
      </c>
      <c r="H213" s="874">
        <v>644350</v>
      </c>
      <c r="I213" s="874">
        <f t="shared" si="9"/>
        <v>644350</v>
      </c>
      <c r="J213" s="874"/>
      <c r="K213" s="874">
        <v>4379951</v>
      </c>
      <c r="L213" s="874">
        <v>22702</v>
      </c>
      <c r="M213" s="874">
        <v>16822701</v>
      </c>
      <c r="N213" s="874">
        <v>0</v>
      </c>
      <c r="O213" s="874">
        <f t="shared" si="10"/>
        <v>21225354</v>
      </c>
      <c r="P213" s="874"/>
      <c r="Q213" s="874">
        <f t="shared" si="11"/>
        <v>3028527</v>
      </c>
      <c r="R213" s="874">
        <v>128868</v>
      </c>
      <c r="S213" s="874">
        <v>3157395</v>
      </c>
      <c r="T213" s="878"/>
      <c r="U213" s="878"/>
      <c r="V213" s="878"/>
      <c r="W213" s="878"/>
      <c r="X213" s="878"/>
      <c r="Y213" s="878"/>
      <c r="Z213" s="878"/>
      <c r="AA213" s="878"/>
      <c r="AB213" s="879"/>
      <c r="AC213" s="879"/>
      <c r="AD213" s="879"/>
      <c r="AE213" s="879"/>
      <c r="AF213" s="879"/>
      <c r="AG213" s="879"/>
      <c r="AH213" s="879"/>
      <c r="AI213" s="879"/>
    </row>
    <row r="214" spans="1:35" x14ac:dyDescent="0.25">
      <c r="A214" s="876">
        <v>36600</v>
      </c>
      <c r="B214" s="873" t="s">
        <v>1427</v>
      </c>
      <c r="C214" s="873">
        <v>29757165</v>
      </c>
      <c r="D214" s="874">
        <v>22572008</v>
      </c>
      <c r="E214" s="874">
        <v>0</v>
      </c>
      <c r="F214" s="874">
        <v>0</v>
      </c>
      <c r="G214" s="874">
        <v>0</v>
      </c>
      <c r="H214" s="874">
        <v>217350</v>
      </c>
      <c r="I214" s="874">
        <f t="shared" si="9"/>
        <v>217350</v>
      </c>
      <c r="J214" s="874"/>
      <c r="K214" s="874">
        <v>1618455</v>
      </c>
      <c r="L214" s="874">
        <v>8389</v>
      </c>
      <c r="M214" s="874">
        <v>6216228</v>
      </c>
      <c r="N214" s="874">
        <v>0</v>
      </c>
      <c r="O214" s="874">
        <f t="shared" si="10"/>
        <v>7843072</v>
      </c>
      <c r="P214" s="874"/>
      <c r="Q214" s="874">
        <f t="shared" si="11"/>
        <v>1119084</v>
      </c>
      <c r="R214" s="874">
        <v>43466</v>
      </c>
      <c r="S214" s="874">
        <v>1162550</v>
      </c>
      <c r="T214" s="878"/>
      <c r="U214" s="878"/>
      <c r="V214" s="878"/>
      <c r="W214" s="878"/>
      <c r="X214" s="878"/>
      <c r="Y214" s="878"/>
      <c r="Z214" s="878"/>
      <c r="AA214" s="878"/>
      <c r="AB214" s="879"/>
      <c r="AC214" s="879"/>
      <c r="AD214" s="879"/>
      <c r="AE214" s="879"/>
      <c r="AF214" s="879"/>
      <c r="AG214" s="879"/>
      <c r="AH214" s="879"/>
      <c r="AI214" s="879"/>
    </row>
    <row r="215" spans="1:35" x14ac:dyDescent="0.25">
      <c r="A215" s="876">
        <v>36601</v>
      </c>
      <c r="B215" s="873" t="s">
        <v>1428</v>
      </c>
      <c r="C215" s="873">
        <v>15994396</v>
      </c>
      <c r="D215" s="874">
        <v>13832668</v>
      </c>
      <c r="E215" s="874">
        <v>0</v>
      </c>
      <c r="F215" s="874">
        <v>0</v>
      </c>
      <c r="G215" s="874">
        <v>0</v>
      </c>
      <c r="H215" s="874">
        <v>1889620</v>
      </c>
      <c r="I215" s="874">
        <f t="shared" si="9"/>
        <v>1889620</v>
      </c>
      <c r="J215" s="874"/>
      <c r="K215" s="874">
        <v>991828</v>
      </c>
      <c r="L215" s="874">
        <v>5141</v>
      </c>
      <c r="M215" s="874">
        <v>3809454</v>
      </c>
      <c r="N215" s="874">
        <v>0</v>
      </c>
      <c r="O215" s="874">
        <f t="shared" si="10"/>
        <v>4806423</v>
      </c>
      <c r="P215" s="874"/>
      <c r="Q215" s="874">
        <f t="shared" si="11"/>
        <v>685801</v>
      </c>
      <c r="R215" s="874">
        <v>377921</v>
      </c>
      <c r="S215" s="874">
        <v>1063722</v>
      </c>
      <c r="T215" s="878"/>
      <c r="U215" s="878"/>
      <c r="V215" s="878"/>
      <c r="W215" s="878"/>
      <c r="X215" s="878"/>
      <c r="Y215" s="878"/>
      <c r="Z215" s="878"/>
      <c r="AA215" s="878"/>
      <c r="AB215" s="879"/>
      <c r="AC215" s="879"/>
      <c r="AD215" s="879"/>
      <c r="AE215" s="879"/>
      <c r="AF215" s="879"/>
      <c r="AG215" s="879"/>
      <c r="AH215" s="879"/>
      <c r="AI215" s="879"/>
    </row>
    <row r="216" spans="1:35" x14ac:dyDescent="0.25">
      <c r="A216" s="876">
        <v>36700</v>
      </c>
      <c r="B216" s="873" t="s">
        <v>1429</v>
      </c>
      <c r="C216" s="873">
        <v>348199277</v>
      </c>
      <c r="D216" s="874">
        <v>272637438</v>
      </c>
      <c r="E216" s="874">
        <v>0</v>
      </c>
      <c r="F216" s="874">
        <v>0</v>
      </c>
      <c r="G216" s="874">
        <v>0</v>
      </c>
      <c r="H216" s="874">
        <v>10765455</v>
      </c>
      <c r="I216" s="874">
        <f t="shared" si="9"/>
        <v>10765455</v>
      </c>
      <c r="J216" s="874"/>
      <c r="K216" s="874">
        <v>19548606</v>
      </c>
      <c r="L216" s="874">
        <v>101324</v>
      </c>
      <c r="M216" s="874">
        <v>75083106</v>
      </c>
      <c r="N216" s="874">
        <v>0</v>
      </c>
      <c r="O216" s="874">
        <f t="shared" si="10"/>
        <v>94733036</v>
      </c>
      <c r="P216" s="874"/>
      <c r="Q216" s="874">
        <f t="shared" si="11"/>
        <v>13516927</v>
      </c>
      <c r="R216" s="874">
        <v>2153091</v>
      </c>
      <c r="S216" s="874">
        <v>15670018</v>
      </c>
      <c r="T216" s="878"/>
      <c r="U216" s="878"/>
      <c r="V216" s="878"/>
      <c r="W216" s="878"/>
      <c r="X216" s="878"/>
      <c r="Y216" s="878"/>
      <c r="Z216" s="878"/>
      <c r="AA216" s="878"/>
      <c r="AB216" s="879"/>
      <c r="AC216" s="879"/>
      <c r="AD216" s="879"/>
      <c r="AE216" s="879"/>
      <c r="AF216" s="879"/>
      <c r="AG216" s="879"/>
      <c r="AH216" s="879"/>
      <c r="AI216" s="879"/>
    </row>
    <row r="217" spans="1:35" x14ac:dyDescent="0.25">
      <c r="A217" s="876">
        <v>36701</v>
      </c>
      <c r="B217" s="873" t="s">
        <v>1430</v>
      </c>
      <c r="C217" s="873">
        <v>1784336</v>
      </c>
      <c r="D217" s="874">
        <v>1019833</v>
      </c>
      <c r="E217" s="874">
        <v>0</v>
      </c>
      <c r="F217" s="874">
        <v>0</v>
      </c>
      <c r="G217" s="874">
        <v>0</v>
      </c>
      <c r="H217" s="874">
        <v>0</v>
      </c>
      <c r="I217" s="874">
        <f t="shared" si="9"/>
        <v>0</v>
      </c>
      <c r="J217" s="874"/>
      <c r="K217" s="874">
        <v>73124</v>
      </c>
      <c r="L217" s="874">
        <v>379</v>
      </c>
      <c r="M217" s="874">
        <v>280857</v>
      </c>
      <c r="N217" s="874">
        <v>367150</v>
      </c>
      <c r="O217" s="874">
        <f t="shared" si="10"/>
        <v>721510</v>
      </c>
      <c r="P217" s="874"/>
      <c r="Q217" s="874">
        <f t="shared" si="11"/>
        <v>50562</v>
      </c>
      <c r="R217" s="874">
        <v>-73430</v>
      </c>
      <c r="S217" s="874">
        <v>-22868</v>
      </c>
      <c r="T217" s="878"/>
      <c r="U217" s="878"/>
      <c r="V217" s="878"/>
      <c r="W217" s="878"/>
      <c r="X217" s="878"/>
      <c r="Y217" s="878"/>
      <c r="Z217" s="878"/>
      <c r="AA217" s="878"/>
      <c r="AB217" s="879"/>
      <c r="AC217" s="879"/>
      <c r="AD217" s="879"/>
      <c r="AE217" s="879"/>
      <c r="AF217" s="879"/>
      <c r="AG217" s="879"/>
      <c r="AH217" s="879"/>
      <c r="AI217" s="879"/>
    </row>
    <row r="218" spans="1:35" x14ac:dyDescent="0.25">
      <c r="A218" s="876">
        <v>36705</v>
      </c>
      <c r="B218" s="873" t="s">
        <v>1431</v>
      </c>
      <c r="C218" s="873">
        <v>40455042</v>
      </c>
      <c r="D218" s="874">
        <v>29319165</v>
      </c>
      <c r="E218" s="874">
        <v>0</v>
      </c>
      <c r="F218" s="874">
        <v>0</v>
      </c>
      <c r="G218" s="874">
        <v>0</v>
      </c>
      <c r="H218" s="874">
        <v>0</v>
      </c>
      <c r="I218" s="874">
        <f t="shared" si="9"/>
        <v>0</v>
      </c>
      <c r="J218" s="874"/>
      <c r="K218" s="874">
        <v>2102238</v>
      </c>
      <c r="L218" s="874">
        <v>10896</v>
      </c>
      <c r="M218" s="874">
        <v>8074364</v>
      </c>
      <c r="N218" s="874">
        <v>1233225</v>
      </c>
      <c r="O218" s="874">
        <f t="shared" si="10"/>
        <v>11420723</v>
      </c>
      <c r="P218" s="874"/>
      <c r="Q218" s="874">
        <f t="shared" si="11"/>
        <v>1453597</v>
      </c>
      <c r="R218" s="874">
        <v>-246648</v>
      </c>
      <c r="S218" s="874">
        <v>1206949</v>
      </c>
      <c r="T218" s="878"/>
      <c r="U218" s="878"/>
      <c r="V218" s="878"/>
      <c r="W218" s="878"/>
      <c r="X218" s="878"/>
      <c r="Y218" s="878"/>
      <c r="Z218" s="878"/>
      <c r="AA218" s="878"/>
      <c r="AB218" s="879"/>
      <c r="AC218" s="879"/>
      <c r="AD218" s="879"/>
      <c r="AE218" s="879"/>
      <c r="AF218" s="879"/>
      <c r="AG218" s="879"/>
      <c r="AH218" s="879"/>
      <c r="AI218" s="879"/>
    </row>
    <row r="219" spans="1:35" x14ac:dyDescent="0.25">
      <c r="A219" s="876">
        <v>36800</v>
      </c>
      <c r="B219" s="873" t="s">
        <v>1432</v>
      </c>
      <c r="C219" s="873">
        <v>131770855</v>
      </c>
      <c r="D219" s="874">
        <v>105035373</v>
      </c>
      <c r="E219" s="874">
        <v>0</v>
      </c>
      <c r="F219" s="874">
        <v>0</v>
      </c>
      <c r="G219" s="874">
        <v>0</v>
      </c>
      <c r="H219" s="874">
        <v>6228150</v>
      </c>
      <c r="I219" s="874">
        <f t="shared" si="9"/>
        <v>6228150</v>
      </c>
      <c r="J219" s="874"/>
      <c r="K219" s="874">
        <v>7531229</v>
      </c>
      <c r="L219" s="874">
        <v>39036</v>
      </c>
      <c r="M219" s="874">
        <v>28926262</v>
      </c>
      <c r="N219" s="874">
        <v>0</v>
      </c>
      <c r="O219" s="874">
        <f t="shared" si="10"/>
        <v>36496527</v>
      </c>
      <c r="P219" s="874"/>
      <c r="Q219" s="874">
        <f t="shared" si="11"/>
        <v>5207485</v>
      </c>
      <c r="R219" s="874">
        <v>1245632</v>
      </c>
      <c r="S219" s="874">
        <v>6453117</v>
      </c>
      <c r="T219" s="878"/>
      <c r="U219" s="878"/>
      <c r="V219" s="878"/>
      <c r="W219" s="878"/>
      <c r="X219" s="878"/>
      <c r="Y219" s="878"/>
      <c r="Z219" s="878"/>
      <c r="AA219" s="878"/>
      <c r="AB219" s="879"/>
      <c r="AC219" s="879"/>
      <c r="AD219" s="879"/>
      <c r="AE219" s="879"/>
      <c r="AF219" s="879"/>
      <c r="AG219" s="879"/>
      <c r="AH219" s="879"/>
      <c r="AI219" s="879"/>
    </row>
    <row r="220" spans="1:35" x14ac:dyDescent="0.25">
      <c r="A220" s="876">
        <v>36802</v>
      </c>
      <c r="B220" s="873" t="s">
        <v>1433</v>
      </c>
      <c r="C220" s="873">
        <v>3534391</v>
      </c>
      <c r="D220" s="874">
        <v>3711483</v>
      </c>
      <c r="E220" s="874">
        <v>0</v>
      </c>
      <c r="F220" s="874">
        <v>0</v>
      </c>
      <c r="G220" s="874">
        <v>0</v>
      </c>
      <c r="H220" s="874">
        <v>1136475</v>
      </c>
      <c r="I220" s="874">
        <f t="shared" si="9"/>
        <v>1136475</v>
      </c>
      <c r="J220" s="874"/>
      <c r="K220" s="874">
        <v>266120</v>
      </c>
      <c r="L220" s="874">
        <v>1379</v>
      </c>
      <c r="M220" s="874">
        <v>1022126</v>
      </c>
      <c r="N220" s="874">
        <v>0</v>
      </c>
      <c r="O220" s="874">
        <f t="shared" si="10"/>
        <v>1289625</v>
      </c>
      <c r="P220" s="874"/>
      <c r="Q220" s="874">
        <f t="shared" si="11"/>
        <v>184009</v>
      </c>
      <c r="R220" s="874">
        <v>227295</v>
      </c>
      <c r="S220" s="874">
        <v>411304</v>
      </c>
      <c r="T220" s="878"/>
      <c r="U220" s="878"/>
      <c r="V220" s="878"/>
      <c r="W220" s="878"/>
      <c r="X220" s="878"/>
      <c r="Y220" s="878"/>
      <c r="Z220" s="878"/>
      <c r="AA220" s="878"/>
      <c r="AB220" s="879"/>
      <c r="AC220" s="879"/>
      <c r="AD220" s="879"/>
      <c r="AE220" s="879"/>
      <c r="AF220" s="879"/>
      <c r="AG220" s="879"/>
      <c r="AH220" s="879"/>
      <c r="AI220" s="879"/>
    </row>
    <row r="221" spans="1:35" x14ac:dyDescent="0.25">
      <c r="A221" s="876">
        <v>36810</v>
      </c>
      <c r="B221" s="873" t="s">
        <v>1434</v>
      </c>
      <c r="C221" s="873">
        <v>257834844</v>
      </c>
      <c r="D221" s="874">
        <v>198969592</v>
      </c>
      <c r="E221" s="874">
        <v>0</v>
      </c>
      <c r="F221" s="874">
        <v>0</v>
      </c>
      <c r="G221" s="874">
        <v>0</v>
      </c>
      <c r="H221" s="874">
        <v>4694820</v>
      </c>
      <c r="I221" s="874">
        <f t="shared" si="9"/>
        <v>4694820</v>
      </c>
      <c r="J221" s="874"/>
      <c r="K221" s="874">
        <v>14266486</v>
      </c>
      <c r="L221" s="874">
        <v>73946</v>
      </c>
      <c r="M221" s="874">
        <v>54795317</v>
      </c>
      <c r="N221" s="874">
        <v>0</v>
      </c>
      <c r="O221" s="874">
        <f t="shared" si="10"/>
        <v>69135749</v>
      </c>
      <c r="P221" s="874"/>
      <c r="Q221" s="874">
        <f t="shared" si="11"/>
        <v>9864593</v>
      </c>
      <c r="R221" s="874">
        <v>938963</v>
      </c>
      <c r="S221" s="874">
        <v>10803556</v>
      </c>
      <c r="T221" s="878"/>
      <c r="U221" s="878"/>
      <c r="V221" s="878"/>
      <c r="W221" s="878"/>
      <c r="X221" s="878"/>
      <c r="Y221" s="878"/>
      <c r="Z221" s="878"/>
      <c r="AA221" s="878"/>
      <c r="AB221" s="879"/>
      <c r="AC221" s="879"/>
      <c r="AD221" s="879"/>
      <c r="AE221" s="879"/>
      <c r="AF221" s="879"/>
      <c r="AG221" s="879"/>
      <c r="AH221" s="879"/>
      <c r="AI221" s="879"/>
    </row>
    <row r="222" spans="1:35" x14ac:dyDescent="0.25">
      <c r="A222" s="876">
        <v>36900</v>
      </c>
      <c r="B222" s="873" t="s">
        <v>1435</v>
      </c>
      <c r="C222" s="873">
        <v>24615575</v>
      </c>
      <c r="D222" s="874">
        <v>19425969</v>
      </c>
      <c r="E222" s="874">
        <v>0</v>
      </c>
      <c r="F222" s="874">
        <v>0</v>
      </c>
      <c r="G222" s="874">
        <v>0</v>
      </c>
      <c r="H222" s="874">
        <v>946180</v>
      </c>
      <c r="I222" s="874">
        <f t="shared" si="9"/>
        <v>946180</v>
      </c>
      <c r="J222" s="874"/>
      <c r="K222" s="874">
        <v>1392878</v>
      </c>
      <c r="L222" s="874">
        <v>7220</v>
      </c>
      <c r="M222" s="874">
        <v>5349823</v>
      </c>
      <c r="N222" s="874">
        <v>0</v>
      </c>
      <c r="O222" s="874">
        <f t="shared" si="10"/>
        <v>6749921</v>
      </c>
      <c r="P222" s="874"/>
      <c r="Q222" s="874">
        <f t="shared" si="11"/>
        <v>963108</v>
      </c>
      <c r="R222" s="874">
        <v>189240</v>
      </c>
      <c r="S222" s="874">
        <v>1152348</v>
      </c>
      <c r="T222" s="878"/>
      <c r="U222" s="878"/>
      <c r="V222" s="878"/>
      <c r="W222" s="878"/>
      <c r="X222" s="878"/>
      <c r="Y222" s="878"/>
      <c r="Z222" s="878"/>
      <c r="AA222" s="878"/>
      <c r="AB222" s="879"/>
      <c r="AC222" s="879"/>
      <c r="AD222" s="879"/>
      <c r="AE222" s="879"/>
      <c r="AF222" s="879"/>
      <c r="AG222" s="879"/>
      <c r="AH222" s="879"/>
      <c r="AI222" s="879"/>
    </row>
    <row r="223" spans="1:35" x14ac:dyDescent="0.25">
      <c r="A223" s="876">
        <v>36901</v>
      </c>
      <c r="B223" s="873" t="s">
        <v>1436</v>
      </c>
      <c r="C223" s="873">
        <v>8055548</v>
      </c>
      <c r="D223" s="874">
        <v>6611339</v>
      </c>
      <c r="E223" s="874">
        <v>0</v>
      </c>
      <c r="F223" s="874">
        <v>0</v>
      </c>
      <c r="G223" s="874">
        <v>0</v>
      </c>
      <c r="H223" s="874">
        <v>591395</v>
      </c>
      <c r="I223" s="874">
        <f t="shared" si="9"/>
        <v>591395</v>
      </c>
      <c r="J223" s="874"/>
      <c r="K223" s="874">
        <v>474045</v>
      </c>
      <c r="L223" s="874">
        <v>2457</v>
      </c>
      <c r="M223" s="874">
        <v>1820732</v>
      </c>
      <c r="N223" s="874">
        <v>0</v>
      </c>
      <c r="O223" s="874">
        <f t="shared" si="10"/>
        <v>2297234</v>
      </c>
      <c r="P223" s="874"/>
      <c r="Q223" s="874">
        <f t="shared" si="11"/>
        <v>327780</v>
      </c>
      <c r="R223" s="874">
        <v>118281</v>
      </c>
      <c r="S223" s="874">
        <v>446061</v>
      </c>
      <c r="T223" s="878"/>
      <c r="U223" s="878"/>
      <c r="V223" s="878"/>
      <c r="W223" s="878"/>
      <c r="X223" s="878"/>
      <c r="Y223" s="878"/>
      <c r="Z223" s="878"/>
      <c r="AA223" s="878"/>
      <c r="AB223" s="879"/>
      <c r="AC223" s="879"/>
      <c r="AD223" s="879"/>
      <c r="AE223" s="879"/>
      <c r="AF223" s="879"/>
      <c r="AG223" s="879"/>
      <c r="AH223" s="879"/>
      <c r="AI223" s="879"/>
    </row>
    <row r="224" spans="1:35" x14ac:dyDescent="0.25">
      <c r="A224" s="876">
        <v>36905</v>
      </c>
      <c r="B224" s="873" t="s">
        <v>1437</v>
      </c>
      <c r="C224" s="873">
        <v>7373545</v>
      </c>
      <c r="D224" s="874">
        <v>6003119</v>
      </c>
      <c r="E224" s="874">
        <v>0</v>
      </c>
      <c r="F224" s="874">
        <v>0</v>
      </c>
      <c r="G224" s="874">
        <v>0</v>
      </c>
      <c r="H224" s="874">
        <v>521260</v>
      </c>
      <c r="I224" s="874">
        <f t="shared" si="9"/>
        <v>521260</v>
      </c>
      <c r="J224" s="874"/>
      <c r="K224" s="874">
        <v>430435</v>
      </c>
      <c r="L224" s="874">
        <v>2231</v>
      </c>
      <c r="M224" s="874">
        <v>1653232</v>
      </c>
      <c r="N224" s="874">
        <v>0</v>
      </c>
      <c r="O224" s="874">
        <f t="shared" si="10"/>
        <v>2085898</v>
      </c>
      <c r="P224" s="874"/>
      <c r="Q224" s="874">
        <f t="shared" si="11"/>
        <v>297625</v>
      </c>
      <c r="R224" s="874">
        <v>104253</v>
      </c>
      <c r="S224" s="874">
        <v>401878</v>
      </c>
      <c r="T224" s="878"/>
      <c r="U224" s="878"/>
      <c r="V224" s="878"/>
      <c r="W224" s="878"/>
      <c r="X224" s="878"/>
      <c r="Y224" s="878"/>
      <c r="Z224" s="878"/>
      <c r="AA224" s="878"/>
      <c r="AB224" s="879"/>
      <c r="AC224" s="879"/>
      <c r="AD224" s="879"/>
      <c r="AE224" s="879"/>
      <c r="AF224" s="879"/>
      <c r="AG224" s="879"/>
      <c r="AH224" s="879"/>
      <c r="AI224" s="879"/>
    </row>
    <row r="225" spans="1:35" x14ac:dyDescent="0.25">
      <c r="A225" s="876">
        <v>37000</v>
      </c>
      <c r="B225" s="873" t="s">
        <v>1438</v>
      </c>
      <c r="C225" s="873">
        <v>85007848</v>
      </c>
      <c r="D225" s="874">
        <v>64560874</v>
      </c>
      <c r="E225" s="874">
        <v>0</v>
      </c>
      <c r="F225" s="874">
        <v>0</v>
      </c>
      <c r="G225" s="874">
        <v>0</v>
      </c>
      <c r="H225" s="874">
        <v>470675</v>
      </c>
      <c r="I225" s="874">
        <f t="shared" si="9"/>
        <v>470675</v>
      </c>
      <c r="J225" s="874"/>
      <c r="K225" s="874">
        <v>4629133</v>
      </c>
      <c r="L225" s="874">
        <v>23994</v>
      </c>
      <c r="M225" s="874">
        <v>17779770</v>
      </c>
      <c r="N225" s="874">
        <v>0</v>
      </c>
      <c r="O225" s="874">
        <f t="shared" si="10"/>
        <v>22432897</v>
      </c>
      <c r="P225" s="874"/>
      <c r="Q225" s="874">
        <f t="shared" si="11"/>
        <v>3200824</v>
      </c>
      <c r="R225" s="874">
        <v>94132</v>
      </c>
      <c r="S225" s="874">
        <v>3294956</v>
      </c>
      <c r="T225" s="878"/>
      <c r="U225" s="878"/>
      <c r="V225" s="878"/>
      <c r="W225" s="878"/>
      <c r="X225" s="878"/>
      <c r="Y225" s="878"/>
      <c r="Z225" s="878"/>
      <c r="AA225" s="878"/>
      <c r="AB225" s="879"/>
      <c r="AC225" s="879"/>
      <c r="AD225" s="879"/>
      <c r="AE225" s="879"/>
      <c r="AF225" s="879"/>
      <c r="AG225" s="879"/>
      <c r="AH225" s="879"/>
      <c r="AI225" s="879"/>
    </row>
    <row r="226" spans="1:35" x14ac:dyDescent="0.25">
      <c r="A226" s="876">
        <v>37001</v>
      </c>
      <c r="B226" s="873" t="s">
        <v>1168</v>
      </c>
      <c r="C226" s="873">
        <v>1373143</v>
      </c>
      <c r="D226" s="874">
        <v>2539686</v>
      </c>
      <c r="E226" s="874">
        <v>0</v>
      </c>
      <c r="F226" s="874">
        <v>0</v>
      </c>
      <c r="G226" s="874">
        <v>0</v>
      </c>
      <c r="H226" s="874">
        <v>1652570</v>
      </c>
      <c r="I226" s="874">
        <f t="shared" si="9"/>
        <v>1652570</v>
      </c>
      <c r="J226" s="874"/>
      <c r="K226" s="874">
        <v>182100</v>
      </c>
      <c r="L226" s="874">
        <v>944</v>
      </c>
      <c r="M226" s="874">
        <v>699418</v>
      </c>
      <c r="N226" s="874">
        <v>0</v>
      </c>
      <c r="O226" s="874">
        <f t="shared" si="10"/>
        <v>882462</v>
      </c>
      <c r="P226" s="874"/>
      <c r="Q226" s="874">
        <f t="shared" si="11"/>
        <v>125914</v>
      </c>
      <c r="R226" s="874">
        <v>330514</v>
      </c>
      <c r="S226" s="874">
        <v>456428</v>
      </c>
      <c r="T226" s="878"/>
      <c r="U226" s="878"/>
      <c r="V226" s="878"/>
      <c r="W226" s="878"/>
      <c r="X226" s="878"/>
      <c r="Y226" s="878"/>
      <c r="Z226" s="878"/>
      <c r="AA226" s="878"/>
      <c r="AB226" s="879"/>
      <c r="AC226" s="879"/>
      <c r="AD226" s="879"/>
      <c r="AE226" s="879"/>
      <c r="AF226" s="879"/>
      <c r="AG226" s="879"/>
      <c r="AH226" s="879"/>
      <c r="AI226" s="879"/>
    </row>
    <row r="227" spans="1:35" x14ac:dyDescent="0.25">
      <c r="A227" s="876">
        <v>37005</v>
      </c>
      <c r="B227" s="873" t="s">
        <v>1439</v>
      </c>
      <c r="C227" s="873">
        <v>19996483</v>
      </c>
      <c r="D227" s="874">
        <v>14559242</v>
      </c>
      <c r="E227" s="874">
        <v>0</v>
      </c>
      <c r="F227" s="874">
        <v>0</v>
      </c>
      <c r="G227" s="874">
        <v>0</v>
      </c>
      <c r="H227" s="874">
        <v>0</v>
      </c>
      <c r="I227" s="874">
        <f t="shared" si="9"/>
        <v>0</v>
      </c>
      <c r="J227" s="874"/>
      <c r="K227" s="874">
        <v>1043924</v>
      </c>
      <c r="L227" s="874">
        <v>5411</v>
      </c>
      <c r="M227" s="874">
        <v>4009549</v>
      </c>
      <c r="N227" s="874">
        <v>507490</v>
      </c>
      <c r="O227" s="874">
        <f t="shared" si="10"/>
        <v>5566374</v>
      </c>
      <c r="P227" s="874"/>
      <c r="Q227" s="874">
        <f t="shared" si="11"/>
        <v>721824</v>
      </c>
      <c r="R227" s="874">
        <v>-101495</v>
      </c>
      <c r="S227" s="874">
        <v>620329</v>
      </c>
      <c r="T227" s="878"/>
      <c r="U227" s="878"/>
      <c r="V227" s="878"/>
      <c r="W227" s="878"/>
      <c r="X227" s="878"/>
      <c r="Y227" s="878"/>
      <c r="Z227" s="878"/>
      <c r="AA227" s="878"/>
      <c r="AB227" s="879"/>
      <c r="AC227" s="879"/>
      <c r="AD227" s="879"/>
      <c r="AE227" s="879"/>
      <c r="AF227" s="879"/>
      <c r="AG227" s="879"/>
      <c r="AH227" s="879"/>
      <c r="AI227" s="879"/>
    </row>
    <row r="228" spans="1:35" x14ac:dyDescent="0.25">
      <c r="A228" s="876">
        <v>37100</v>
      </c>
      <c r="B228" s="873" t="s">
        <v>1440</v>
      </c>
      <c r="C228" s="873">
        <v>119834946</v>
      </c>
      <c r="D228" s="874">
        <v>96270012</v>
      </c>
      <c r="E228" s="874">
        <v>0</v>
      </c>
      <c r="F228" s="874">
        <v>0</v>
      </c>
      <c r="G228" s="874">
        <v>0</v>
      </c>
      <c r="H228" s="874">
        <v>6391620</v>
      </c>
      <c r="I228" s="874">
        <f t="shared" si="9"/>
        <v>6391620</v>
      </c>
      <c r="J228" s="874"/>
      <c r="K228" s="874">
        <v>6902737</v>
      </c>
      <c r="L228" s="874">
        <v>35778</v>
      </c>
      <c r="M228" s="874">
        <v>26512322</v>
      </c>
      <c r="N228" s="874">
        <v>0</v>
      </c>
      <c r="O228" s="874">
        <f t="shared" si="10"/>
        <v>33450837</v>
      </c>
      <c r="P228" s="874"/>
      <c r="Q228" s="874">
        <f t="shared" si="11"/>
        <v>4772913</v>
      </c>
      <c r="R228" s="874">
        <v>1278327</v>
      </c>
      <c r="S228" s="874">
        <v>6051240</v>
      </c>
      <c r="T228" s="878"/>
      <c r="U228" s="878"/>
      <c r="V228" s="878"/>
      <c r="W228" s="878"/>
      <c r="X228" s="878"/>
      <c r="Y228" s="878"/>
      <c r="Z228" s="878"/>
      <c r="AA228" s="878"/>
      <c r="AB228" s="879"/>
      <c r="AC228" s="879"/>
      <c r="AD228" s="879"/>
      <c r="AE228" s="879"/>
      <c r="AF228" s="879"/>
      <c r="AG228" s="879"/>
      <c r="AH228" s="879"/>
      <c r="AI228" s="879"/>
    </row>
    <row r="229" spans="1:35" x14ac:dyDescent="0.25">
      <c r="A229" s="876">
        <v>37200</v>
      </c>
      <c r="B229" s="873" t="s">
        <v>1441</v>
      </c>
      <c r="C229" s="873">
        <v>27099122</v>
      </c>
      <c r="D229" s="874">
        <v>21608379</v>
      </c>
      <c r="E229" s="874">
        <v>0</v>
      </c>
      <c r="F229" s="874">
        <v>0</v>
      </c>
      <c r="G229" s="874">
        <v>0</v>
      </c>
      <c r="H229" s="874">
        <v>1281085</v>
      </c>
      <c r="I229" s="874">
        <f t="shared" si="9"/>
        <v>1281085</v>
      </c>
      <c r="J229" s="874"/>
      <c r="K229" s="874">
        <v>1549360</v>
      </c>
      <c r="L229" s="874">
        <v>8031</v>
      </c>
      <c r="M229" s="874">
        <v>5950849</v>
      </c>
      <c r="N229" s="874">
        <v>0</v>
      </c>
      <c r="O229" s="874">
        <f t="shared" si="10"/>
        <v>7508240</v>
      </c>
      <c r="P229" s="874"/>
      <c r="Q229" s="874">
        <f t="shared" si="11"/>
        <v>1071309</v>
      </c>
      <c r="R229" s="874">
        <v>256215</v>
      </c>
      <c r="S229" s="874">
        <v>1327524</v>
      </c>
      <c r="T229" s="878"/>
      <c r="U229" s="878"/>
      <c r="V229" s="878"/>
      <c r="W229" s="878"/>
      <c r="X229" s="878"/>
      <c r="Y229" s="878"/>
      <c r="Z229" s="878"/>
      <c r="AA229" s="878"/>
      <c r="AB229" s="879"/>
      <c r="AC229" s="879"/>
      <c r="AD229" s="879"/>
      <c r="AE229" s="879"/>
      <c r="AF229" s="879"/>
      <c r="AG229" s="879"/>
      <c r="AH229" s="879"/>
      <c r="AI229" s="879"/>
    </row>
    <row r="230" spans="1:35" x14ac:dyDescent="0.25">
      <c r="A230" s="876">
        <v>37300</v>
      </c>
      <c r="B230" s="873" t="s">
        <v>1442</v>
      </c>
      <c r="C230" s="873">
        <v>71246294</v>
      </c>
      <c r="D230" s="874">
        <v>57083907</v>
      </c>
      <c r="E230" s="874">
        <v>0</v>
      </c>
      <c r="F230" s="874">
        <v>0</v>
      </c>
      <c r="G230" s="874">
        <v>0</v>
      </c>
      <c r="H230" s="874">
        <v>3628540</v>
      </c>
      <c r="I230" s="874">
        <f t="shared" si="9"/>
        <v>3628540</v>
      </c>
      <c r="J230" s="874"/>
      <c r="K230" s="874">
        <v>4093021</v>
      </c>
      <c r="L230" s="874">
        <v>21215</v>
      </c>
      <c r="M230" s="874">
        <v>15720647</v>
      </c>
      <c r="N230" s="874">
        <v>0</v>
      </c>
      <c r="O230" s="874">
        <f t="shared" si="10"/>
        <v>19834883</v>
      </c>
      <c r="P230" s="874"/>
      <c r="Q230" s="874">
        <f t="shared" si="11"/>
        <v>2830128</v>
      </c>
      <c r="R230" s="874">
        <v>725711</v>
      </c>
      <c r="S230" s="874">
        <v>3555839</v>
      </c>
      <c r="T230" s="878"/>
      <c r="U230" s="878"/>
      <c r="V230" s="878"/>
      <c r="W230" s="878"/>
      <c r="X230" s="878"/>
      <c r="Y230" s="878"/>
      <c r="Z230" s="878"/>
      <c r="AA230" s="878"/>
      <c r="AB230" s="879"/>
      <c r="AC230" s="879"/>
      <c r="AD230" s="879"/>
      <c r="AE230" s="879"/>
      <c r="AF230" s="879"/>
      <c r="AG230" s="879"/>
      <c r="AH230" s="879"/>
      <c r="AI230" s="879"/>
    </row>
    <row r="231" spans="1:35" x14ac:dyDescent="0.25">
      <c r="A231" s="876">
        <v>37301</v>
      </c>
      <c r="B231" s="873" t="s">
        <v>1443</v>
      </c>
      <c r="C231" s="873">
        <v>7800914</v>
      </c>
      <c r="D231" s="874">
        <v>6502496</v>
      </c>
      <c r="E231" s="874">
        <v>0</v>
      </c>
      <c r="F231" s="874">
        <v>0</v>
      </c>
      <c r="G231" s="874">
        <v>0</v>
      </c>
      <c r="H231" s="874">
        <v>669845</v>
      </c>
      <c r="I231" s="874">
        <f t="shared" si="9"/>
        <v>669845</v>
      </c>
      <c r="J231" s="874"/>
      <c r="K231" s="874">
        <v>466241</v>
      </c>
      <c r="L231" s="874">
        <v>2417</v>
      </c>
      <c r="M231" s="874">
        <v>1790758</v>
      </c>
      <c r="N231" s="874">
        <v>0</v>
      </c>
      <c r="O231" s="874">
        <f t="shared" si="10"/>
        <v>2259416</v>
      </c>
      <c r="P231" s="874"/>
      <c r="Q231" s="874">
        <f t="shared" si="11"/>
        <v>322383</v>
      </c>
      <c r="R231" s="874">
        <v>133969</v>
      </c>
      <c r="S231" s="874">
        <v>456352</v>
      </c>
      <c r="T231" s="878"/>
      <c r="U231" s="878"/>
      <c r="V231" s="878"/>
      <c r="W231" s="878"/>
      <c r="X231" s="878"/>
      <c r="Y231" s="878"/>
      <c r="Z231" s="878"/>
      <c r="AA231" s="878"/>
      <c r="AB231" s="879"/>
      <c r="AC231" s="879"/>
      <c r="AD231" s="879"/>
      <c r="AE231" s="879"/>
      <c r="AF231" s="879"/>
      <c r="AG231" s="879"/>
      <c r="AH231" s="879"/>
      <c r="AI231" s="879"/>
    </row>
    <row r="232" spans="1:35" x14ac:dyDescent="0.25">
      <c r="A232" s="876">
        <v>37305</v>
      </c>
      <c r="B232" s="873" t="s">
        <v>1444</v>
      </c>
      <c r="C232" s="873">
        <v>20900597</v>
      </c>
      <c r="D232" s="874">
        <v>13636624</v>
      </c>
      <c r="E232" s="874">
        <v>0</v>
      </c>
      <c r="F232" s="874">
        <v>0</v>
      </c>
      <c r="G232" s="874">
        <v>0</v>
      </c>
      <c r="H232" s="874">
        <v>0</v>
      </c>
      <c r="I232" s="874">
        <f t="shared" si="9"/>
        <v>0</v>
      </c>
      <c r="J232" s="874"/>
      <c r="K232" s="874">
        <v>977771</v>
      </c>
      <c r="L232" s="874">
        <v>5068</v>
      </c>
      <c r="M232" s="874">
        <v>3755464</v>
      </c>
      <c r="N232" s="874">
        <v>2233030</v>
      </c>
      <c r="O232" s="874">
        <f t="shared" si="10"/>
        <v>6971333</v>
      </c>
      <c r="P232" s="874"/>
      <c r="Q232" s="874">
        <f t="shared" si="11"/>
        <v>676082</v>
      </c>
      <c r="R232" s="874">
        <v>-446605</v>
      </c>
      <c r="S232" s="874">
        <v>229477</v>
      </c>
      <c r="T232" s="878"/>
      <c r="U232" s="878"/>
      <c r="V232" s="878"/>
      <c r="W232" s="878"/>
      <c r="X232" s="878"/>
      <c r="Y232" s="878"/>
      <c r="Z232" s="878"/>
      <c r="AA232" s="878"/>
      <c r="AB232" s="879"/>
      <c r="AC232" s="879"/>
      <c r="AD232" s="879"/>
      <c r="AE232" s="879"/>
      <c r="AF232" s="879"/>
      <c r="AG232" s="879"/>
      <c r="AH232" s="879"/>
      <c r="AI232" s="879"/>
    </row>
    <row r="233" spans="1:35" x14ac:dyDescent="0.25">
      <c r="A233" s="876">
        <v>37400</v>
      </c>
      <c r="B233" s="873" t="s">
        <v>1445</v>
      </c>
      <c r="C233" s="873">
        <v>351275528</v>
      </c>
      <c r="D233" s="874">
        <v>271053859</v>
      </c>
      <c r="E233" s="874">
        <v>0</v>
      </c>
      <c r="F233" s="874">
        <v>0</v>
      </c>
      <c r="G233" s="874">
        <v>0</v>
      </c>
      <c r="H233" s="874">
        <v>6225575</v>
      </c>
      <c r="I233" s="874">
        <f t="shared" si="9"/>
        <v>6225575</v>
      </c>
      <c r="J233" s="874"/>
      <c r="K233" s="874">
        <v>19435060</v>
      </c>
      <c r="L233" s="874">
        <v>100735</v>
      </c>
      <c r="M233" s="874">
        <v>74646995</v>
      </c>
      <c r="N233" s="874">
        <v>0</v>
      </c>
      <c r="O233" s="874">
        <f t="shared" si="10"/>
        <v>94182790</v>
      </c>
      <c r="P233" s="874"/>
      <c r="Q233" s="874">
        <f t="shared" si="11"/>
        <v>13438415</v>
      </c>
      <c r="R233" s="874">
        <v>1245115</v>
      </c>
      <c r="S233" s="874">
        <v>14683530</v>
      </c>
      <c r="T233" s="878"/>
      <c r="U233" s="878"/>
      <c r="V233" s="878"/>
      <c r="W233" s="878"/>
      <c r="X233" s="878"/>
      <c r="Y233" s="878"/>
      <c r="Z233" s="878"/>
      <c r="AA233" s="878"/>
      <c r="AB233" s="879"/>
      <c r="AC233" s="879"/>
      <c r="AD233" s="879"/>
      <c r="AE233" s="879"/>
      <c r="AF233" s="879"/>
      <c r="AG233" s="879"/>
      <c r="AH233" s="879"/>
      <c r="AI233" s="879"/>
    </row>
    <row r="234" spans="1:35" x14ac:dyDescent="0.25">
      <c r="A234" s="876">
        <v>37405</v>
      </c>
      <c r="B234" s="873" t="s">
        <v>1446</v>
      </c>
      <c r="C234" s="873">
        <v>78001917</v>
      </c>
      <c r="D234" s="874">
        <v>56845073</v>
      </c>
      <c r="E234" s="874">
        <v>0</v>
      </c>
      <c r="F234" s="874">
        <v>0</v>
      </c>
      <c r="G234" s="874">
        <v>0</v>
      </c>
      <c r="H234" s="874">
        <v>0</v>
      </c>
      <c r="I234" s="874">
        <f t="shared" si="9"/>
        <v>0</v>
      </c>
      <c r="J234" s="874"/>
      <c r="K234" s="874">
        <v>4075896</v>
      </c>
      <c r="L234" s="874">
        <v>21126</v>
      </c>
      <c r="M234" s="874">
        <v>15654874</v>
      </c>
      <c r="N234" s="874">
        <v>2111085</v>
      </c>
      <c r="O234" s="874">
        <f t="shared" si="10"/>
        <v>21862981</v>
      </c>
      <c r="P234" s="874"/>
      <c r="Q234" s="874">
        <f t="shared" si="11"/>
        <v>2818287</v>
      </c>
      <c r="R234" s="874">
        <v>-422213</v>
      </c>
      <c r="S234" s="874">
        <v>2396074</v>
      </c>
      <c r="T234" s="878"/>
      <c r="U234" s="878"/>
      <c r="V234" s="878"/>
      <c r="W234" s="878"/>
      <c r="X234" s="878"/>
      <c r="Y234" s="878"/>
      <c r="Z234" s="878"/>
      <c r="AA234" s="878"/>
      <c r="AB234" s="879"/>
      <c r="AC234" s="879"/>
      <c r="AD234" s="879"/>
      <c r="AE234" s="879"/>
      <c r="AF234" s="879"/>
      <c r="AG234" s="879"/>
      <c r="AH234" s="879"/>
      <c r="AI234" s="879"/>
    </row>
    <row r="235" spans="1:35" x14ac:dyDescent="0.25">
      <c r="A235" s="876">
        <v>37500</v>
      </c>
      <c r="B235" s="873" t="s">
        <v>1447</v>
      </c>
      <c r="C235" s="873">
        <v>39667783</v>
      </c>
      <c r="D235" s="874">
        <v>30162646</v>
      </c>
      <c r="E235" s="874">
        <v>0</v>
      </c>
      <c r="F235" s="874">
        <v>0</v>
      </c>
      <c r="G235" s="874">
        <v>0</v>
      </c>
      <c r="H235" s="874">
        <v>283330</v>
      </c>
      <c r="I235" s="874">
        <f t="shared" si="9"/>
        <v>283330</v>
      </c>
      <c r="J235" s="874"/>
      <c r="K235" s="874">
        <v>2162717</v>
      </c>
      <c r="L235" s="874">
        <v>11210</v>
      </c>
      <c r="M235" s="874">
        <v>8306655</v>
      </c>
      <c r="N235" s="874">
        <v>0</v>
      </c>
      <c r="O235" s="874">
        <f t="shared" si="10"/>
        <v>10480582</v>
      </c>
      <c r="P235" s="874"/>
      <c r="Q235" s="874">
        <f t="shared" si="11"/>
        <v>1495416</v>
      </c>
      <c r="R235" s="874">
        <v>56667</v>
      </c>
      <c r="S235" s="874">
        <v>1552083</v>
      </c>
      <c r="T235" s="878"/>
      <c r="U235" s="878"/>
      <c r="V235" s="878"/>
      <c r="W235" s="878"/>
      <c r="X235" s="878"/>
      <c r="Y235" s="878"/>
      <c r="Z235" s="878"/>
      <c r="AA235" s="878"/>
      <c r="AB235" s="879"/>
      <c r="AC235" s="879"/>
      <c r="AD235" s="879"/>
      <c r="AE235" s="879"/>
      <c r="AF235" s="879"/>
      <c r="AG235" s="879"/>
      <c r="AH235" s="879"/>
      <c r="AI235" s="879"/>
    </row>
    <row r="236" spans="1:35" x14ac:dyDescent="0.25">
      <c r="A236" s="876">
        <v>37600</v>
      </c>
      <c r="B236" s="873" t="s">
        <v>1448</v>
      </c>
      <c r="C236" s="873">
        <v>242490987</v>
      </c>
      <c r="D236" s="874">
        <v>189232270</v>
      </c>
      <c r="E236" s="874">
        <v>0</v>
      </c>
      <c r="F236" s="874">
        <v>0</v>
      </c>
      <c r="G236" s="874">
        <v>0</v>
      </c>
      <c r="H236" s="874">
        <v>6767865</v>
      </c>
      <c r="I236" s="874">
        <f t="shared" si="9"/>
        <v>6767865</v>
      </c>
      <c r="J236" s="874"/>
      <c r="K236" s="874">
        <v>13568302</v>
      </c>
      <c r="L236" s="874">
        <v>70327</v>
      </c>
      <c r="M236" s="874">
        <v>52113703</v>
      </c>
      <c r="N236" s="874">
        <v>0</v>
      </c>
      <c r="O236" s="874">
        <f t="shared" si="10"/>
        <v>65752332</v>
      </c>
      <c r="P236" s="874"/>
      <c r="Q236" s="874">
        <f t="shared" si="11"/>
        <v>9381832</v>
      </c>
      <c r="R236" s="874">
        <v>1353573</v>
      </c>
      <c r="S236" s="874">
        <v>10735405</v>
      </c>
      <c r="T236" s="878"/>
      <c r="U236" s="878"/>
      <c r="V236" s="878"/>
      <c r="W236" s="878"/>
      <c r="X236" s="878"/>
      <c r="Y236" s="878"/>
      <c r="Z236" s="878"/>
      <c r="AA236" s="878"/>
      <c r="AB236" s="879"/>
      <c r="AC236" s="879"/>
      <c r="AD236" s="879"/>
      <c r="AE236" s="879"/>
      <c r="AF236" s="879"/>
      <c r="AG236" s="879"/>
      <c r="AH236" s="879"/>
      <c r="AI236" s="879"/>
    </row>
    <row r="237" spans="1:35" x14ac:dyDescent="0.25">
      <c r="A237" s="876">
        <v>37601</v>
      </c>
      <c r="B237" s="873" t="s">
        <v>1449</v>
      </c>
      <c r="C237" s="873">
        <v>7685606</v>
      </c>
      <c r="D237" s="874">
        <v>7704859</v>
      </c>
      <c r="E237" s="874">
        <v>0</v>
      </c>
      <c r="F237" s="874">
        <v>0</v>
      </c>
      <c r="G237" s="874">
        <v>0</v>
      </c>
      <c r="H237" s="874">
        <v>2074655</v>
      </c>
      <c r="I237" s="874">
        <f t="shared" si="9"/>
        <v>2074655</v>
      </c>
      <c r="J237" s="874"/>
      <c r="K237" s="874">
        <v>552453</v>
      </c>
      <c r="L237" s="874">
        <v>2863</v>
      </c>
      <c r="M237" s="874">
        <v>2121883</v>
      </c>
      <c r="N237" s="874">
        <v>0</v>
      </c>
      <c r="O237" s="874">
        <f t="shared" si="10"/>
        <v>2677199</v>
      </c>
      <c r="P237" s="874"/>
      <c r="Q237" s="874">
        <f t="shared" si="11"/>
        <v>381995</v>
      </c>
      <c r="R237" s="874">
        <v>414933</v>
      </c>
      <c r="S237" s="874">
        <v>796928</v>
      </c>
      <c r="T237" s="878"/>
      <c r="U237" s="878"/>
      <c r="V237" s="878"/>
      <c r="W237" s="878"/>
      <c r="X237" s="878"/>
      <c r="Y237" s="878"/>
      <c r="Z237" s="878"/>
      <c r="AA237" s="878"/>
      <c r="AB237" s="879"/>
      <c r="AC237" s="879"/>
      <c r="AD237" s="879"/>
      <c r="AE237" s="879"/>
      <c r="AF237" s="879"/>
      <c r="AG237" s="879"/>
      <c r="AH237" s="879"/>
      <c r="AI237" s="879"/>
    </row>
    <row r="238" spans="1:35" x14ac:dyDescent="0.25">
      <c r="A238" s="876">
        <v>37605</v>
      </c>
      <c r="B238" s="873" t="s">
        <v>1450</v>
      </c>
      <c r="C238" s="873">
        <v>29211905</v>
      </c>
      <c r="D238" s="874">
        <v>21546291</v>
      </c>
      <c r="E238" s="874">
        <v>0</v>
      </c>
      <c r="F238" s="874">
        <v>0</v>
      </c>
      <c r="G238" s="874">
        <v>0</v>
      </c>
      <c r="H238" s="874">
        <v>0</v>
      </c>
      <c r="I238" s="874">
        <f t="shared" si="9"/>
        <v>0</v>
      </c>
      <c r="J238" s="874"/>
      <c r="K238" s="874">
        <v>1544909</v>
      </c>
      <c r="L238" s="874">
        <v>8008</v>
      </c>
      <c r="M238" s="874">
        <v>5933750</v>
      </c>
      <c r="N238" s="874">
        <v>515365</v>
      </c>
      <c r="O238" s="874">
        <f t="shared" si="10"/>
        <v>8002032</v>
      </c>
      <c r="P238" s="874"/>
      <c r="Q238" s="874">
        <f t="shared" si="11"/>
        <v>1068231</v>
      </c>
      <c r="R238" s="874">
        <v>-103075</v>
      </c>
      <c r="S238" s="874">
        <v>965156</v>
      </c>
      <c r="T238" s="878"/>
      <c r="U238" s="878"/>
      <c r="V238" s="878"/>
      <c r="W238" s="878"/>
      <c r="X238" s="878"/>
      <c r="Y238" s="878"/>
      <c r="Z238" s="878"/>
      <c r="AA238" s="878"/>
      <c r="AB238" s="879"/>
      <c r="AC238" s="879"/>
      <c r="AD238" s="879"/>
      <c r="AE238" s="879"/>
      <c r="AF238" s="879"/>
      <c r="AG238" s="879"/>
      <c r="AH238" s="879"/>
      <c r="AI238" s="879"/>
    </row>
    <row r="239" spans="1:35" x14ac:dyDescent="0.25">
      <c r="A239" s="876">
        <v>37610</v>
      </c>
      <c r="B239" s="873" t="s">
        <v>1451</v>
      </c>
      <c r="C239" s="873">
        <v>74274206</v>
      </c>
      <c r="D239" s="874">
        <v>59406863</v>
      </c>
      <c r="E239" s="874">
        <v>0</v>
      </c>
      <c r="F239" s="874">
        <v>0</v>
      </c>
      <c r="G239" s="874">
        <v>0</v>
      </c>
      <c r="H239" s="874">
        <v>3585010</v>
      </c>
      <c r="I239" s="874">
        <f t="shared" si="9"/>
        <v>3585010</v>
      </c>
      <c r="J239" s="874"/>
      <c r="K239" s="874">
        <v>4259581</v>
      </c>
      <c r="L239" s="874">
        <v>22078</v>
      </c>
      <c r="M239" s="874">
        <v>16360379</v>
      </c>
      <c r="N239" s="874">
        <v>0</v>
      </c>
      <c r="O239" s="874">
        <f t="shared" si="10"/>
        <v>20642038</v>
      </c>
      <c r="P239" s="874"/>
      <c r="Q239" s="874">
        <f t="shared" si="11"/>
        <v>2945297</v>
      </c>
      <c r="R239" s="874">
        <v>717001</v>
      </c>
      <c r="S239" s="874">
        <v>3662298</v>
      </c>
      <c r="T239" s="878"/>
      <c r="U239" s="878"/>
      <c r="V239" s="878"/>
      <c r="W239" s="878"/>
      <c r="X239" s="878"/>
      <c r="Y239" s="878"/>
      <c r="Z239" s="878"/>
      <c r="AA239" s="878"/>
      <c r="AB239" s="879"/>
      <c r="AC239" s="879"/>
      <c r="AD239" s="879"/>
      <c r="AE239" s="879"/>
      <c r="AF239" s="879"/>
      <c r="AG239" s="879"/>
      <c r="AH239" s="879"/>
      <c r="AI239" s="879"/>
    </row>
    <row r="240" spans="1:35" x14ac:dyDescent="0.25">
      <c r="A240" s="876">
        <v>37700</v>
      </c>
      <c r="B240" s="873" t="s">
        <v>1452</v>
      </c>
      <c r="C240" s="873">
        <v>103609585</v>
      </c>
      <c r="D240" s="874">
        <v>79378771</v>
      </c>
      <c r="E240" s="874">
        <v>0</v>
      </c>
      <c r="F240" s="874">
        <v>0</v>
      </c>
      <c r="G240" s="874">
        <v>0</v>
      </c>
      <c r="H240" s="874">
        <v>1349065</v>
      </c>
      <c r="I240" s="874">
        <f t="shared" si="9"/>
        <v>1349065</v>
      </c>
      <c r="J240" s="874"/>
      <c r="K240" s="874">
        <v>5691604</v>
      </c>
      <c r="L240" s="874">
        <v>29501</v>
      </c>
      <c r="M240" s="874">
        <v>21860551</v>
      </c>
      <c r="N240" s="874">
        <v>0</v>
      </c>
      <c r="O240" s="874">
        <f t="shared" si="10"/>
        <v>27581656</v>
      </c>
      <c r="P240" s="874"/>
      <c r="Q240" s="874">
        <f t="shared" si="11"/>
        <v>3935472</v>
      </c>
      <c r="R240" s="874">
        <v>269808</v>
      </c>
      <c r="S240" s="874">
        <v>4205280</v>
      </c>
      <c r="T240" s="878"/>
      <c r="U240" s="878"/>
      <c r="V240" s="878"/>
      <c r="W240" s="878"/>
      <c r="X240" s="878"/>
      <c r="Y240" s="878"/>
      <c r="Z240" s="878"/>
      <c r="AA240" s="878"/>
      <c r="AB240" s="879"/>
      <c r="AC240" s="879"/>
      <c r="AD240" s="879"/>
      <c r="AE240" s="879"/>
      <c r="AF240" s="879"/>
      <c r="AG240" s="879"/>
      <c r="AH240" s="879"/>
      <c r="AI240" s="879"/>
    </row>
    <row r="241" spans="1:35" x14ac:dyDescent="0.25">
      <c r="A241" s="876">
        <v>37705</v>
      </c>
      <c r="B241" s="873" t="s">
        <v>1453</v>
      </c>
      <c r="C241" s="873">
        <v>30074344</v>
      </c>
      <c r="D241" s="874">
        <v>21974619</v>
      </c>
      <c r="E241" s="874">
        <v>0</v>
      </c>
      <c r="F241" s="874">
        <v>0</v>
      </c>
      <c r="G241" s="874">
        <v>0</v>
      </c>
      <c r="H241" s="874">
        <v>0</v>
      </c>
      <c r="I241" s="874">
        <f t="shared" si="9"/>
        <v>0</v>
      </c>
      <c r="J241" s="874"/>
      <c r="K241" s="874">
        <v>1575621</v>
      </c>
      <c r="L241" s="874">
        <v>8167</v>
      </c>
      <c r="M241" s="874">
        <v>6051710</v>
      </c>
      <c r="N241" s="874">
        <v>727725</v>
      </c>
      <c r="O241" s="874">
        <f t="shared" si="10"/>
        <v>8363223</v>
      </c>
      <c r="P241" s="874"/>
      <c r="Q241" s="874">
        <f t="shared" si="11"/>
        <v>1089466</v>
      </c>
      <c r="R241" s="874">
        <v>-145546</v>
      </c>
      <c r="S241" s="874">
        <v>943920</v>
      </c>
      <c r="T241" s="878"/>
      <c r="U241" s="878"/>
      <c r="V241" s="878"/>
      <c r="W241" s="878"/>
      <c r="X241" s="878"/>
      <c r="Y241" s="878"/>
      <c r="Z241" s="878"/>
      <c r="AA241" s="878"/>
      <c r="AB241" s="879"/>
      <c r="AC241" s="879"/>
      <c r="AD241" s="879"/>
      <c r="AE241" s="879"/>
      <c r="AF241" s="879"/>
      <c r="AG241" s="879"/>
      <c r="AH241" s="879"/>
      <c r="AI241" s="879"/>
    </row>
    <row r="242" spans="1:35" x14ac:dyDescent="0.25">
      <c r="A242" s="876">
        <v>37800</v>
      </c>
      <c r="B242" s="873" t="s">
        <v>1454</v>
      </c>
      <c r="C242" s="873">
        <v>312058360</v>
      </c>
      <c r="D242" s="874">
        <v>243610920</v>
      </c>
      <c r="E242" s="874">
        <v>0</v>
      </c>
      <c r="F242" s="874">
        <v>0</v>
      </c>
      <c r="G242" s="874">
        <v>0</v>
      </c>
      <c r="H242" s="874">
        <v>9163720</v>
      </c>
      <c r="I242" s="874">
        <f t="shared" si="9"/>
        <v>9163720</v>
      </c>
      <c r="J242" s="874"/>
      <c r="K242" s="874">
        <v>17467351</v>
      </c>
      <c r="L242" s="874">
        <v>90536</v>
      </c>
      <c r="M242" s="874">
        <v>67089335</v>
      </c>
      <c r="N242" s="874">
        <v>0</v>
      </c>
      <c r="O242" s="874">
        <f t="shared" si="10"/>
        <v>84647222</v>
      </c>
      <c r="P242" s="874"/>
      <c r="Q242" s="874">
        <f t="shared" si="11"/>
        <v>12077838</v>
      </c>
      <c r="R242" s="874">
        <v>1832742</v>
      </c>
      <c r="S242" s="874">
        <v>13910580</v>
      </c>
      <c r="T242" s="878"/>
      <c r="U242" s="878"/>
      <c r="V242" s="878"/>
      <c r="W242" s="878"/>
      <c r="X242" s="878"/>
      <c r="Y242" s="878"/>
      <c r="Z242" s="878"/>
      <c r="AA242" s="878"/>
      <c r="AB242" s="879"/>
      <c r="AC242" s="879"/>
      <c r="AD242" s="879"/>
      <c r="AE242" s="879"/>
      <c r="AF242" s="879"/>
      <c r="AG242" s="879"/>
      <c r="AH242" s="879"/>
      <c r="AI242" s="879"/>
    </row>
    <row r="243" spans="1:35" x14ac:dyDescent="0.25">
      <c r="A243" s="876">
        <v>37801</v>
      </c>
      <c r="B243" s="873" t="s">
        <v>1455</v>
      </c>
      <c r="C243" s="873">
        <v>1956154</v>
      </c>
      <c r="D243" s="874">
        <v>1962153</v>
      </c>
      <c r="E243" s="874">
        <v>0</v>
      </c>
      <c r="F243" s="874">
        <v>0</v>
      </c>
      <c r="G243" s="874">
        <v>0</v>
      </c>
      <c r="H243" s="874">
        <v>527050</v>
      </c>
      <c r="I243" s="874">
        <f t="shared" si="9"/>
        <v>527050</v>
      </c>
      <c r="J243" s="874"/>
      <c r="K243" s="874">
        <v>140690</v>
      </c>
      <c r="L243" s="874">
        <v>729</v>
      </c>
      <c r="M243" s="874">
        <v>540368</v>
      </c>
      <c r="N243" s="874">
        <v>0</v>
      </c>
      <c r="O243" s="874">
        <f t="shared" si="10"/>
        <v>681787</v>
      </c>
      <c r="P243" s="874"/>
      <c r="Q243" s="874">
        <f t="shared" si="11"/>
        <v>97280</v>
      </c>
      <c r="R243" s="874">
        <v>105409</v>
      </c>
      <c r="S243" s="874">
        <v>202689</v>
      </c>
      <c r="T243" s="878"/>
      <c r="U243" s="878"/>
      <c r="V243" s="878"/>
      <c r="W243" s="878"/>
      <c r="X243" s="878"/>
      <c r="Y243" s="878"/>
      <c r="Z243" s="878"/>
      <c r="AA243" s="878"/>
      <c r="AB243" s="879"/>
      <c r="AC243" s="879"/>
      <c r="AD243" s="879"/>
      <c r="AE243" s="879"/>
      <c r="AF243" s="879"/>
      <c r="AG243" s="879"/>
      <c r="AH243" s="879"/>
      <c r="AI243" s="879"/>
    </row>
    <row r="244" spans="1:35" x14ac:dyDescent="0.25">
      <c r="A244" s="876">
        <v>37805</v>
      </c>
      <c r="B244" s="873" t="s">
        <v>1456</v>
      </c>
      <c r="C244" s="873">
        <v>25572087</v>
      </c>
      <c r="D244" s="874">
        <v>17457246</v>
      </c>
      <c r="E244" s="874">
        <v>0</v>
      </c>
      <c r="F244" s="874">
        <v>0</v>
      </c>
      <c r="G244" s="874">
        <v>0</v>
      </c>
      <c r="H244" s="874">
        <v>0</v>
      </c>
      <c r="I244" s="874">
        <f t="shared" si="9"/>
        <v>0</v>
      </c>
      <c r="J244" s="874"/>
      <c r="K244" s="874">
        <v>1251717</v>
      </c>
      <c r="L244" s="874">
        <v>6488</v>
      </c>
      <c r="M244" s="874">
        <v>4807646</v>
      </c>
      <c r="N244" s="874">
        <v>1960770</v>
      </c>
      <c r="O244" s="874">
        <f t="shared" si="10"/>
        <v>8026621</v>
      </c>
      <c r="P244" s="874"/>
      <c r="Q244" s="874">
        <f t="shared" si="11"/>
        <v>865502</v>
      </c>
      <c r="R244" s="874">
        <v>-392153</v>
      </c>
      <c r="S244" s="874">
        <v>473349</v>
      </c>
      <c r="T244" s="878"/>
      <c r="U244" s="878"/>
      <c r="V244" s="878"/>
      <c r="W244" s="878"/>
      <c r="X244" s="878"/>
      <c r="Y244" s="878"/>
      <c r="Z244" s="878"/>
      <c r="AA244" s="878"/>
      <c r="AB244" s="879"/>
      <c r="AC244" s="879"/>
      <c r="AD244" s="879"/>
      <c r="AE244" s="879"/>
      <c r="AF244" s="879"/>
      <c r="AG244" s="879"/>
      <c r="AH244" s="879"/>
      <c r="AI244" s="879"/>
    </row>
    <row r="245" spans="1:35" x14ac:dyDescent="0.25">
      <c r="A245" s="876">
        <v>37900</v>
      </c>
      <c r="B245" s="873" t="s">
        <v>1457</v>
      </c>
      <c r="C245" s="873">
        <v>169844587</v>
      </c>
      <c r="D245" s="874">
        <v>129941774</v>
      </c>
      <c r="E245" s="874">
        <v>0</v>
      </c>
      <c r="F245" s="874">
        <v>0</v>
      </c>
      <c r="G245" s="874">
        <v>0</v>
      </c>
      <c r="H245" s="874">
        <v>2049535</v>
      </c>
      <c r="I245" s="874">
        <f t="shared" si="9"/>
        <v>2049535</v>
      </c>
      <c r="J245" s="874"/>
      <c r="K245" s="874">
        <v>9317064</v>
      </c>
      <c r="L245" s="874">
        <v>48292</v>
      </c>
      <c r="M245" s="874">
        <v>35785371</v>
      </c>
      <c r="N245" s="874">
        <v>0</v>
      </c>
      <c r="O245" s="874">
        <f t="shared" si="10"/>
        <v>45150727</v>
      </c>
      <c r="P245" s="874"/>
      <c r="Q245" s="874">
        <f t="shared" si="11"/>
        <v>6442305</v>
      </c>
      <c r="R245" s="874">
        <v>409909</v>
      </c>
      <c r="S245" s="874">
        <v>6852214</v>
      </c>
      <c r="T245" s="878"/>
      <c r="U245" s="878"/>
      <c r="V245" s="878"/>
      <c r="W245" s="878"/>
      <c r="X245" s="878"/>
      <c r="Y245" s="878"/>
      <c r="Z245" s="878"/>
      <c r="AA245" s="878"/>
      <c r="AB245" s="879"/>
      <c r="AC245" s="879"/>
      <c r="AD245" s="879"/>
      <c r="AE245" s="879"/>
      <c r="AF245" s="879"/>
      <c r="AG245" s="879"/>
      <c r="AH245" s="879"/>
      <c r="AI245" s="879"/>
    </row>
    <row r="246" spans="1:35" x14ac:dyDescent="0.25">
      <c r="A246" s="876">
        <v>37901</v>
      </c>
      <c r="B246" s="873" t="s">
        <v>1458</v>
      </c>
      <c r="C246" s="873">
        <v>2507213</v>
      </c>
      <c r="D246" s="874">
        <v>1789948</v>
      </c>
      <c r="E246" s="874">
        <v>0</v>
      </c>
      <c r="F246" s="874">
        <v>0</v>
      </c>
      <c r="G246" s="874">
        <v>0</v>
      </c>
      <c r="H246" s="874">
        <v>0</v>
      </c>
      <c r="I246" s="874">
        <f t="shared" si="9"/>
        <v>0</v>
      </c>
      <c r="J246" s="874"/>
      <c r="K246" s="874">
        <v>128343</v>
      </c>
      <c r="L246" s="874">
        <v>665</v>
      </c>
      <c r="M246" s="874">
        <v>492943</v>
      </c>
      <c r="N246" s="874">
        <v>111280</v>
      </c>
      <c r="O246" s="874">
        <f t="shared" si="10"/>
        <v>733231</v>
      </c>
      <c r="P246" s="874"/>
      <c r="Q246" s="874">
        <f t="shared" si="11"/>
        <v>88743</v>
      </c>
      <c r="R246" s="874">
        <v>-22251</v>
      </c>
      <c r="S246" s="874">
        <v>66492</v>
      </c>
      <c r="T246" s="878"/>
      <c r="U246" s="878"/>
      <c r="V246" s="878"/>
      <c r="W246" s="878"/>
      <c r="X246" s="878"/>
      <c r="Y246" s="878"/>
      <c r="Z246" s="878"/>
      <c r="AA246" s="878"/>
      <c r="AB246" s="879"/>
      <c r="AC246" s="879"/>
      <c r="AD246" s="879"/>
      <c r="AE246" s="879"/>
      <c r="AF246" s="879"/>
      <c r="AG246" s="879"/>
      <c r="AH246" s="879"/>
      <c r="AI246" s="879"/>
    </row>
    <row r="247" spans="1:35" x14ac:dyDescent="0.25">
      <c r="A247" s="876">
        <v>37905</v>
      </c>
      <c r="B247" s="873" t="s">
        <v>1459</v>
      </c>
      <c r="C247" s="873">
        <v>19343653</v>
      </c>
      <c r="D247" s="874">
        <v>14524188</v>
      </c>
      <c r="E247" s="874">
        <v>0</v>
      </c>
      <c r="F247" s="874">
        <v>0</v>
      </c>
      <c r="G247" s="874">
        <v>0</v>
      </c>
      <c r="H247" s="874">
        <v>0</v>
      </c>
      <c r="I247" s="874">
        <f t="shared" si="9"/>
        <v>0</v>
      </c>
      <c r="J247" s="874"/>
      <c r="K247" s="874">
        <v>1041411</v>
      </c>
      <c r="L247" s="874">
        <v>5398</v>
      </c>
      <c r="M247" s="874">
        <v>3999895</v>
      </c>
      <c r="N247" s="874">
        <v>5970</v>
      </c>
      <c r="O247" s="874">
        <f t="shared" si="10"/>
        <v>5052674</v>
      </c>
      <c r="P247" s="874"/>
      <c r="Q247" s="874">
        <f t="shared" si="11"/>
        <v>720086</v>
      </c>
      <c r="R247" s="874">
        <v>-1188</v>
      </c>
      <c r="S247" s="874">
        <v>718898</v>
      </c>
      <c r="T247" s="878"/>
      <c r="U247" s="878"/>
      <c r="V247" s="878"/>
      <c r="W247" s="878"/>
      <c r="X247" s="878"/>
      <c r="Y247" s="878"/>
      <c r="Z247" s="878"/>
      <c r="AA247" s="878"/>
      <c r="AB247" s="879"/>
      <c r="AC247" s="879"/>
      <c r="AD247" s="879"/>
      <c r="AE247" s="879"/>
      <c r="AF247" s="879"/>
      <c r="AG247" s="879"/>
      <c r="AH247" s="879"/>
      <c r="AI247" s="879"/>
    </row>
    <row r="248" spans="1:35" x14ac:dyDescent="0.25">
      <c r="A248" s="876">
        <v>38000</v>
      </c>
      <c r="B248" s="873" t="s">
        <v>1460</v>
      </c>
      <c r="C248" s="873">
        <v>271770267</v>
      </c>
      <c r="D248" s="874">
        <v>214289224</v>
      </c>
      <c r="E248" s="874">
        <v>0</v>
      </c>
      <c r="F248" s="874">
        <v>0</v>
      </c>
      <c r="G248" s="874">
        <v>0</v>
      </c>
      <c r="H248" s="874">
        <v>10165490</v>
      </c>
      <c r="I248" s="874">
        <f t="shared" si="9"/>
        <v>10165490</v>
      </c>
      <c r="J248" s="874"/>
      <c r="K248" s="874">
        <v>15364932</v>
      </c>
      <c r="L248" s="874">
        <v>79639</v>
      </c>
      <c r="M248" s="874">
        <v>59014274</v>
      </c>
      <c r="N248" s="874">
        <v>0</v>
      </c>
      <c r="O248" s="874">
        <f t="shared" si="10"/>
        <v>74458845</v>
      </c>
      <c r="P248" s="874"/>
      <c r="Q248" s="874">
        <f t="shared" si="11"/>
        <v>10624116</v>
      </c>
      <c r="R248" s="874">
        <v>2033096</v>
      </c>
      <c r="S248" s="874">
        <v>12657212</v>
      </c>
      <c r="T248" s="878"/>
      <c r="U248" s="878"/>
      <c r="V248" s="878"/>
      <c r="W248" s="878"/>
      <c r="X248" s="878"/>
      <c r="Y248" s="878"/>
      <c r="Z248" s="878"/>
      <c r="AA248" s="878"/>
      <c r="AB248" s="879"/>
      <c r="AC248" s="879"/>
      <c r="AD248" s="879"/>
      <c r="AE248" s="879"/>
      <c r="AF248" s="879"/>
      <c r="AG248" s="879"/>
      <c r="AH248" s="879"/>
      <c r="AI248" s="879"/>
    </row>
    <row r="249" spans="1:35" x14ac:dyDescent="0.25">
      <c r="A249" s="876">
        <v>38005</v>
      </c>
      <c r="B249" s="873" t="s">
        <v>1461</v>
      </c>
      <c r="C249" s="873">
        <v>57857134</v>
      </c>
      <c r="D249" s="874">
        <v>38369410</v>
      </c>
      <c r="E249" s="874">
        <v>0</v>
      </c>
      <c r="F249" s="874">
        <v>0</v>
      </c>
      <c r="G249" s="874">
        <v>0</v>
      </c>
      <c r="H249" s="874">
        <v>0</v>
      </c>
      <c r="I249" s="874">
        <f t="shared" si="9"/>
        <v>0</v>
      </c>
      <c r="J249" s="874"/>
      <c r="K249" s="874">
        <v>2751157</v>
      </c>
      <c r="L249" s="874">
        <v>14260</v>
      </c>
      <c r="M249" s="874">
        <v>10566760</v>
      </c>
      <c r="N249" s="874">
        <v>5739865</v>
      </c>
      <c r="O249" s="874">
        <f t="shared" si="10"/>
        <v>19072042</v>
      </c>
      <c r="P249" s="874"/>
      <c r="Q249" s="874">
        <f t="shared" si="11"/>
        <v>1902294</v>
      </c>
      <c r="R249" s="874">
        <v>-1147971</v>
      </c>
      <c r="S249" s="874">
        <v>754323</v>
      </c>
      <c r="T249" s="878"/>
      <c r="U249" s="878"/>
      <c r="V249" s="878"/>
      <c r="W249" s="878"/>
      <c r="X249" s="878"/>
      <c r="Y249" s="878"/>
      <c r="Z249" s="878"/>
      <c r="AA249" s="878"/>
      <c r="AB249" s="879"/>
      <c r="AC249" s="879"/>
      <c r="AD249" s="879"/>
      <c r="AE249" s="879"/>
      <c r="AF249" s="879"/>
      <c r="AG249" s="879"/>
      <c r="AH249" s="879"/>
      <c r="AI249" s="879"/>
    </row>
    <row r="250" spans="1:35" x14ac:dyDescent="0.25">
      <c r="A250" s="876">
        <v>38100</v>
      </c>
      <c r="B250" s="873" t="s">
        <v>1462</v>
      </c>
      <c r="C250" s="873">
        <v>123590538</v>
      </c>
      <c r="D250" s="874">
        <v>94338193</v>
      </c>
      <c r="E250" s="874">
        <v>0</v>
      </c>
      <c r="F250" s="874">
        <v>0</v>
      </c>
      <c r="G250" s="874">
        <v>0</v>
      </c>
      <c r="H250" s="874">
        <v>1305095</v>
      </c>
      <c r="I250" s="874">
        <f t="shared" si="9"/>
        <v>1305095</v>
      </c>
      <c r="J250" s="874"/>
      <c r="K250" s="874">
        <v>6764222</v>
      </c>
      <c r="L250" s="874">
        <v>35060</v>
      </c>
      <c r="M250" s="874">
        <v>25980308</v>
      </c>
      <c r="N250" s="874">
        <v>0</v>
      </c>
      <c r="O250" s="874">
        <f t="shared" si="10"/>
        <v>32779590</v>
      </c>
      <c r="P250" s="874"/>
      <c r="Q250" s="874">
        <f t="shared" si="11"/>
        <v>4677136</v>
      </c>
      <c r="R250" s="874">
        <v>261016</v>
      </c>
      <c r="S250" s="874">
        <v>4938152</v>
      </c>
      <c r="T250" s="878"/>
      <c r="U250" s="878"/>
      <c r="V250" s="878"/>
      <c r="W250" s="878"/>
      <c r="X250" s="878"/>
      <c r="Y250" s="878"/>
      <c r="Z250" s="878"/>
      <c r="AA250" s="878"/>
      <c r="AB250" s="879"/>
      <c r="AC250" s="879"/>
      <c r="AD250" s="879"/>
      <c r="AE250" s="879"/>
      <c r="AF250" s="879"/>
      <c r="AG250" s="879"/>
      <c r="AH250" s="879"/>
      <c r="AI250" s="879"/>
    </row>
    <row r="251" spans="1:35" x14ac:dyDescent="0.25">
      <c r="A251" s="876">
        <v>38105</v>
      </c>
      <c r="B251" s="873" t="s">
        <v>1463</v>
      </c>
      <c r="C251" s="873">
        <v>26060507</v>
      </c>
      <c r="D251" s="874">
        <v>18100313</v>
      </c>
      <c r="E251" s="874">
        <v>0</v>
      </c>
      <c r="F251" s="874">
        <v>0</v>
      </c>
      <c r="G251" s="874">
        <v>0</v>
      </c>
      <c r="H251" s="874">
        <v>0</v>
      </c>
      <c r="I251" s="874">
        <f t="shared" si="9"/>
        <v>0</v>
      </c>
      <c r="J251" s="874"/>
      <c r="K251" s="874">
        <v>1297826</v>
      </c>
      <c r="L251" s="874">
        <v>6727</v>
      </c>
      <c r="M251" s="874">
        <v>4984744</v>
      </c>
      <c r="N251" s="874">
        <v>1682635</v>
      </c>
      <c r="O251" s="874">
        <f t="shared" si="10"/>
        <v>7971932</v>
      </c>
      <c r="P251" s="874"/>
      <c r="Q251" s="874">
        <f t="shared" si="11"/>
        <v>897384</v>
      </c>
      <c r="R251" s="874">
        <v>-336523</v>
      </c>
      <c r="S251" s="874">
        <v>560861</v>
      </c>
      <c r="T251" s="878"/>
      <c r="U251" s="878"/>
      <c r="V251" s="878"/>
      <c r="W251" s="878"/>
      <c r="X251" s="878"/>
      <c r="Y251" s="878"/>
      <c r="Z251" s="878"/>
      <c r="AA251" s="878"/>
      <c r="AB251" s="879"/>
      <c r="AC251" s="879"/>
      <c r="AD251" s="879"/>
      <c r="AE251" s="879"/>
      <c r="AF251" s="879"/>
      <c r="AG251" s="879"/>
      <c r="AH251" s="879"/>
      <c r="AI251" s="879"/>
    </row>
    <row r="252" spans="1:35" x14ac:dyDescent="0.25">
      <c r="A252" s="876">
        <v>38200</v>
      </c>
      <c r="B252" s="873" t="s">
        <v>1464</v>
      </c>
      <c r="C252" s="873">
        <v>121689310</v>
      </c>
      <c r="D252" s="874">
        <v>92211906</v>
      </c>
      <c r="E252" s="874">
        <v>0</v>
      </c>
      <c r="F252" s="874">
        <v>0</v>
      </c>
      <c r="G252" s="874">
        <v>0</v>
      </c>
      <c r="H252" s="874">
        <v>407825</v>
      </c>
      <c r="I252" s="874">
        <f t="shared" si="9"/>
        <v>407825</v>
      </c>
      <c r="J252" s="874"/>
      <c r="K252" s="874">
        <v>6611763</v>
      </c>
      <c r="L252" s="874">
        <v>34270</v>
      </c>
      <c r="M252" s="874">
        <v>25394738</v>
      </c>
      <c r="N252" s="874">
        <v>0</v>
      </c>
      <c r="O252" s="874">
        <f t="shared" si="10"/>
        <v>32040771</v>
      </c>
      <c r="P252" s="874"/>
      <c r="Q252" s="874">
        <f t="shared" si="11"/>
        <v>4571718</v>
      </c>
      <c r="R252" s="874">
        <v>81561</v>
      </c>
      <c r="S252" s="874">
        <v>4653279</v>
      </c>
      <c r="T252" s="878"/>
      <c r="U252" s="878"/>
      <c r="V252" s="878"/>
      <c r="W252" s="878"/>
      <c r="X252" s="878"/>
      <c r="Y252" s="878"/>
      <c r="Z252" s="878"/>
      <c r="AA252" s="878"/>
      <c r="AB252" s="879"/>
      <c r="AC252" s="879"/>
      <c r="AD252" s="879"/>
      <c r="AE252" s="879"/>
      <c r="AF252" s="879"/>
      <c r="AG252" s="879"/>
      <c r="AH252" s="879"/>
      <c r="AI252" s="879"/>
    </row>
    <row r="253" spans="1:35" x14ac:dyDescent="0.25">
      <c r="A253" s="876">
        <v>38205</v>
      </c>
      <c r="B253" s="873" t="s">
        <v>1465</v>
      </c>
      <c r="C253" s="873">
        <v>16656452</v>
      </c>
      <c r="D253" s="874">
        <v>12184541</v>
      </c>
      <c r="E253" s="874">
        <v>0</v>
      </c>
      <c r="F253" s="874">
        <v>0</v>
      </c>
      <c r="G253" s="874">
        <v>0</v>
      </c>
      <c r="H253" s="874">
        <v>0</v>
      </c>
      <c r="I253" s="874">
        <f t="shared" si="9"/>
        <v>0</v>
      </c>
      <c r="J253" s="874"/>
      <c r="K253" s="874">
        <v>873654</v>
      </c>
      <c r="L253" s="874">
        <v>4528</v>
      </c>
      <c r="M253" s="874">
        <v>3355567</v>
      </c>
      <c r="N253" s="874">
        <v>358075</v>
      </c>
      <c r="O253" s="874">
        <f t="shared" si="10"/>
        <v>4591824</v>
      </c>
      <c r="P253" s="874"/>
      <c r="Q253" s="874">
        <f t="shared" si="11"/>
        <v>604090</v>
      </c>
      <c r="R253" s="874">
        <v>-71611</v>
      </c>
      <c r="S253" s="874">
        <v>532479</v>
      </c>
      <c r="T253" s="878"/>
      <c r="U253" s="878"/>
      <c r="V253" s="878"/>
      <c r="W253" s="878"/>
      <c r="X253" s="878"/>
      <c r="Y253" s="878"/>
      <c r="Z253" s="878"/>
      <c r="AA253" s="878"/>
      <c r="AB253" s="879"/>
      <c r="AC253" s="879"/>
      <c r="AD253" s="879"/>
      <c r="AE253" s="879"/>
      <c r="AF253" s="879"/>
      <c r="AG253" s="879"/>
      <c r="AH253" s="879"/>
      <c r="AI253" s="879"/>
    </row>
    <row r="254" spans="1:35" x14ac:dyDescent="0.25">
      <c r="A254" s="876">
        <v>38210</v>
      </c>
      <c r="B254" s="873" t="s">
        <v>1466</v>
      </c>
      <c r="C254" s="873">
        <v>44480417</v>
      </c>
      <c r="D254" s="874">
        <v>34900169</v>
      </c>
      <c r="E254" s="874">
        <v>0</v>
      </c>
      <c r="F254" s="874">
        <v>0</v>
      </c>
      <c r="G254" s="874">
        <v>0</v>
      </c>
      <c r="H254" s="874">
        <v>1461675</v>
      </c>
      <c r="I254" s="874">
        <f t="shared" si="9"/>
        <v>1461675</v>
      </c>
      <c r="J254" s="874"/>
      <c r="K254" s="874">
        <v>2502406</v>
      </c>
      <c r="L254" s="874">
        <v>12970</v>
      </c>
      <c r="M254" s="874">
        <v>9611347</v>
      </c>
      <c r="N254" s="874">
        <v>0</v>
      </c>
      <c r="O254" s="874">
        <f t="shared" si="10"/>
        <v>12126723</v>
      </c>
      <c r="P254" s="874"/>
      <c r="Q254" s="874">
        <f t="shared" si="11"/>
        <v>1730294</v>
      </c>
      <c r="R254" s="874">
        <v>292335</v>
      </c>
      <c r="S254" s="874">
        <v>2022629</v>
      </c>
      <c r="T254" s="878"/>
      <c r="U254" s="878"/>
      <c r="V254" s="878"/>
      <c r="W254" s="878"/>
      <c r="X254" s="878"/>
      <c r="Y254" s="878"/>
      <c r="Z254" s="878"/>
      <c r="AA254" s="878"/>
      <c r="AB254" s="879"/>
      <c r="AC254" s="879"/>
      <c r="AD254" s="879"/>
      <c r="AE254" s="879"/>
      <c r="AF254" s="879"/>
      <c r="AG254" s="879"/>
      <c r="AH254" s="879"/>
      <c r="AI254" s="879"/>
    </row>
    <row r="255" spans="1:35" x14ac:dyDescent="0.25">
      <c r="A255" s="876">
        <v>38300</v>
      </c>
      <c r="B255" s="873" t="s">
        <v>1467</v>
      </c>
      <c r="C255" s="873">
        <v>94376328</v>
      </c>
      <c r="D255" s="874">
        <v>72417487</v>
      </c>
      <c r="E255" s="874">
        <v>0</v>
      </c>
      <c r="F255" s="874">
        <v>0</v>
      </c>
      <c r="G255" s="874">
        <v>0</v>
      </c>
      <c r="H255" s="874">
        <v>1341840</v>
      </c>
      <c r="I255" s="874">
        <f t="shared" si="9"/>
        <v>1341840</v>
      </c>
      <c r="J255" s="874"/>
      <c r="K255" s="874">
        <v>5192467</v>
      </c>
      <c r="L255" s="874">
        <v>26913</v>
      </c>
      <c r="M255" s="874">
        <v>19943445</v>
      </c>
      <c r="N255" s="874">
        <v>0</v>
      </c>
      <c r="O255" s="874">
        <f t="shared" si="10"/>
        <v>25162825</v>
      </c>
      <c r="P255" s="874"/>
      <c r="Q255" s="874">
        <f t="shared" si="11"/>
        <v>3590343</v>
      </c>
      <c r="R255" s="874">
        <v>268371</v>
      </c>
      <c r="S255" s="874">
        <v>3858714</v>
      </c>
      <c r="T255" s="878"/>
      <c r="U255" s="878"/>
      <c r="V255" s="878"/>
      <c r="W255" s="878"/>
      <c r="X255" s="878"/>
      <c r="Y255" s="878"/>
      <c r="Z255" s="878"/>
      <c r="AA255" s="878"/>
      <c r="AB255" s="879"/>
      <c r="AC255" s="879"/>
      <c r="AD255" s="879"/>
      <c r="AE255" s="879"/>
      <c r="AF255" s="879"/>
      <c r="AG255" s="879"/>
      <c r="AH255" s="879"/>
      <c r="AI255" s="879"/>
    </row>
    <row r="256" spans="1:35" x14ac:dyDescent="0.25">
      <c r="A256" s="876">
        <v>38400</v>
      </c>
      <c r="B256" s="873" t="s">
        <v>1468</v>
      </c>
      <c r="C256" s="873">
        <v>117184989</v>
      </c>
      <c r="D256" s="874">
        <v>89804118</v>
      </c>
      <c r="E256" s="874">
        <v>0</v>
      </c>
      <c r="F256" s="874">
        <v>0</v>
      </c>
      <c r="G256" s="874">
        <v>0</v>
      </c>
      <c r="H256" s="874">
        <v>1546035</v>
      </c>
      <c r="I256" s="874">
        <f t="shared" si="9"/>
        <v>1546035</v>
      </c>
      <c r="J256" s="874"/>
      <c r="K256" s="874">
        <v>6439120</v>
      </c>
      <c r="L256" s="874">
        <v>33375</v>
      </c>
      <c r="M256" s="874">
        <v>24731644</v>
      </c>
      <c r="N256" s="874">
        <v>0</v>
      </c>
      <c r="O256" s="874">
        <f t="shared" si="10"/>
        <v>31204139</v>
      </c>
      <c r="P256" s="874"/>
      <c r="Q256" s="874">
        <f t="shared" si="11"/>
        <v>4452344</v>
      </c>
      <c r="R256" s="874">
        <v>309203</v>
      </c>
      <c r="S256" s="874">
        <v>4761547</v>
      </c>
      <c r="T256" s="878"/>
      <c r="U256" s="878"/>
      <c r="V256" s="878"/>
      <c r="W256" s="878"/>
      <c r="X256" s="878"/>
      <c r="Y256" s="878"/>
      <c r="Z256" s="878"/>
      <c r="AA256" s="878"/>
      <c r="AB256" s="879"/>
      <c r="AC256" s="879"/>
      <c r="AD256" s="879"/>
      <c r="AE256" s="879"/>
      <c r="AF256" s="879"/>
      <c r="AG256" s="879"/>
      <c r="AH256" s="879"/>
      <c r="AI256" s="879"/>
    </row>
    <row r="257" spans="1:35" x14ac:dyDescent="0.25">
      <c r="A257" s="876">
        <v>38402</v>
      </c>
      <c r="B257" s="873" t="s">
        <v>1469</v>
      </c>
      <c r="C257" s="873">
        <v>4190856</v>
      </c>
      <c r="D257" s="874">
        <v>3680058</v>
      </c>
      <c r="E257" s="874">
        <v>0</v>
      </c>
      <c r="F257" s="874">
        <v>0</v>
      </c>
      <c r="G257" s="874">
        <v>0</v>
      </c>
      <c r="H257" s="874">
        <v>563385</v>
      </c>
      <c r="I257" s="874">
        <f t="shared" si="9"/>
        <v>563385</v>
      </c>
      <c r="J257" s="874"/>
      <c r="K257" s="874">
        <v>263867</v>
      </c>
      <c r="L257" s="874">
        <v>1368</v>
      </c>
      <c r="M257" s="874">
        <v>1013471</v>
      </c>
      <c r="N257" s="874">
        <v>0</v>
      </c>
      <c r="O257" s="874">
        <f t="shared" si="10"/>
        <v>1278706</v>
      </c>
      <c r="P257" s="874"/>
      <c r="Q257" s="874">
        <f t="shared" si="11"/>
        <v>182451</v>
      </c>
      <c r="R257" s="874">
        <v>112680</v>
      </c>
      <c r="S257" s="874">
        <v>295131</v>
      </c>
      <c r="T257" s="878"/>
      <c r="U257" s="878"/>
      <c r="V257" s="878"/>
      <c r="W257" s="878"/>
      <c r="X257" s="878"/>
      <c r="Y257" s="878"/>
      <c r="Z257" s="878"/>
      <c r="AA257" s="878"/>
      <c r="AB257" s="879"/>
      <c r="AC257" s="879"/>
      <c r="AD257" s="879"/>
      <c r="AE257" s="879"/>
      <c r="AF257" s="879"/>
      <c r="AG257" s="879"/>
      <c r="AH257" s="879"/>
      <c r="AI257" s="879"/>
    </row>
    <row r="258" spans="1:35" x14ac:dyDescent="0.25">
      <c r="A258" s="876">
        <v>38405</v>
      </c>
      <c r="B258" s="873" t="s">
        <v>1470</v>
      </c>
      <c r="C258" s="873">
        <v>29907353</v>
      </c>
      <c r="D258" s="874">
        <v>21532223</v>
      </c>
      <c r="E258" s="874">
        <v>0</v>
      </c>
      <c r="F258" s="874">
        <v>0</v>
      </c>
      <c r="G258" s="874">
        <v>0</v>
      </c>
      <c r="H258" s="874">
        <v>0</v>
      </c>
      <c r="I258" s="874">
        <f t="shared" si="9"/>
        <v>0</v>
      </c>
      <c r="J258" s="874"/>
      <c r="K258" s="874">
        <v>1543900</v>
      </c>
      <c r="L258" s="874">
        <v>8002</v>
      </c>
      <c r="M258" s="874">
        <v>5929876</v>
      </c>
      <c r="N258" s="874">
        <v>1112625</v>
      </c>
      <c r="O258" s="874">
        <f t="shared" si="10"/>
        <v>8594403</v>
      </c>
      <c r="P258" s="874"/>
      <c r="Q258" s="874">
        <f t="shared" si="11"/>
        <v>1067533</v>
      </c>
      <c r="R258" s="874">
        <v>-222525</v>
      </c>
      <c r="S258" s="874">
        <v>845008</v>
      </c>
      <c r="T258" s="878"/>
      <c r="U258" s="878"/>
      <c r="V258" s="878"/>
      <c r="W258" s="878"/>
      <c r="X258" s="878"/>
      <c r="Y258" s="878"/>
      <c r="Z258" s="878"/>
      <c r="AA258" s="878"/>
      <c r="AB258" s="879"/>
      <c r="AC258" s="879"/>
      <c r="AD258" s="879"/>
      <c r="AE258" s="879"/>
      <c r="AF258" s="879"/>
      <c r="AG258" s="879"/>
      <c r="AH258" s="879"/>
      <c r="AI258" s="879"/>
    </row>
    <row r="259" spans="1:35" x14ac:dyDescent="0.25">
      <c r="A259" s="876">
        <v>38500</v>
      </c>
      <c r="B259" s="873" t="s">
        <v>1471</v>
      </c>
      <c r="C259" s="873">
        <v>93954563</v>
      </c>
      <c r="D259" s="874">
        <v>70162741</v>
      </c>
      <c r="E259" s="874">
        <v>0</v>
      </c>
      <c r="F259" s="874">
        <v>0</v>
      </c>
      <c r="G259" s="874">
        <v>0</v>
      </c>
      <c r="H259" s="874">
        <v>0</v>
      </c>
      <c r="I259" s="874">
        <f t="shared" si="9"/>
        <v>0</v>
      </c>
      <c r="J259" s="874"/>
      <c r="K259" s="874">
        <v>5030798</v>
      </c>
      <c r="L259" s="874">
        <v>26076</v>
      </c>
      <c r="M259" s="874">
        <v>19322498</v>
      </c>
      <c r="N259" s="874">
        <v>787990</v>
      </c>
      <c r="O259" s="874">
        <f t="shared" si="10"/>
        <v>25167362</v>
      </c>
      <c r="P259" s="874"/>
      <c r="Q259" s="874">
        <f t="shared" si="11"/>
        <v>3478556</v>
      </c>
      <c r="R259" s="874">
        <v>-157600</v>
      </c>
      <c r="S259" s="874">
        <v>3320956</v>
      </c>
      <c r="T259" s="878"/>
      <c r="U259" s="878"/>
      <c r="V259" s="878"/>
      <c r="W259" s="878"/>
      <c r="X259" s="878"/>
      <c r="Y259" s="878"/>
      <c r="Z259" s="878"/>
      <c r="AA259" s="878"/>
      <c r="AB259" s="879"/>
      <c r="AC259" s="879"/>
      <c r="AD259" s="879"/>
      <c r="AE259" s="879"/>
      <c r="AF259" s="879"/>
      <c r="AG259" s="879"/>
      <c r="AH259" s="879"/>
      <c r="AI259" s="879"/>
    </row>
    <row r="260" spans="1:35" x14ac:dyDescent="0.25">
      <c r="A260" s="876">
        <v>38600</v>
      </c>
      <c r="B260" s="873" t="s">
        <v>1472</v>
      </c>
      <c r="C260" s="873">
        <v>114968913</v>
      </c>
      <c r="D260" s="874">
        <v>90312846</v>
      </c>
      <c r="E260" s="874">
        <v>0</v>
      </c>
      <c r="F260" s="874">
        <v>0</v>
      </c>
      <c r="G260" s="874">
        <v>0</v>
      </c>
      <c r="H260" s="874">
        <v>3931110</v>
      </c>
      <c r="I260" s="874">
        <f t="shared" si="9"/>
        <v>3931110</v>
      </c>
      <c r="J260" s="874"/>
      <c r="K260" s="874">
        <v>6475597</v>
      </c>
      <c r="L260" s="874">
        <v>33564</v>
      </c>
      <c r="M260" s="874">
        <v>24871745</v>
      </c>
      <c r="N260" s="874">
        <v>0</v>
      </c>
      <c r="O260" s="874">
        <f t="shared" si="10"/>
        <v>31380906</v>
      </c>
      <c r="P260" s="874"/>
      <c r="Q260" s="874">
        <f t="shared" si="11"/>
        <v>4477566</v>
      </c>
      <c r="R260" s="874">
        <v>786222</v>
      </c>
      <c r="S260" s="874">
        <v>5263788</v>
      </c>
      <c r="T260" s="878"/>
      <c r="U260" s="878"/>
      <c r="V260" s="878"/>
      <c r="W260" s="878"/>
      <c r="X260" s="878"/>
      <c r="Y260" s="878"/>
      <c r="Z260" s="878"/>
      <c r="AA260" s="878"/>
      <c r="AB260" s="879"/>
      <c r="AC260" s="879"/>
      <c r="AD260" s="879"/>
      <c r="AE260" s="879"/>
      <c r="AF260" s="879"/>
      <c r="AG260" s="879"/>
      <c r="AH260" s="879"/>
      <c r="AI260" s="879"/>
    </row>
    <row r="261" spans="1:35" x14ac:dyDescent="0.25">
      <c r="A261" s="876">
        <v>38601</v>
      </c>
      <c r="B261" s="873" t="s">
        <v>1473</v>
      </c>
      <c r="C261" s="873">
        <v>1620423</v>
      </c>
      <c r="D261" s="874">
        <v>1053326</v>
      </c>
      <c r="E261" s="874">
        <v>0</v>
      </c>
      <c r="F261" s="874">
        <v>0</v>
      </c>
      <c r="G261" s="874">
        <v>0</v>
      </c>
      <c r="H261" s="874">
        <v>0</v>
      </c>
      <c r="I261" s="874">
        <f t="shared" si="9"/>
        <v>0</v>
      </c>
      <c r="J261" s="874"/>
      <c r="K261" s="874">
        <v>75525</v>
      </c>
      <c r="L261" s="874">
        <v>391</v>
      </c>
      <c r="M261" s="874">
        <v>290081</v>
      </c>
      <c r="N261" s="874">
        <v>188675</v>
      </c>
      <c r="O261" s="874">
        <f t="shared" si="10"/>
        <v>554672</v>
      </c>
      <c r="P261" s="874"/>
      <c r="Q261" s="874">
        <f t="shared" si="11"/>
        <v>52222</v>
      </c>
      <c r="R261" s="874">
        <v>-37735</v>
      </c>
      <c r="S261" s="874">
        <v>14487</v>
      </c>
      <c r="T261" s="878"/>
      <c r="U261" s="878"/>
      <c r="V261" s="878"/>
      <c r="W261" s="878"/>
      <c r="X261" s="878"/>
      <c r="Y261" s="878"/>
      <c r="Z261" s="878"/>
      <c r="AA261" s="878"/>
      <c r="AB261" s="879"/>
      <c r="AC261" s="879"/>
      <c r="AD261" s="879"/>
      <c r="AE261" s="879"/>
      <c r="AF261" s="879"/>
      <c r="AG261" s="879"/>
      <c r="AH261" s="879"/>
      <c r="AI261" s="879"/>
    </row>
    <row r="262" spans="1:35" x14ac:dyDescent="0.25">
      <c r="A262" s="876">
        <v>38602</v>
      </c>
      <c r="B262" s="873" t="s">
        <v>1474</v>
      </c>
      <c r="C262" s="873">
        <v>7250522</v>
      </c>
      <c r="D262" s="874">
        <v>6551021</v>
      </c>
      <c r="E262" s="874">
        <v>0</v>
      </c>
      <c r="F262" s="874">
        <v>0</v>
      </c>
      <c r="G262" s="874">
        <v>0</v>
      </c>
      <c r="H262" s="874">
        <v>1189890</v>
      </c>
      <c r="I262" s="874">
        <f t="shared" si="9"/>
        <v>1189890</v>
      </c>
      <c r="J262" s="874"/>
      <c r="K262" s="874">
        <v>469720</v>
      </c>
      <c r="L262" s="874">
        <v>2435</v>
      </c>
      <c r="M262" s="874">
        <v>1804121</v>
      </c>
      <c r="N262" s="874">
        <v>0</v>
      </c>
      <c r="O262" s="874">
        <f t="shared" si="10"/>
        <v>2276276</v>
      </c>
      <c r="P262" s="874"/>
      <c r="Q262" s="874">
        <f t="shared" si="11"/>
        <v>324789</v>
      </c>
      <c r="R262" s="874">
        <v>237976</v>
      </c>
      <c r="S262" s="874">
        <v>562765</v>
      </c>
      <c r="T262" s="878"/>
      <c r="U262" s="878"/>
      <c r="V262" s="878"/>
      <c r="W262" s="878"/>
      <c r="X262" s="878"/>
      <c r="Y262" s="878"/>
      <c r="Z262" s="878"/>
      <c r="AA262" s="878"/>
      <c r="AB262" s="879"/>
      <c r="AC262" s="879"/>
      <c r="AD262" s="879"/>
      <c r="AE262" s="879"/>
      <c r="AF262" s="879"/>
      <c r="AG262" s="879"/>
      <c r="AH262" s="879"/>
      <c r="AI262" s="879"/>
    </row>
    <row r="263" spans="1:35" x14ac:dyDescent="0.25">
      <c r="A263" s="876">
        <v>38605</v>
      </c>
      <c r="B263" s="873" t="s">
        <v>1475</v>
      </c>
      <c r="C263" s="873">
        <v>32427483</v>
      </c>
      <c r="D263" s="874">
        <v>23144077</v>
      </c>
      <c r="E263" s="874">
        <v>0</v>
      </c>
      <c r="F263" s="874">
        <v>0</v>
      </c>
      <c r="G263" s="874">
        <v>0</v>
      </c>
      <c r="H263" s="874">
        <v>0</v>
      </c>
      <c r="I263" s="874">
        <f t="shared" si="9"/>
        <v>0</v>
      </c>
      <c r="J263" s="874"/>
      <c r="K263" s="874">
        <v>1659473</v>
      </c>
      <c r="L263" s="874">
        <v>8601</v>
      </c>
      <c r="M263" s="874">
        <v>6373773</v>
      </c>
      <c r="N263" s="874">
        <v>1412430</v>
      </c>
      <c r="O263" s="874">
        <f t="shared" si="10"/>
        <v>9454277</v>
      </c>
      <c r="P263" s="874"/>
      <c r="Q263" s="874">
        <f t="shared" si="11"/>
        <v>1147446</v>
      </c>
      <c r="R263" s="874">
        <v>-282484</v>
      </c>
      <c r="S263" s="874">
        <v>864962</v>
      </c>
      <c r="T263" s="878"/>
      <c r="U263" s="878"/>
      <c r="V263" s="878"/>
      <c r="W263" s="878"/>
      <c r="X263" s="878"/>
      <c r="Y263" s="878"/>
      <c r="Z263" s="878"/>
      <c r="AA263" s="878"/>
      <c r="AB263" s="879"/>
      <c r="AC263" s="879"/>
      <c r="AD263" s="879"/>
      <c r="AE263" s="879"/>
      <c r="AF263" s="879"/>
      <c r="AG263" s="879"/>
      <c r="AH263" s="879"/>
      <c r="AI263" s="879"/>
    </row>
    <row r="264" spans="1:35" x14ac:dyDescent="0.25">
      <c r="A264" s="876">
        <v>38610</v>
      </c>
      <c r="B264" s="873" t="s">
        <v>1476</v>
      </c>
      <c r="C264" s="873">
        <v>24051086</v>
      </c>
      <c r="D264" s="874">
        <v>17980947</v>
      </c>
      <c r="E264" s="874">
        <v>0</v>
      </c>
      <c r="F264" s="874">
        <v>0</v>
      </c>
      <c r="G264" s="874">
        <v>0</v>
      </c>
      <c r="H264" s="874">
        <v>0</v>
      </c>
      <c r="I264" s="874">
        <f t="shared" ref="I264:I310" si="12">SUM(E264:H264)</f>
        <v>0</v>
      </c>
      <c r="J264" s="874"/>
      <c r="K264" s="874">
        <v>1289267</v>
      </c>
      <c r="L264" s="874">
        <v>6682</v>
      </c>
      <c r="M264" s="874">
        <v>4951871</v>
      </c>
      <c r="N264" s="874">
        <v>157030</v>
      </c>
      <c r="O264" s="874">
        <f t="shared" ref="O264:O310" si="13">SUM(K264:N264)</f>
        <v>6404850</v>
      </c>
      <c r="P264" s="874"/>
      <c r="Q264" s="874">
        <f t="shared" ref="Q264:Q311" si="14">S264-R264</f>
        <v>891466</v>
      </c>
      <c r="R264" s="874">
        <v>-31406</v>
      </c>
      <c r="S264" s="874">
        <v>860060</v>
      </c>
      <c r="T264" s="878"/>
      <c r="U264" s="878"/>
      <c r="V264" s="878"/>
      <c r="W264" s="878"/>
      <c r="X264" s="878"/>
      <c r="Y264" s="878"/>
      <c r="Z264" s="878"/>
      <c r="AA264" s="878"/>
      <c r="AB264" s="879"/>
      <c r="AC264" s="879"/>
      <c r="AD264" s="879"/>
      <c r="AE264" s="879"/>
      <c r="AF264" s="879"/>
      <c r="AG264" s="879"/>
      <c r="AH264" s="879"/>
      <c r="AI264" s="879"/>
    </row>
    <row r="265" spans="1:35" x14ac:dyDescent="0.25">
      <c r="A265" s="876">
        <v>38620</v>
      </c>
      <c r="B265" s="873" t="s">
        <v>1477</v>
      </c>
      <c r="C265" s="873">
        <v>19954570</v>
      </c>
      <c r="D265" s="874">
        <v>14646449</v>
      </c>
      <c r="E265" s="874">
        <v>0</v>
      </c>
      <c r="F265" s="874">
        <v>0</v>
      </c>
      <c r="G265" s="874">
        <v>0</v>
      </c>
      <c r="H265" s="874">
        <v>0</v>
      </c>
      <c r="I265" s="874">
        <f t="shared" si="12"/>
        <v>0</v>
      </c>
      <c r="J265" s="874"/>
      <c r="K265" s="874">
        <v>1050177</v>
      </c>
      <c r="L265" s="874">
        <v>5443</v>
      </c>
      <c r="M265" s="874">
        <v>4033565</v>
      </c>
      <c r="N265" s="874">
        <v>442550</v>
      </c>
      <c r="O265" s="874">
        <f t="shared" si="13"/>
        <v>5531735</v>
      </c>
      <c r="P265" s="874"/>
      <c r="Q265" s="874">
        <f t="shared" si="14"/>
        <v>726147</v>
      </c>
      <c r="R265" s="874">
        <v>-88511</v>
      </c>
      <c r="S265" s="874">
        <v>637636</v>
      </c>
      <c r="T265" s="878"/>
      <c r="U265" s="878"/>
      <c r="V265" s="878"/>
      <c r="W265" s="878"/>
      <c r="X265" s="878"/>
      <c r="Y265" s="878"/>
      <c r="Z265" s="878"/>
      <c r="AA265" s="878"/>
      <c r="AB265" s="879"/>
      <c r="AC265" s="879"/>
      <c r="AD265" s="879"/>
      <c r="AE265" s="879"/>
      <c r="AF265" s="879"/>
      <c r="AG265" s="879"/>
      <c r="AH265" s="879"/>
      <c r="AI265" s="879"/>
    </row>
    <row r="266" spans="1:35" x14ac:dyDescent="0.25">
      <c r="A266" s="876">
        <v>38700</v>
      </c>
      <c r="B266" s="873" t="s">
        <v>1478</v>
      </c>
      <c r="C266" s="873">
        <v>34389251</v>
      </c>
      <c r="D266" s="874">
        <v>26980726</v>
      </c>
      <c r="E266" s="874">
        <v>0</v>
      </c>
      <c r="F266" s="874">
        <v>0</v>
      </c>
      <c r="G266" s="874">
        <v>0</v>
      </c>
      <c r="H266" s="874">
        <v>1116820</v>
      </c>
      <c r="I266" s="874">
        <f t="shared" si="12"/>
        <v>1116820</v>
      </c>
      <c r="J266" s="874"/>
      <c r="K266" s="874">
        <v>1934568</v>
      </c>
      <c r="L266" s="874">
        <v>10027</v>
      </c>
      <c r="M266" s="874">
        <v>7430369</v>
      </c>
      <c r="N266" s="874">
        <v>0</v>
      </c>
      <c r="O266" s="874">
        <f t="shared" si="13"/>
        <v>9374964</v>
      </c>
      <c r="P266" s="874"/>
      <c r="Q266" s="874">
        <f t="shared" si="14"/>
        <v>1337661</v>
      </c>
      <c r="R266" s="874">
        <v>223364</v>
      </c>
      <c r="S266" s="874">
        <v>1561025</v>
      </c>
      <c r="T266" s="878"/>
      <c r="U266" s="878"/>
      <c r="V266" s="878"/>
      <c r="W266" s="878"/>
      <c r="X266" s="878"/>
      <c r="Y266" s="878"/>
      <c r="Z266" s="878"/>
      <c r="AA266" s="878"/>
      <c r="AB266" s="879"/>
      <c r="AC266" s="879"/>
      <c r="AD266" s="879"/>
      <c r="AE266" s="879"/>
      <c r="AF266" s="879"/>
      <c r="AG266" s="879"/>
      <c r="AH266" s="879"/>
      <c r="AI266" s="879"/>
    </row>
    <row r="267" spans="1:35" x14ac:dyDescent="0.25">
      <c r="A267" s="876">
        <v>38701</v>
      </c>
      <c r="B267" s="873" t="s">
        <v>1479</v>
      </c>
      <c r="C267" s="873">
        <v>2200294</v>
      </c>
      <c r="D267" s="874">
        <v>1581166</v>
      </c>
      <c r="E267" s="874">
        <v>0</v>
      </c>
      <c r="F267" s="874">
        <v>0</v>
      </c>
      <c r="G267" s="874">
        <v>0</v>
      </c>
      <c r="H267" s="874">
        <v>0</v>
      </c>
      <c r="I267" s="874">
        <f t="shared" si="12"/>
        <v>0</v>
      </c>
      <c r="J267" s="874"/>
      <c r="K267" s="874">
        <v>113372</v>
      </c>
      <c r="L267" s="874">
        <v>588</v>
      </c>
      <c r="M267" s="874">
        <v>435446</v>
      </c>
      <c r="N267" s="874">
        <v>83700</v>
      </c>
      <c r="O267" s="874">
        <f t="shared" si="13"/>
        <v>633106</v>
      </c>
      <c r="P267" s="874"/>
      <c r="Q267" s="874">
        <f t="shared" si="14"/>
        <v>78392</v>
      </c>
      <c r="R267" s="874">
        <v>-16743</v>
      </c>
      <c r="S267" s="874">
        <v>61649</v>
      </c>
      <c r="T267" s="878"/>
      <c r="U267" s="878"/>
      <c r="V267" s="878"/>
      <c r="W267" s="878"/>
      <c r="X267" s="878"/>
      <c r="Y267" s="878"/>
      <c r="Z267" s="878"/>
      <c r="AA267" s="878"/>
      <c r="AB267" s="879"/>
      <c r="AC267" s="879"/>
      <c r="AD267" s="879"/>
      <c r="AE267" s="879"/>
      <c r="AF267" s="879"/>
      <c r="AG267" s="879"/>
      <c r="AH267" s="879"/>
      <c r="AI267" s="879"/>
    </row>
    <row r="268" spans="1:35" x14ac:dyDescent="0.25">
      <c r="A268" s="876">
        <v>38800</v>
      </c>
      <c r="B268" s="873" t="s">
        <v>1480</v>
      </c>
      <c r="C268" s="873">
        <v>59847902</v>
      </c>
      <c r="D268" s="874">
        <v>45915902</v>
      </c>
      <c r="E268" s="874">
        <v>0</v>
      </c>
      <c r="F268" s="874">
        <v>0</v>
      </c>
      <c r="G268" s="874">
        <v>0</v>
      </c>
      <c r="H268" s="874">
        <v>821860</v>
      </c>
      <c r="I268" s="874">
        <f t="shared" si="12"/>
        <v>821860</v>
      </c>
      <c r="J268" s="874"/>
      <c r="K268" s="874">
        <v>3292255</v>
      </c>
      <c r="L268" s="874">
        <v>17064</v>
      </c>
      <c r="M268" s="874">
        <v>12645030</v>
      </c>
      <c r="N268" s="874">
        <v>0</v>
      </c>
      <c r="O268" s="874">
        <f t="shared" si="13"/>
        <v>15954349</v>
      </c>
      <c r="P268" s="874"/>
      <c r="Q268" s="874">
        <f t="shared" si="14"/>
        <v>2276437</v>
      </c>
      <c r="R268" s="874">
        <v>164369</v>
      </c>
      <c r="S268" s="874">
        <v>2440806</v>
      </c>
      <c r="T268" s="878"/>
      <c r="U268" s="878"/>
      <c r="V268" s="878"/>
      <c r="W268" s="878"/>
      <c r="X268" s="878"/>
      <c r="Y268" s="878"/>
      <c r="Z268" s="878"/>
      <c r="AA268" s="878"/>
      <c r="AB268" s="879"/>
      <c r="AC268" s="879"/>
      <c r="AD268" s="879"/>
      <c r="AE268" s="879"/>
      <c r="AF268" s="879"/>
      <c r="AG268" s="879"/>
      <c r="AH268" s="879"/>
      <c r="AI268" s="879"/>
    </row>
    <row r="269" spans="1:35" x14ac:dyDescent="0.25">
      <c r="A269" s="876">
        <v>38801</v>
      </c>
      <c r="B269" s="873" t="s">
        <v>1481</v>
      </c>
      <c r="C269" s="873">
        <v>4079205</v>
      </c>
      <c r="D269" s="874">
        <v>3788251</v>
      </c>
      <c r="E269" s="874">
        <v>0</v>
      </c>
      <c r="F269" s="874">
        <v>0</v>
      </c>
      <c r="G269" s="874">
        <v>0</v>
      </c>
      <c r="H269" s="874">
        <v>771305</v>
      </c>
      <c r="I269" s="874">
        <f t="shared" si="12"/>
        <v>771305</v>
      </c>
      <c r="J269" s="874"/>
      <c r="K269" s="874">
        <v>271625</v>
      </c>
      <c r="L269" s="874">
        <v>1408</v>
      </c>
      <c r="M269" s="874">
        <v>1043267</v>
      </c>
      <c r="N269" s="874">
        <v>0</v>
      </c>
      <c r="O269" s="874">
        <f t="shared" si="13"/>
        <v>1316300</v>
      </c>
      <c r="P269" s="874"/>
      <c r="Q269" s="874">
        <f t="shared" si="14"/>
        <v>187815</v>
      </c>
      <c r="R269" s="874">
        <v>154258</v>
      </c>
      <c r="S269" s="874">
        <v>342073</v>
      </c>
      <c r="T269" s="878"/>
      <c r="U269" s="878"/>
      <c r="V269" s="878"/>
      <c r="W269" s="878"/>
      <c r="X269" s="878"/>
      <c r="Y269" s="878"/>
      <c r="Z269" s="878"/>
      <c r="AA269" s="878"/>
      <c r="AB269" s="879"/>
      <c r="AC269" s="879"/>
      <c r="AD269" s="879"/>
      <c r="AE269" s="879"/>
      <c r="AF269" s="879"/>
      <c r="AG269" s="879"/>
      <c r="AH269" s="879"/>
      <c r="AI269" s="879"/>
    </row>
    <row r="270" spans="1:35" x14ac:dyDescent="0.25">
      <c r="A270" s="876">
        <v>38900</v>
      </c>
      <c r="B270" s="873" t="s">
        <v>1482</v>
      </c>
      <c r="C270" s="873">
        <v>13342686</v>
      </c>
      <c r="D270" s="874">
        <v>9625201</v>
      </c>
      <c r="E270" s="874">
        <v>0</v>
      </c>
      <c r="F270" s="874">
        <v>0</v>
      </c>
      <c r="G270" s="874">
        <v>0</v>
      </c>
      <c r="H270" s="874">
        <v>0</v>
      </c>
      <c r="I270" s="874">
        <f t="shared" si="12"/>
        <v>0</v>
      </c>
      <c r="J270" s="874"/>
      <c r="K270" s="874">
        <v>690145</v>
      </c>
      <c r="L270" s="874">
        <v>3577</v>
      </c>
      <c r="M270" s="874">
        <v>2650736</v>
      </c>
      <c r="N270" s="874">
        <v>476975</v>
      </c>
      <c r="O270" s="874">
        <f t="shared" si="13"/>
        <v>3821433</v>
      </c>
      <c r="P270" s="874"/>
      <c r="Q270" s="874">
        <f t="shared" si="14"/>
        <v>477202</v>
      </c>
      <c r="R270" s="874">
        <v>-95398</v>
      </c>
      <c r="S270" s="874">
        <v>381804</v>
      </c>
      <c r="T270" s="878"/>
      <c r="U270" s="878"/>
      <c r="V270" s="878"/>
      <c r="W270" s="878"/>
      <c r="X270" s="878"/>
      <c r="Y270" s="878"/>
      <c r="Z270" s="878"/>
      <c r="AA270" s="878"/>
      <c r="AB270" s="879"/>
      <c r="AC270" s="879"/>
      <c r="AD270" s="879"/>
      <c r="AE270" s="879"/>
      <c r="AF270" s="879"/>
      <c r="AG270" s="879"/>
      <c r="AH270" s="879"/>
      <c r="AI270" s="879"/>
    </row>
    <row r="271" spans="1:35" x14ac:dyDescent="0.25">
      <c r="A271" s="876">
        <v>39000</v>
      </c>
      <c r="B271" s="873" t="s">
        <v>1483</v>
      </c>
      <c r="C271" s="873">
        <v>605230565</v>
      </c>
      <c r="D271" s="874">
        <v>477021010</v>
      </c>
      <c r="E271" s="874">
        <v>0</v>
      </c>
      <c r="F271" s="874">
        <v>0</v>
      </c>
      <c r="G271" s="874">
        <v>0</v>
      </c>
      <c r="H271" s="874">
        <v>21720385</v>
      </c>
      <c r="I271" s="874">
        <f t="shared" si="12"/>
        <v>21720385</v>
      </c>
      <c r="J271" s="874"/>
      <c r="K271" s="874">
        <v>34203284</v>
      </c>
      <c r="L271" s="874">
        <v>177282</v>
      </c>
      <c r="M271" s="874">
        <v>131369408</v>
      </c>
      <c r="N271" s="874">
        <v>0</v>
      </c>
      <c r="O271" s="874">
        <f t="shared" si="13"/>
        <v>165749974</v>
      </c>
      <c r="P271" s="874"/>
      <c r="Q271" s="874">
        <f t="shared" si="14"/>
        <v>23649936</v>
      </c>
      <c r="R271" s="874">
        <v>4344080</v>
      </c>
      <c r="S271" s="874">
        <v>27994016</v>
      </c>
      <c r="T271" s="878"/>
      <c r="U271" s="878"/>
      <c r="V271" s="878"/>
      <c r="W271" s="878"/>
      <c r="X271" s="878"/>
      <c r="Y271" s="878"/>
      <c r="Z271" s="878"/>
      <c r="AA271" s="878"/>
      <c r="AB271" s="879"/>
      <c r="AC271" s="879"/>
      <c r="AD271" s="879"/>
      <c r="AE271" s="879"/>
      <c r="AF271" s="879"/>
      <c r="AG271" s="879"/>
      <c r="AH271" s="879"/>
      <c r="AI271" s="879"/>
    </row>
    <row r="272" spans="1:35" x14ac:dyDescent="0.25">
      <c r="A272" s="876">
        <v>39100</v>
      </c>
      <c r="B272" s="873" t="s">
        <v>1484</v>
      </c>
      <c r="C272" s="873">
        <v>92849888</v>
      </c>
      <c r="D272" s="874">
        <v>68727085</v>
      </c>
      <c r="E272" s="874">
        <v>0</v>
      </c>
      <c r="F272" s="874">
        <v>0</v>
      </c>
      <c r="G272" s="874">
        <v>0</v>
      </c>
      <c r="H272" s="874">
        <v>0</v>
      </c>
      <c r="I272" s="874">
        <f t="shared" si="12"/>
        <v>0</v>
      </c>
      <c r="J272" s="874"/>
      <c r="K272" s="874">
        <v>4927858</v>
      </c>
      <c r="L272" s="874">
        <v>25542</v>
      </c>
      <c r="M272" s="874">
        <v>18927125</v>
      </c>
      <c r="N272" s="874">
        <v>1325495</v>
      </c>
      <c r="O272" s="874">
        <f t="shared" si="13"/>
        <v>25206020</v>
      </c>
      <c r="P272" s="874"/>
      <c r="Q272" s="874">
        <f t="shared" si="14"/>
        <v>3407379</v>
      </c>
      <c r="R272" s="874">
        <v>-265101</v>
      </c>
      <c r="S272" s="874">
        <v>3142278</v>
      </c>
      <c r="T272" s="878"/>
      <c r="U272" s="878"/>
      <c r="V272" s="878"/>
      <c r="W272" s="878"/>
      <c r="X272" s="878"/>
      <c r="Y272" s="878"/>
      <c r="Z272" s="878"/>
      <c r="AA272" s="878"/>
      <c r="AB272" s="879"/>
      <c r="AC272" s="879"/>
      <c r="AD272" s="879"/>
      <c r="AE272" s="879"/>
      <c r="AF272" s="879"/>
      <c r="AG272" s="879"/>
      <c r="AH272" s="879"/>
      <c r="AI272" s="879"/>
    </row>
    <row r="273" spans="1:35" x14ac:dyDescent="0.25">
      <c r="A273" s="876">
        <v>39101</v>
      </c>
      <c r="B273" s="873" t="s">
        <v>1485</v>
      </c>
      <c r="C273" s="873">
        <v>6619367</v>
      </c>
      <c r="D273" s="874">
        <v>5792209</v>
      </c>
      <c r="E273" s="874">
        <v>0</v>
      </c>
      <c r="F273" s="874">
        <v>0</v>
      </c>
      <c r="G273" s="874">
        <v>0</v>
      </c>
      <c r="H273" s="874">
        <v>885790</v>
      </c>
      <c r="I273" s="874">
        <f t="shared" si="12"/>
        <v>885790</v>
      </c>
      <c r="J273" s="874"/>
      <c r="K273" s="874">
        <v>415312</v>
      </c>
      <c r="L273" s="874">
        <v>2153</v>
      </c>
      <c r="M273" s="874">
        <v>1595148</v>
      </c>
      <c r="N273" s="874">
        <v>0</v>
      </c>
      <c r="O273" s="874">
        <f t="shared" si="13"/>
        <v>2012613</v>
      </c>
      <c r="P273" s="874"/>
      <c r="Q273" s="874">
        <f t="shared" si="14"/>
        <v>287168</v>
      </c>
      <c r="R273" s="874">
        <v>177155</v>
      </c>
      <c r="S273" s="874">
        <v>464323</v>
      </c>
      <c r="T273" s="878"/>
      <c r="U273" s="878"/>
      <c r="V273" s="878"/>
      <c r="W273" s="878"/>
      <c r="X273" s="878"/>
      <c r="Y273" s="878"/>
      <c r="Z273" s="878"/>
      <c r="AA273" s="878"/>
      <c r="AB273" s="879"/>
      <c r="AC273" s="879"/>
      <c r="AD273" s="879"/>
      <c r="AE273" s="879"/>
      <c r="AF273" s="879"/>
      <c r="AG273" s="879"/>
      <c r="AH273" s="879"/>
      <c r="AI273" s="879"/>
    </row>
    <row r="274" spans="1:35" x14ac:dyDescent="0.25">
      <c r="A274" s="876">
        <v>39105</v>
      </c>
      <c r="B274" s="873" t="s">
        <v>1486</v>
      </c>
      <c r="C274" s="873">
        <v>38339685</v>
      </c>
      <c r="D274" s="874">
        <v>26774696</v>
      </c>
      <c r="E274" s="874">
        <v>0</v>
      </c>
      <c r="F274" s="874">
        <v>0</v>
      </c>
      <c r="G274" s="874">
        <v>0</v>
      </c>
      <c r="H274" s="874">
        <v>0</v>
      </c>
      <c r="I274" s="874">
        <f t="shared" si="12"/>
        <v>0</v>
      </c>
      <c r="J274" s="874"/>
      <c r="K274" s="874">
        <v>1919795</v>
      </c>
      <c r="L274" s="874">
        <v>9951</v>
      </c>
      <c r="M274" s="874">
        <v>7373629</v>
      </c>
      <c r="N274" s="874">
        <v>2308690</v>
      </c>
      <c r="O274" s="874">
        <f t="shared" si="13"/>
        <v>11612065</v>
      </c>
      <c r="P274" s="874"/>
      <c r="Q274" s="874">
        <f t="shared" si="14"/>
        <v>1327446</v>
      </c>
      <c r="R274" s="874">
        <v>-461737</v>
      </c>
      <c r="S274" s="874">
        <v>865709</v>
      </c>
      <c r="T274" s="878"/>
      <c r="U274" s="878"/>
      <c r="V274" s="878"/>
      <c r="W274" s="878"/>
      <c r="X274" s="878"/>
      <c r="Y274" s="878"/>
      <c r="Z274" s="878"/>
      <c r="AA274" s="878"/>
      <c r="AB274" s="879"/>
      <c r="AC274" s="879"/>
      <c r="AD274" s="879"/>
      <c r="AE274" s="879"/>
      <c r="AF274" s="879"/>
      <c r="AG274" s="879"/>
      <c r="AH274" s="879"/>
      <c r="AI274" s="879"/>
    </row>
    <row r="275" spans="1:35" x14ac:dyDescent="0.25">
      <c r="A275" s="876">
        <v>39200</v>
      </c>
      <c r="B275" s="873" t="s">
        <v>1487</v>
      </c>
      <c r="C275" s="873">
        <v>2445108788</v>
      </c>
      <c r="D275" s="874">
        <v>1971459508</v>
      </c>
      <c r="E275" s="874">
        <v>0</v>
      </c>
      <c r="F275" s="874">
        <v>0</v>
      </c>
      <c r="G275" s="874">
        <v>0</v>
      </c>
      <c r="H275" s="874">
        <v>137070230</v>
      </c>
      <c r="I275" s="874">
        <f t="shared" si="12"/>
        <v>137070230</v>
      </c>
      <c r="J275" s="874"/>
      <c r="K275" s="874">
        <v>141357273</v>
      </c>
      <c r="L275" s="874">
        <v>732680</v>
      </c>
      <c r="M275" s="874">
        <v>542930948</v>
      </c>
      <c r="N275" s="874">
        <v>0</v>
      </c>
      <c r="O275" s="874">
        <f t="shared" si="13"/>
        <v>685020901</v>
      </c>
      <c r="P275" s="874"/>
      <c r="Q275" s="874">
        <f t="shared" si="14"/>
        <v>97741798</v>
      </c>
      <c r="R275" s="874">
        <v>27414041</v>
      </c>
      <c r="S275" s="874">
        <v>125155839</v>
      </c>
      <c r="T275" s="878"/>
      <c r="U275" s="878"/>
      <c r="V275" s="878"/>
      <c r="W275" s="878"/>
      <c r="X275" s="878"/>
      <c r="Y275" s="878"/>
      <c r="Z275" s="878"/>
      <c r="AA275" s="878"/>
      <c r="AB275" s="879"/>
      <c r="AC275" s="879"/>
      <c r="AD275" s="879"/>
      <c r="AE275" s="879"/>
      <c r="AF275" s="879"/>
      <c r="AG275" s="879"/>
      <c r="AH275" s="879"/>
      <c r="AI275" s="879"/>
    </row>
    <row r="276" spans="1:35" x14ac:dyDescent="0.25">
      <c r="A276" s="876">
        <v>39201</v>
      </c>
      <c r="B276" s="873" t="s">
        <v>1488</v>
      </c>
      <c r="C276" s="873">
        <v>7789433</v>
      </c>
      <c r="D276" s="874">
        <v>6046700</v>
      </c>
      <c r="E276" s="874">
        <v>0</v>
      </c>
      <c r="F276" s="874">
        <v>0</v>
      </c>
      <c r="G276" s="874">
        <v>0</v>
      </c>
      <c r="H276" s="874">
        <v>152810</v>
      </c>
      <c r="I276" s="874">
        <f t="shared" si="12"/>
        <v>152810</v>
      </c>
      <c r="J276" s="874"/>
      <c r="K276" s="874">
        <v>433560</v>
      </c>
      <c r="L276" s="874">
        <v>2247</v>
      </c>
      <c r="M276" s="874">
        <v>1665234</v>
      </c>
      <c r="N276" s="874">
        <v>0</v>
      </c>
      <c r="O276" s="874">
        <f t="shared" si="13"/>
        <v>2101041</v>
      </c>
      <c r="P276" s="874"/>
      <c r="Q276" s="874">
        <f t="shared" si="14"/>
        <v>299786</v>
      </c>
      <c r="R276" s="874">
        <v>30560</v>
      </c>
      <c r="S276" s="874">
        <v>330346</v>
      </c>
      <c r="T276" s="878"/>
      <c r="U276" s="878"/>
      <c r="V276" s="878"/>
      <c r="W276" s="878"/>
      <c r="X276" s="878"/>
      <c r="Y276" s="878"/>
      <c r="Z276" s="878"/>
      <c r="AA276" s="878"/>
      <c r="AB276" s="879"/>
      <c r="AC276" s="879"/>
      <c r="AD276" s="879"/>
      <c r="AE276" s="879"/>
      <c r="AF276" s="879"/>
      <c r="AG276" s="879"/>
      <c r="AH276" s="879"/>
      <c r="AI276" s="879"/>
    </row>
    <row r="277" spans="1:35" x14ac:dyDescent="0.25">
      <c r="A277" s="876">
        <v>39204</v>
      </c>
      <c r="B277" s="873" t="s">
        <v>1489</v>
      </c>
      <c r="C277" s="873">
        <v>5067074</v>
      </c>
      <c r="D277" s="874">
        <v>5162785</v>
      </c>
      <c r="E277" s="874">
        <v>0</v>
      </c>
      <c r="F277" s="874">
        <v>0</v>
      </c>
      <c r="G277" s="874">
        <v>0</v>
      </c>
      <c r="H277" s="874">
        <v>1467040</v>
      </c>
      <c r="I277" s="874">
        <f t="shared" si="12"/>
        <v>1467040</v>
      </c>
      <c r="J277" s="874"/>
      <c r="K277" s="874">
        <v>370181</v>
      </c>
      <c r="L277" s="874">
        <v>1919</v>
      </c>
      <c r="M277" s="874">
        <v>1421807</v>
      </c>
      <c r="N277" s="874">
        <v>0</v>
      </c>
      <c r="O277" s="874">
        <f t="shared" si="13"/>
        <v>1793907</v>
      </c>
      <c r="P277" s="874"/>
      <c r="Q277" s="874">
        <f t="shared" si="14"/>
        <v>255963</v>
      </c>
      <c r="R277" s="874">
        <v>293408</v>
      </c>
      <c r="S277" s="874">
        <v>549371</v>
      </c>
      <c r="T277" s="878"/>
      <c r="U277" s="878"/>
      <c r="V277" s="878"/>
      <c r="W277" s="878"/>
      <c r="X277" s="878"/>
      <c r="Y277" s="878"/>
      <c r="Z277" s="878"/>
      <c r="AA277" s="878"/>
      <c r="AB277" s="879"/>
      <c r="AC277" s="879"/>
      <c r="AD277" s="879"/>
      <c r="AE277" s="879"/>
      <c r="AF277" s="879"/>
      <c r="AG277" s="879"/>
      <c r="AH277" s="879"/>
      <c r="AI277" s="879"/>
    </row>
    <row r="278" spans="1:35" x14ac:dyDescent="0.25">
      <c r="A278" s="876">
        <v>39205</v>
      </c>
      <c r="B278" s="873" t="s">
        <v>1490</v>
      </c>
      <c r="C278" s="873">
        <v>190464576</v>
      </c>
      <c r="D278" s="874">
        <v>145956593</v>
      </c>
      <c r="E278" s="874">
        <v>0</v>
      </c>
      <c r="F278" s="874">
        <v>0</v>
      </c>
      <c r="G278" s="874">
        <v>0</v>
      </c>
      <c r="H278" s="874">
        <v>2897545</v>
      </c>
      <c r="I278" s="874">
        <f t="shared" si="12"/>
        <v>2897545</v>
      </c>
      <c r="J278" s="874"/>
      <c r="K278" s="874">
        <v>10465356</v>
      </c>
      <c r="L278" s="874">
        <v>54244</v>
      </c>
      <c r="M278" s="874">
        <v>40195779</v>
      </c>
      <c r="N278" s="874">
        <v>0</v>
      </c>
      <c r="O278" s="874">
        <f t="shared" si="13"/>
        <v>50715379</v>
      </c>
      <c r="P278" s="874"/>
      <c r="Q278" s="874">
        <f t="shared" si="14"/>
        <v>7236294</v>
      </c>
      <c r="R278" s="874">
        <v>579513</v>
      </c>
      <c r="S278" s="874">
        <v>7815807</v>
      </c>
      <c r="T278" s="878"/>
      <c r="U278" s="878"/>
      <c r="V278" s="878"/>
      <c r="W278" s="878"/>
      <c r="X278" s="878"/>
      <c r="Y278" s="878"/>
      <c r="Z278" s="878"/>
      <c r="AA278" s="878"/>
      <c r="AB278" s="879"/>
      <c r="AC278" s="879"/>
      <c r="AD278" s="879"/>
      <c r="AE278" s="879"/>
      <c r="AF278" s="879"/>
      <c r="AG278" s="879"/>
      <c r="AH278" s="879"/>
      <c r="AI278" s="879"/>
    </row>
    <row r="279" spans="1:35" x14ac:dyDescent="0.25">
      <c r="A279" s="876">
        <v>39208</v>
      </c>
      <c r="B279" s="873" t="s">
        <v>1491</v>
      </c>
      <c r="C279" s="873">
        <v>15695302</v>
      </c>
      <c r="D279" s="874">
        <v>11860088</v>
      </c>
      <c r="E279" s="874">
        <v>0</v>
      </c>
      <c r="F279" s="874">
        <v>0</v>
      </c>
      <c r="G279" s="874">
        <v>0</v>
      </c>
      <c r="H279" s="874">
        <v>0</v>
      </c>
      <c r="I279" s="874">
        <f t="shared" si="12"/>
        <v>0</v>
      </c>
      <c r="J279" s="874"/>
      <c r="K279" s="874">
        <v>850390</v>
      </c>
      <c r="L279" s="874">
        <v>4408</v>
      </c>
      <c r="M279" s="874">
        <v>3266214</v>
      </c>
      <c r="N279" s="874">
        <v>27105</v>
      </c>
      <c r="O279" s="874">
        <f t="shared" si="13"/>
        <v>4148117</v>
      </c>
      <c r="P279" s="874"/>
      <c r="Q279" s="874">
        <f t="shared" si="14"/>
        <v>588004</v>
      </c>
      <c r="R279" s="874">
        <v>-5422</v>
      </c>
      <c r="S279" s="874">
        <v>582582</v>
      </c>
      <c r="T279" s="878"/>
      <c r="U279" s="878"/>
      <c r="V279" s="878"/>
      <c r="W279" s="878"/>
      <c r="X279" s="878"/>
      <c r="Y279" s="878"/>
      <c r="Z279" s="878"/>
      <c r="AA279" s="878"/>
      <c r="AB279" s="879"/>
      <c r="AC279" s="879"/>
      <c r="AD279" s="879"/>
      <c r="AE279" s="879"/>
      <c r="AF279" s="879"/>
      <c r="AG279" s="879"/>
      <c r="AH279" s="879"/>
      <c r="AI279" s="879"/>
    </row>
    <row r="280" spans="1:35" x14ac:dyDescent="0.25">
      <c r="A280" s="876">
        <v>39209</v>
      </c>
      <c r="B280" s="873" t="s">
        <v>1492</v>
      </c>
      <c r="C280" s="873">
        <v>7736162</v>
      </c>
      <c r="D280" s="874">
        <v>6111570</v>
      </c>
      <c r="E280" s="874">
        <v>0</v>
      </c>
      <c r="F280" s="874">
        <v>0</v>
      </c>
      <c r="G280" s="874">
        <v>0</v>
      </c>
      <c r="H280" s="874">
        <v>280540</v>
      </c>
      <c r="I280" s="874">
        <f t="shared" si="12"/>
        <v>280540</v>
      </c>
      <c r="J280" s="874"/>
      <c r="K280" s="874">
        <v>438211</v>
      </c>
      <c r="L280" s="874">
        <v>2271</v>
      </c>
      <c r="M280" s="874">
        <v>1683099</v>
      </c>
      <c r="N280" s="874">
        <v>0</v>
      </c>
      <c r="O280" s="874">
        <f t="shared" si="13"/>
        <v>2123581</v>
      </c>
      <c r="P280" s="874"/>
      <c r="Q280" s="874">
        <f t="shared" si="14"/>
        <v>303002</v>
      </c>
      <c r="R280" s="874">
        <v>56108</v>
      </c>
      <c r="S280" s="874">
        <v>359110</v>
      </c>
      <c r="T280" s="878"/>
      <c r="U280" s="878"/>
      <c r="V280" s="878"/>
      <c r="W280" s="878"/>
      <c r="X280" s="878"/>
      <c r="Y280" s="878"/>
      <c r="Z280" s="878"/>
      <c r="AA280" s="878"/>
      <c r="AB280" s="879"/>
      <c r="AC280" s="879"/>
      <c r="AD280" s="879"/>
      <c r="AE280" s="879"/>
      <c r="AF280" s="879"/>
      <c r="AG280" s="879"/>
      <c r="AH280" s="879"/>
      <c r="AI280" s="879"/>
    </row>
    <row r="281" spans="1:35" x14ac:dyDescent="0.25">
      <c r="A281" s="876">
        <v>39300</v>
      </c>
      <c r="B281" s="873" t="s">
        <v>1493</v>
      </c>
      <c r="C281" s="873">
        <v>36758380</v>
      </c>
      <c r="D281" s="874">
        <v>26150045</v>
      </c>
      <c r="E281" s="874">
        <v>0</v>
      </c>
      <c r="F281" s="874">
        <v>0</v>
      </c>
      <c r="G281" s="874">
        <v>0</v>
      </c>
      <c r="H281" s="874">
        <v>0</v>
      </c>
      <c r="I281" s="874">
        <f t="shared" si="12"/>
        <v>0</v>
      </c>
      <c r="J281" s="874"/>
      <c r="K281" s="874">
        <v>1875006</v>
      </c>
      <c r="L281" s="874">
        <v>9718</v>
      </c>
      <c r="M281" s="874">
        <v>7201603</v>
      </c>
      <c r="N281" s="874">
        <v>1722850</v>
      </c>
      <c r="O281" s="874">
        <f t="shared" si="13"/>
        <v>10809177</v>
      </c>
      <c r="P281" s="874"/>
      <c r="Q281" s="874">
        <f t="shared" si="14"/>
        <v>1296477</v>
      </c>
      <c r="R281" s="874">
        <v>-344573</v>
      </c>
      <c r="S281" s="874">
        <v>951904</v>
      </c>
      <c r="T281" s="878"/>
      <c r="U281" s="878"/>
      <c r="V281" s="878"/>
      <c r="W281" s="878"/>
      <c r="X281" s="878"/>
      <c r="Y281" s="878"/>
      <c r="Z281" s="878"/>
      <c r="AA281" s="878"/>
      <c r="AB281" s="879"/>
      <c r="AC281" s="879"/>
      <c r="AD281" s="879"/>
      <c r="AE281" s="879"/>
      <c r="AF281" s="879"/>
      <c r="AG281" s="879"/>
      <c r="AH281" s="879"/>
      <c r="AI281" s="879"/>
    </row>
    <row r="282" spans="1:35" x14ac:dyDescent="0.25">
      <c r="A282" s="876">
        <v>39301</v>
      </c>
      <c r="B282" s="873" t="s">
        <v>1494</v>
      </c>
      <c r="C282" s="873">
        <v>2106938</v>
      </c>
      <c r="D282" s="874">
        <v>1875079</v>
      </c>
      <c r="E282" s="874">
        <v>0</v>
      </c>
      <c r="F282" s="874">
        <v>0</v>
      </c>
      <c r="G282" s="874">
        <v>0</v>
      </c>
      <c r="H282" s="874">
        <v>311340</v>
      </c>
      <c r="I282" s="874">
        <f t="shared" si="12"/>
        <v>311340</v>
      </c>
      <c r="J282" s="874"/>
      <c r="K282" s="874">
        <v>134447</v>
      </c>
      <c r="L282" s="874">
        <v>697</v>
      </c>
      <c r="M282" s="874">
        <v>516388</v>
      </c>
      <c r="N282" s="874">
        <v>0</v>
      </c>
      <c r="O282" s="874">
        <f t="shared" si="13"/>
        <v>651532</v>
      </c>
      <c r="P282" s="874"/>
      <c r="Q282" s="874">
        <f t="shared" si="14"/>
        <v>92963</v>
      </c>
      <c r="R282" s="874">
        <v>62268</v>
      </c>
      <c r="S282" s="874">
        <v>155231</v>
      </c>
      <c r="T282" s="878"/>
      <c r="U282" s="878"/>
      <c r="V282" s="878"/>
      <c r="W282" s="878"/>
      <c r="X282" s="878"/>
      <c r="Y282" s="878"/>
      <c r="Z282" s="878"/>
      <c r="AA282" s="878"/>
      <c r="AB282" s="879"/>
      <c r="AC282" s="879"/>
      <c r="AD282" s="879"/>
      <c r="AE282" s="879"/>
      <c r="AF282" s="879"/>
      <c r="AG282" s="879"/>
      <c r="AH282" s="879"/>
      <c r="AI282" s="879"/>
    </row>
    <row r="283" spans="1:35" x14ac:dyDescent="0.25">
      <c r="A283" s="876">
        <v>39400</v>
      </c>
      <c r="B283" s="873" t="s">
        <v>1495</v>
      </c>
      <c r="C283" s="873">
        <v>24740346</v>
      </c>
      <c r="D283" s="874">
        <v>17845774</v>
      </c>
      <c r="E283" s="874">
        <v>0</v>
      </c>
      <c r="F283" s="874">
        <v>0</v>
      </c>
      <c r="G283" s="874">
        <v>0</v>
      </c>
      <c r="H283" s="874">
        <v>0</v>
      </c>
      <c r="I283" s="874">
        <f t="shared" si="12"/>
        <v>0</v>
      </c>
      <c r="J283" s="874"/>
      <c r="K283" s="874">
        <v>1279575</v>
      </c>
      <c r="L283" s="874">
        <v>6632</v>
      </c>
      <c r="M283" s="874">
        <v>4914645</v>
      </c>
      <c r="N283" s="874">
        <v>839020</v>
      </c>
      <c r="O283" s="874">
        <f t="shared" si="13"/>
        <v>7039872</v>
      </c>
      <c r="P283" s="874"/>
      <c r="Q283" s="874">
        <f t="shared" si="14"/>
        <v>884765</v>
      </c>
      <c r="R283" s="874">
        <v>-167801</v>
      </c>
      <c r="S283" s="874">
        <v>716964</v>
      </c>
      <c r="T283" s="878"/>
      <c r="U283" s="878"/>
      <c r="V283" s="878"/>
      <c r="W283" s="878"/>
      <c r="X283" s="878"/>
      <c r="Y283" s="878"/>
      <c r="Z283" s="878"/>
      <c r="AA283" s="878"/>
      <c r="AB283" s="879"/>
      <c r="AC283" s="879"/>
      <c r="AD283" s="879"/>
      <c r="AE283" s="879"/>
      <c r="AF283" s="879"/>
      <c r="AG283" s="879"/>
      <c r="AH283" s="879"/>
      <c r="AI283" s="879"/>
    </row>
    <row r="284" spans="1:35" x14ac:dyDescent="0.25">
      <c r="A284" s="876">
        <v>39401</v>
      </c>
      <c r="B284" s="873" t="s">
        <v>1496</v>
      </c>
      <c r="C284" s="873">
        <v>8571277</v>
      </c>
      <c r="D284" s="874">
        <v>9358530</v>
      </c>
      <c r="E284" s="874">
        <v>0</v>
      </c>
      <c r="F284" s="874">
        <v>0</v>
      </c>
      <c r="G284" s="874">
        <v>0</v>
      </c>
      <c r="H284" s="874">
        <v>3149315</v>
      </c>
      <c r="I284" s="874">
        <f t="shared" si="12"/>
        <v>3149315</v>
      </c>
      <c r="J284" s="874"/>
      <c r="K284" s="874">
        <v>671024</v>
      </c>
      <c r="L284" s="874">
        <v>3478</v>
      </c>
      <c r="M284" s="874">
        <v>2577296</v>
      </c>
      <c r="N284" s="874">
        <v>0</v>
      </c>
      <c r="O284" s="874">
        <f t="shared" si="13"/>
        <v>3251798</v>
      </c>
      <c r="P284" s="874"/>
      <c r="Q284" s="874">
        <f t="shared" si="14"/>
        <v>463981</v>
      </c>
      <c r="R284" s="874">
        <v>629864</v>
      </c>
      <c r="S284" s="874">
        <v>1093845</v>
      </c>
      <c r="T284" s="878"/>
      <c r="U284" s="878"/>
      <c r="V284" s="878"/>
      <c r="W284" s="878"/>
      <c r="X284" s="878"/>
      <c r="Y284" s="878"/>
      <c r="Z284" s="878"/>
      <c r="AA284" s="878"/>
      <c r="AB284" s="879"/>
      <c r="AC284" s="879"/>
      <c r="AD284" s="879"/>
      <c r="AE284" s="879"/>
      <c r="AF284" s="879"/>
      <c r="AG284" s="879"/>
      <c r="AH284" s="879"/>
      <c r="AI284" s="879"/>
    </row>
    <row r="285" spans="1:35" x14ac:dyDescent="0.25">
      <c r="A285" s="876">
        <v>39500</v>
      </c>
      <c r="B285" s="873" t="s">
        <v>1497</v>
      </c>
      <c r="C285" s="873">
        <v>75034823</v>
      </c>
      <c r="D285" s="874">
        <v>58945383</v>
      </c>
      <c r="E285" s="874">
        <v>0</v>
      </c>
      <c r="F285" s="874">
        <v>0</v>
      </c>
      <c r="G285" s="874">
        <v>0</v>
      </c>
      <c r="H285" s="874">
        <v>2556185</v>
      </c>
      <c r="I285" s="874">
        <f t="shared" si="12"/>
        <v>2556185</v>
      </c>
      <c r="J285" s="874"/>
      <c r="K285" s="874">
        <v>4226492</v>
      </c>
      <c r="L285" s="874">
        <v>21907</v>
      </c>
      <c r="M285" s="874">
        <v>16233289</v>
      </c>
      <c r="N285" s="874">
        <v>0</v>
      </c>
      <c r="O285" s="874">
        <f t="shared" si="13"/>
        <v>20481688</v>
      </c>
      <c r="P285" s="874"/>
      <c r="Q285" s="874">
        <f t="shared" si="14"/>
        <v>2922417</v>
      </c>
      <c r="R285" s="874">
        <v>511240</v>
      </c>
      <c r="S285" s="874">
        <v>3433657</v>
      </c>
      <c r="T285" s="878"/>
      <c r="U285" s="878"/>
      <c r="V285" s="878"/>
      <c r="W285" s="878"/>
      <c r="X285" s="878"/>
      <c r="Y285" s="878"/>
      <c r="Z285" s="878"/>
      <c r="AA285" s="878"/>
      <c r="AB285" s="879"/>
      <c r="AC285" s="879"/>
      <c r="AD285" s="879"/>
      <c r="AE285" s="879"/>
      <c r="AF285" s="879"/>
      <c r="AG285" s="879"/>
      <c r="AH285" s="879"/>
      <c r="AI285" s="879"/>
    </row>
    <row r="286" spans="1:35" x14ac:dyDescent="0.25">
      <c r="A286" s="876">
        <v>39501</v>
      </c>
      <c r="B286" s="873" t="s">
        <v>1498</v>
      </c>
      <c r="C286" s="873">
        <v>2469483</v>
      </c>
      <c r="D286" s="874">
        <v>1889920</v>
      </c>
      <c r="E286" s="874">
        <v>0</v>
      </c>
      <c r="F286" s="874">
        <v>0</v>
      </c>
      <c r="G286" s="874">
        <v>0</v>
      </c>
      <c r="H286" s="874">
        <v>28045</v>
      </c>
      <c r="I286" s="874">
        <f t="shared" si="12"/>
        <v>28045</v>
      </c>
      <c r="J286" s="874"/>
      <c r="K286" s="874">
        <v>135511</v>
      </c>
      <c r="L286" s="874">
        <v>702</v>
      </c>
      <c r="M286" s="874">
        <v>520475</v>
      </c>
      <c r="N286" s="874">
        <v>0</v>
      </c>
      <c r="O286" s="874">
        <f t="shared" si="13"/>
        <v>656688</v>
      </c>
      <c r="P286" s="874"/>
      <c r="Q286" s="874">
        <f t="shared" si="14"/>
        <v>93699</v>
      </c>
      <c r="R286" s="874">
        <v>5609</v>
      </c>
      <c r="S286" s="874">
        <v>99308</v>
      </c>
      <c r="T286" s="878"/>
      <c r="U286" s="878"/>
      <c r="V286" s="878"/>
      <c r="W286" s="878"/>
      <c r="X286" s="878"/>
      <c r="Y286" s="878"/>
      <c r="Z286" s="878"/>
      <c r="AA286" s="878"/>
      <c r="AB286" s="879"/>
      <c r="AC286" s="879"/>
      <c r="AD286" s="879"/>
      <c r="AE286" s="879"/>
      <c r="AF286" s="879"/>
      <c r="AG286" s="879"/>
      <c r="AH286" s="879"/>
      <c r="AI286" s="879"/>
    </row>
    <row r="287" spans="1:35" x14ac:dyDescent="0.25">
      <c r="A287" s="876">
        <v>39600</v>
      </c>
      <c r="B287" s="873" t="s">
        <v>1499</v>
      </c>
      <c r="C287" s="873">
        <v>242477716</v>
      </c>
      <c r="D287" s="874">
        <v>191786814</v>
      </c>
      <c r="E287" s="874">
        <v>0</v>
      </c>
      <c r="F287" s="874">
        <v>0</v>
      </c>
      <c r="G287" s="874">
        <v>0</v>
      </c>
      <c r="H287" s="874">
        <v>9914270</v>
      </c>
      <c r="I287" s="874">
        <f t="shared" si="12"/>
        <v>9914270</v>
      </c>
      <c r="J287" s="874"/>
      <c r="K287" s="874">
        <v>13751467</v>
      </c>
      <c r="L287" s="874">
        <v>71276</v>
      </c>
      <c r="M287" s="874">
        <v>52817213</v>
      </c>
      <c r="N287" s="874">
        <v>0</v>
      </c>
      <c r="O287" s="874">
        <f t="shared" si="13"/>
        <v>66639956</v>
      </c>
      <c r="P287" s="874"/>
      <c r="Q287" s="874">
        <f t="shared" si="14"/>
        <v>9508482</v>
      </c>
      <c r="R287" s="874">
        <v>1982853</v>
      </c>
      <c r="S287" s="874">
        <v>11491335</v>
      </c>
      <c r="T287" s="878"/>
      <c r="U287" s="878"/>
      <c r="V287" s="878"/>
      <c r="W287" s="878"/>
      <c r="X287" s="878"/>
      <c r="Y287" s="878"/>
      <c r="Z287" s="878"/>
      <c r="AA287" s="878"/>
      <c r="AB287" s="879"/>
      <c r="AC287" s="879"/>
      <c r="AD287" s="879"/>
      <c r="AE287" s="879"/>
      <c r="AF287" s="879"/>
      <c r="AG287" s="879"/>
      <c r="AH287" s="879"/>
      <c r="AI287" s="879"/>
    </row>
    <row r="288" spans="1:35" x14ac:dyDescent="0.25">
      <c r="A288" s="876">
        <v>39605</v>
      </c>
      <c r="B288" s="873" t="s">
        <v>1500</v>
      </c>
      <c r="C288" s="873">
        <v>34892598</v>
      </c>
      <c r="D288" s="874">
        <v>25826219</v>
      </c>
      <c r="E288" s="874">
        <v>0</v>
      </c>
      <c r="F288" s="874">
        <v>0</v>
      </c>
      <c r="G288" s="874">
        <v>0</v>
      </c>
      <c r="H288" s="874">
        <v>0</v>
      </c>
      <c r="I288" s="874">
        <f t="shared" si="12"/>
        <v>0</v>
      </c>
      <c r="J288" s="874"/>
      <c r="K288" s="874">
        <v>1851787</v>
      </c>
      <c r="L288" s="874">
        <v>9598</v>
      </c>
      <c r="M288" s="874">
        <v>7112423</v>
      </c>
      <c r="N288" s="874">
        <v>470285</v>
      </c>
      <c r="O288" s="874">
        <f t="shared" si="13"/>
        <v>9444093</v>
      </c>
      <c r="P288" s="874"/>
      <c r="Q288" s="874">
        <f t="shared" si="14"/>
        <v>1280422</v>
      </c>
      <c r="R288" s="874">
        <v>-94058</v>
      </c>
      <c r="S288" s="874">
        <v>1186364</v>
      </c>
      <c r="T288" s="878"/>
      <c r="U288" s="878"/>
      <c r="V288" s="878"/>
      <c r="W288" s="878"/>
      <c r="X288" s="878"/>
      <c r="Y288" s="878"/>
      <c r="Z288" s="878"/>
      <c r="AA288" s="878"/>
      <c r="AB288" s="879"/>
      <c r="AC288" s="879"/>
      <c r="AD288" s="879"/>
      <c r="AE288" s="879"/>
      <c r="AF288" s="879"/>
      <c r="AG288" s="879"/>
      <c r="AH288" s="879"/>
      <c r="AI288" s="879"/>
    </row>
    <row r="289" spans="1:35" x14ac:dyDescent="0.25">
      <c r="A289" s="876">
        <v>39700</v>
      </c>
      <c r="B289" s="873" t="s">
        <v>1501</v>
      </c>
      <c r="C289" s="873">
        <v>146936988</v>
      </c>
      <c r="D289" s="874">
        <v>112661025</v>
      </c>
      <c r="E289" s="874">
        <v>0</v>
      </c>
      <c r="F289" s="874">
        <v>0</v>
      </c>
      <c r="G289" s="874">
        <v>0</v>
      </c>
      <c r="H289" s="874">
        <v>1913650</v>
      </c>
      <c r="I289" s="874">
        <f t="shared" si="12"/>
        <v>1913650</v>
      </c>
      <c r="J289" s="874"/>
      <c r="K289" s="874">
        <v>8078003</v>
      </c>
      <c r="L289" s="874">
        <v>41870</v>
      </c>
      <c r="M289" s="874">
        <v>31026332</v>
      </c>
      <c r="N289" s="874">
        <v>0</v>
      </c>
      <c r="O289" s="874">
        <f t="shared" si="13"/>
        <v>39146205</v>
      </c>
      <c r="P289" s="874"/>
      <c r="Q289" s="874">
        <f t="shared" si="14"/>
        <v>5585553</v>
      </c>
      <c r="R289" s="874">
        <v>382733</v>
      </c>
      <c r="S289" s="874">
        <v>5968286</v>
      </c>
      <c r="T289" s="878"/>
      <c r="U289" s="878"/>
      <c r="V289" s="878"/>
      <c r="W289" s="878"/>
      <c r="X289" s="878"/>
      <c r="Y289" s="878"/>
      <c r="Z289" s="878"/>
      <c r="AA289" s="878"/>
      <c r="AB289" s="879"/>
      <c r="AC289" s="879"/>
      <c r="AD289" s="879"/>
      <c r="AE289" s="879"/>
      <c r="AF289" s="879"/>
      <c r="AG289" s="879"/>
      <c r="AH289" s="879"/>
      <c r="AI289" s="879"/>
    </row>
    <row r="290" spans="1:35" x14ac:dyDescent="0.25">
      <c r="A290" s="876">
        <v>39703</v>
      </c>
      <c r="B290" s="873" t="s">
        <v>1502</v>
      </c>
      <c r="C290" s="873">
        <v>4579289</v>
      </c>
      <c r="D290" s="874">
        <v>4599680</v>
      </c>
      <c r="E290" s="874">
        <v>0</v>
      </c>
      <c r="F290" s="874">
        <v>0</v>
      </c>
      <c r="G290" s="874">
        <v>0</v>
      </c>
      <c r="H290" s="874">
        <v>1244855</v>
      </c>
      <c r="I290" s="874">
        <f t="shared" si="12"/>
        <v>1244855</v>
      </c>
      <c r="J290" s="874"/>
      <c r="K290" s="874">
        <v>329805</v>
      </c>
      <c r="L290" s="874">
        <v>1709</v>
      </c>
      <c r="M290" s="874">
        <v>1266731</v>
      </c>
      <c r="N290" s="874">
        <v>0</v>
      </c>
      <c r="O290" s="874">
        <f t="shared" si="13"/>
        <v>1598245</v>
      </c>
      <c r="P290" s="874"/>
      <c r="Q290" s="874">
        <f t="shared" si="14"/>
        <v>228045</v>
      </c>
      <c r="R290" s="874">
        <v>248973</v>
      </c>
      <c r="S290" s="874">
        <v>477018</v>
      </c>
      <c r="T290" s="878"/>
      <c r="U290" s="878"/>
      <c r="V290" s="878"/>
      <c r="W290" s="878"/>
      <c r="X290" s="878"/>
      <c r="Y290" s="878"/>
      <c r="Z290" s="878"/>
      <c r="AA290" s="878"/>
      <c r="AB290" s="879"/>
      <c r="AC290" s="879"/>
      <c r="AD290" s="879"/>
      <c r="AE290" s="879"/>
      <c r="AF290" s="879"/>
      <c r="AG290" s="879"/>
      <c r="AH290" s="879"/>
      <c r="AI290" s="879"/>
    </row>
    <row r="291" spans="1:35" x14ac:dyDescent="0.25">
      <c r="A291" s="876">
        <v>39705</v>
      </c>
      <c r="B291" s="873" t="s">
        <v>1503</v>
      </c>
      <c r="C291" s="873">
        <v>34482795</v>
      </c>
      <c r="D291" s="874">
        <v>24476663</v>
      </c>
      <c r="E291" s="874">
        <v>0</v>
      </c>
      <c r="F291" s="874">
        <v>0</v>
      </c>
      <c r="G291" s="874">
        <v>0</v>
      </c>
      <c r="H291" s="874">
        <v>0</v>
      </c>
      <c r="I291" s="874">
        <f t="shared" si="12"/>
        <v>0</v>
      </c>
      <c r="J291" s="874"/>
      <c r="K291" s="874">
        <v>1755022</v>
      </c>
      <c r="L291" s="874">
        <v>9097</v>
      </c>
      <c r="M291" s="874">
        <v>6740761</v>
      </c>
      <c r="N291" s="874">
        <v>1601675</v>
      </c>
      <c r="O291" s="874">
        <f t="shared" si="13"/>
        <v>10106555</v>
      </c>
      <c r="P291" s="874"/>
      <c r="Q291" s="874">
        <f t="shared" si="14"/>
        <v>1213514</v>
      </c>
      <c r="R291" s="874">
        <v>-320334</v>
      </c>
      <c r="S291" s="874">
        <v>893180</v>
      </c>
      <c r="T291" s="878"/>
      <c r="U291" s="878"/>
      <c r="V291" s="878"/>
      <c r="W291" s="878"/>
      <c r="X291" s="878"/>
      <c r="Y291" s="878"/>
      <c r="Z291" s="878"/>
      <c r="AA291" s="878"/>
      <c r="AB291" s="879"/>
      <c r="AC291" s="879"/>
      <c r="AD291" s="879"/>
      <c r="AE291" s="879"/>
      <c r="AF291" s="879"/>
      <c r="AG291" s="879"/>
      <c r="AH291" s="879"/>
      <c r="AI291" s="879"/>
    </row>
    <row r="292" spans="1:35" x14ac:dyDescent="0.25">
      <c r="A292" s="876">
        <v>39800</v>
      </c>
      <c r="B292" s="873" t="s">
        <v>1504</v>
      </c>
      <c r="C292" s="873">
        <v>162616721</v>
      </c>
      <c r="D292" s="874">
        <v>124608101</v>
      </c>
      <c r="E292" s="874">
        <v>0</v>
      </c>
      <c r="F292" s="874">
        <v>0</v>
      </c>
      <c r="G292" s="874">
        <v>0</v>
      </c>
      <c r="H292" s="874">
        <v>2184990</v>
      </c>
      <c r="I292" s="874">
        <f t="shared" si="12"/>
        <v>2184990</v>
      </c>
      <c r="J292" s="874"/>
      <c r="K292" s="874">
        <v>8934630</v>
      </c>
      <c r="L292" s="874">
        <v>46310</v>
      </c>
      <c r="M292" s="874">
        <v>34316502</v>
      </c>
      <c r="N292" s="874">
        <v>0</v>
      </c>
      <c r="O292" s="874">
        <f t="shared" si="13"/>
        <v>43297442</v>
      </c>
      <c r="P292" s="874"/>
      <c r="Q292" s="874">
        <f t="shared" si="14"/>
        <v>6177870</v>
      </c>
      <c r="R292" s="874">
        <v>436994</v>
      </c>
      <c r="S292" s="874">
        <v>6614864</v>
      </c>
      <c r="T292" s="878"/>
      <c r="U292" s="878"/>
      <c r="V292" s="878"/>
      <c r="W292" s="878"/>
      <c r="X292" s="878"/>
      <c r="Y292" s="878"/>
      <c r="Z292" s="878"/>
      <c r="AA292" s="878"/>
      <c r="AB292" s="879"/>
      <c r="AC292" s="879"/>
      <c r="AD292" s="879"/>
      <c r="AE292" s="879"/>
      <c r="AF292" s="879"/>
      <c r="AG292" s="879"/>
      <c r="AH292" s="879"/>
      <c r="AI292" s="879"/>
    </row>
    <row r="293" spans="1:35" x14ac:dyDescent="0.25">
      <c r="A293" s="876">
        <v>39805</v>
      </c>
      <c r="B293" s="873" t="s">
        <v>1505</v>
      </c>
      <c r="C293" s="873">
        <v>18289854</v>
      </c>
      <c r="D293" s="874">
        <v>13581219</v>
      </c>
      <c r="E293" s="874">
        <v>0</v>
      </c>
      <c r="F293" s="874">
        <v>0</v>
      </c>
      <c r="G293" s="874">
        <v>0</v>
      </c>
      <c r="H293" s="874">
        <v>0</v>
      </c>
      <c r="I293" s="874">
        <f t="shared" si="12"/>
        <v>0</v>
      </c>
      <c r="J293" s="874"/>
      <c r="K293" s="874">
        <v>973798</v>
      </c>
      <c r="L293" s="874">
        <v>5047</v>
      </c>
      <c r="M293" s="874">
        <v>3740206</v>
      </c>
      <c r="N293" s="874">
        <v>182180</v>
      </c>
      <c r="O293" s="874">
        <f t="shared" si="13"/>
        <v>4901231</v>
      </c>
      <c r="P293" s="874"/>
      <c r="Q293" s="874">
        <f t="shared" si="14"/>
        <v>673335</v>
      </c>
      <c r="R293" s="874">
        <v>-36438</v>
      </c>
      <c r="S293" s="874">
        <v>636897</v>
      </c>
      <c r="T293" s="878"/>
      <c r="U293" s="878"/>
      <c r="V293" s="878"/>
      <c r="W293" s="878"/>
      <c r="X293" s="878"/>
      <c r="Y293" s="878"/>
      <c r="Z293" s="878"/>
      <c r="AA293" s="878"/>
      <c r="AB293" s="879"/>
      <c r="AC293" s="879"/>
      <c r="AD293" s="879"/>
      <c r="AE293" s="879"/>
      <c r="AF293" s="879"/>
      <c r="AG293" s="879"/>
      <c r="AH293" s="879"/>
      <c r="AI293" s="879"/>
    </row>
    <row r="294" spans="1:35" x14ac:dyDescent="0.25">
      <c r="A294" s="876">
        <v>39900</v>
      </c>
      <c r="B294" s="873" t="s">
        <v>1506</v>
      </c>
      <c r="C294" s="873">
        <v>80317095</v>
      </c>
      <c r="D294" s="874">
        <v>63360414</v>
      </c>
      <c r="E294" s="874">
        <v>0</v>
      </c>
      <c r="F294" s="874">
        <v>0</v>
      </c>
      <c r="G294" s="874">
        <v>0</v>
      </c>
      <c r="H294" s="874">
        <v>3088980</v>
      </c>
      <c r="I294" s="874">
        <f t="shared" si="12"/>
        <v>3088980</v>
      </c>
      <c r="J294" s="874"/>
      <c r="K294" s="874">
        <v>4543058</v>
      </c>
      <c r="L294" s="874">
        <v>23547</v>
      </c>
      <c r="M294" s="874">
        <v>17449169</v>
      </c>
      <c r="N294" s="874">
        <v>0</v>
      </c>
      <c r="O294" s="874">
        <f t="shared" si="13"/>
        <v>22015774</v>
      </c>
      <c r="P294" s="874"/>
      <c r="Q294" s="874">
        <f t="shared" si="14"/>
        <v>3141308</v>
      </c>
      <c r="R294" s="874">
        <v>617800</v>
      </c>
      <c r="S294" s="874">
        <v>3759108</v>
      </c>
      <c r="T294" s="878"/>
      <c r="U294" s="878"/>
      <c r="V294" s="878"/>
      <c r="W294" s="878"/>
      <c r="X294" s="878"/>
      <c r="Y294" s="878"/>
      <c r="Z294" s="878"/>
      <c r="AA294" s="878"/>
      <c r="AB294" s="879"/>
      <c r="AC294" s="879"/>
      <c r="AD294" s="879"/>
      <c r="AE294" s="879"/>
      <c r="AF294" s="879"/>
      <c r="AG294" s="879"/>
      <c r="AH294" s="879"/>
      <c r="AI294" s="879"/>
    </row>
    <row r="295" spans="1:35" x14ac:dyDescent="0.25">
      <c r="A295" s="876">
        <v>40000</v>
      </c>
      <c r="B295" s="873" t="s">
        <v>1507</v>
      </c>
      <c r="C295" s="873">
        <v>130135168</v>
      </c>
      <c r="D295" s="874">
        <v>88177756</v>
      </c>
      <c r="E295" s="874">
        <v>0</v>
      </c>
      <c r="F295" s="874">
        <v>0</v>
      </c>
      <c r="G295" s="874">
        <v>0</v>
      </c>
      <c r="H295" s="874">
        <v>0</v>
      </c>
      <c r="I295" s="874">
        <f t="shared" si="12"/>
        <v>0</v>
      </c>
      <c r="J295" s="874"/>
      <c r="K295" s="874">
        <v>6322507</v>
      </c>
      <c r="L295" s="874">
        <v>32771</v>
      </c>
      <c r="M295" s="874">
        <v>24283751</v>
      </c>
      <c r="N295" s="874">
        <v>9550665</v>
      </c>
      <c r="O295" s="874">
        <f t="shared" si="13"/>
        <v>40189694</v>
      </c>
      <c r="P295" s="874"/>
      <c r="Q295" s="874">
        <f t="shared" si="14"/>
        <v>4371712</v>
      </c>
      <c r="R295" s="874">
        <v>-1910133</v>
      </c>
      <c r="S295" s="874">
        <v>2461579</v>
      </c>
      <c r="T295" s="878"/>
      <c r="U295" s="878"/>
      <c r="V295" s="878"/>
      <c r="W295" s="878"/>
      <c r="X295" s="878"/>
      <c r="Y295" s="878"/>
      <c r="Z295" s="878"/>
      <c r="AA295" s="878"/>
      <c r="AB295" s="879"/>
      <c r="AC295" s="879"/>
      <c r="AD295" s="879"/>
      <c r="AE295" s="879"/>
      <c r="AF295" s="879"/>
      <c r="AG295" s="879"/>
      <c r="AH295" s="879"/>
      <c r="AI295" s="879"/>
    </row>
    <row r="296" spans="1:35" x14ac:dyDescent="0.25">
      <c r="A296" s="876">
        <v>51000</v>
      </c>
      <c r="B296" s="873" t="s">
        <v>1508</v>
      </c>
      <c r="C296" s="873">
        <v>1225158068</v>
      </c>
      <c r="D296" s="874">
        <v>872679928</v>
      </c>
      <c r="E296" s="874">
        <v>0</v>
      </c>
      <c r="F296" s="874">
        <v>0</v>
      </c>
      <c r="G296" s="874">
        <v>0</v>
      </c>
      <c r="H296" s="874">
        <v>0</v>
      </c>
      <c r="I296" s="874">
        <f t="shared" si="12"/>
        <v>0</v>
      </c>
      <c r="J296" s="874"/>
      <c r="K296" s="874">
        <v>62572756</v>
      </c>
      <c r="L296" s="874">
        <v>324326</v>
      </c>
      <c r="M296" s="874">
        <v>240332068</v>
      </c>
      <c r="N296" s="874">
        <v>52120280</v>
      </c>
      <c r="O296" s="874">
        <f t="shared" si="13"/>
        <v>355349430</v>
      </c>
      <c r="P296" s="874"/>
      <c r="Q296" s="874">
        <f t="shared" si="14"/>
        <v>43266070</v>
      </c>
      <c r="R296" s="874">
        <v>-10424057</v>
      </c>
      <c r="S296" s="874">
        <v>32842013</v>
      </c>
      <c r="T296" s="878"/>
      <c r="U296" s="878"/>
      <c r="V296" s="878"/>
      <c r="W296" s="878"/>
      <c r="X296" s="878"/>
      <c r="Y296" s="878"/>
      <c r="Z296" s="878"/>
      <c r="AA296" s="878"/>
      <c r="AB296" s="879"/>
      <c r="AC296" s="879"/>
      <c r="AD296" s="879"/>
      <c r="AE296" s="879"/>
      <c r="AF296" s="879"/>
      <c r="AG296" s="879"/>
      <c r="AH296" s="879"/>
      <c r="AI296" s="879"/>
    </row>
    <row r="297" spans="1:35" x14ac:dyDescent="0.25">
      <c r="A297" s="876">
        <v>51000.1</v>
      </c>
      <c r="B297" s="873" t="s">
        <v>1509</v>
      </c>
      <c r="C297" s="873">
        <v>662298</v>
      </c>
      <c r="D297" s="874">
        <v>523596</v>
      </c>
      <c r="E297" s="874">
        <v>0</v>
      </c>
      <c r="F297" s="874">
        <v>0</v>
      </c>
      <c r="G297" s="874">
        <v>0</v>
      </c>
      <c r="H297" s="874">
        <v>35715</v>
      </c>
      <c r="I297" s="874">
        <f t="shared" si="12"/>
        <v>35715</v>
      </c>
      <c r="J297" s="874"/>
      <c r="K297" s="874">
        <v>37543</v>
      </c>
      <c r="L297" s="874">
        <v>195</v>
      </c>
      <c r="M297" s="874">
        <v>144196</v>
      </c>
      <c r="N297" s="874">
        <v>0</v>
      </c>
      <c r="O297" s="874">
        <f t="shared" si="13"/>
        <v>181934</v>
      </c>
      <c r="P297" s="874"/>
      <c r="Q297" s="874">
        <f t="shared" si="14"/>
        <v>25959</v>
      </c>
      <c r="R297" s="874">
        <v>7145</v>
      </c>
      <c r="S297" s="874">
        <v>33104</v>
      </c>
      <c r="T297" s="878"/>
      <c r="U297" s="878"/>
      <c r="V297" s="878"/>
      <c r="W297" s="878"/>
      <c r="X297" s="878"/>
      <c r="Y297" s="878"/>
      <c r="Z297" s="878"/>
      <c r="AA297" s="878"/>
      <c r="AB297" s="879"/>
      <c r="AC297" s="879"/>
      <c r="AD297" s="879"/>
      <c r="AE297" s="879"/>
      <c r="AF297" s="879"/>
      <c r="AG297" s="879"/>
      <c r="AH297" s="879"/>
      <c r="AI297" s="879"/>
    </row>
    <row r="298" spans="1:35" x14ac:dyDescent="0.25">
      <c r="A298" s="876">
        <v>51000.2</v>
      </c>
      <c r="B298" s="873" t="s">
        <v>1510</v>
      </c>
      <c r="C298" s="873">
        <v>26359384</v>
      </c>
      <c r="D298" s="874">
        <v>20123893</v>
      </c>
      <c r="E298" s="874">
        <v>0</v>
      </c>
      <c r="F298" s="874">
        <v>0</v>
      </c>
      <c r="G298" s="874">
        <v>0</v>
      </c>
      <c r="H298" s="874">
        <v>404300</v>
      </c>
      <c r="I298" s="874">
        <f t="shared" si="12"/>
        <v>404300</v>
      </c>
      <c r="J298" s="874"/>
      <c r="K298" s="874">
        <v>1442920</v>
      </c>
      <c r="L298" s="874">
        <v>7479</v>
      </c>
      <c r="M298" s="874">
        <v>5542028</v>
      </c>
      <c r="N298" s="874">
        <v>0</v>
      </c>
      <c r="O298" s="874">
        <f t="shared" si="13"/>
        <v>6992427</v>
      </c>
      <c r="P298" s="874"/>
      <c r="Q298" s="874">
        <f t="shared" si="14"/>
        <v>997710</v>
      </c>
      <c r="R298" s="874">
        <v>80863</v>
      </c>
      <c r="S298" s="874">
        <v>1078573</v>
      </c>
      <c r="T298" s="878"/>
      <c r="U298" s="878"/>
      <c r="V298" s="878"/>
      <c r="W298" s="878"/>
      <c r="X298" s="878"/>
      <c r="Y298" s="878"/>
      <c r="Z298" s="878"/>
      <c r="AA298" s="878"/>
      <c r="AB298" s="879"/>
      <c r="AC298" s="879"/>
      <c r="AD298" s="879"/>
      <c r="AE298" s="879"/>
      <c r="AF298" s="879"/>
      <c r="AG298" s="879"/>
      <c r="AH298" s="879"/>
      <c r="AI298" s="879"/>
    </row>
    <row r="299" spans="1:35" x14ac:dyDescent="0.25">
      <c r="A299" s="876">
        <v>60000</v>
      </c>
      <c r="B299" s="873" t="s">
        <v>1511</v>
      </c>
      <c r="C299" s="873">
        <v>6242641</v>
      </c>
      <c r="D299" s="874">
        <v>3725775</v>
      </c>
      <c r="E299" s="874">
        <v>0</v>
      </c>
      <c r="F299" s="874">
        <v>0</v>
      </c>
      <c r="G299" s="874">
        <v>0</v>
      </c>
      <c r="H299" s="874">
        <v>0</v>
      </c>
      <c r="I299" s="874">
        <f t="shared" si="12"/>
        <v>0</v>
      </c>
      <c r="J299" s="874"/>
      <c r="K299" s="874">
        <v>267145</v>
      </c>
      <c r="L299" s="874">
        <v>1385</v>
      </c>
      <c r="M299" s="874">
        <v>1026061</v>
      </c>
      <c r="N299" s="874">
        <v>997465</v>
      </c>
      <c r="O299" s="874">
        <f t="shared" si="13"/>
        <v>2292056</v>
      </c>
      <c r="P299" s="874"/>
      <c r="Q299" s="874">
        <f t="shared" si="14"/>
        <v>184718</v>
      </c>
      <c r="R299" s="874">
        <v>-199497</v>
      </c>
      <c r="S299" s="874">
        <v>-14779</v>
      </c>
      <c r="T299" s="878"/>
      <c r="U299" s="878"/>
      <c r="V299" s="878"/>
      <c r="W299" s="878"/>
      <c r="X299" s="878"/>
      <c r="Y299" s="878"/>
      <c r="Z299" s="878"/>
      <c r="AA299" s="878"/>
      <c r="AB299" s="879"/>
      <c r="AC299" s="879"/>
      <c r="AD299" s="879"/>
      <c r="AE299" s="879"/>
      <c r="AF299" s="879"/>
      <c r="AG299" s="879"/>
      <c r="AH299" s="879"/>
      <c r="AI299" s="879"/>
    </row>
    <row r="300" spans="1:35" x14ac:dyDescent="0.25">
      <c r="A300" s="876">
        <v>90901</v>
      </c>
      <c r="B300" s="873" t="s">
        <v>1512</v>
      </c>
      <c r="C300" s="873">
        <v>31096883</v>
      </c>
      <c r="D300" s="874">
        <v>26753885</v>
      </c>
      <c r="E300" s="874">
        <v>0</v>
      </c>
      <c r="F300" s="874">
        <v>0</v>
      </c>
      <c r="G300" s="874">
        <v>0</v>
      </c>
      <c r="H300" s="874">
        <v>3668780</v>
      </c>
      <c r="I300" s="874">
        <f t="shared" si="12"/>
        <v>3668780</v>
      </c>
      <c r="J300" s="874"/>
      <c r="K300" s="874">
        <v>1918303</v>
      </c>
      <c r="L300" s="874">
        <v>9943</v>
      </c>
      <c r="M300" s="874">
        <v>7367898</v>
      </c>
      <c r="N300" s="874">
        <v>0</v>
      </c>
      <c r="O300" s="874">
        <f t="shared" si="13"/>
        <v>9296144</v>
      </c>
      <c r="P300" s="874"/>
      <c r="Q300" s="874">
        <f t="shared" si="14"/>
        <v>1326415</v>
      </c>
      <c r="R300" s="874">
        <v>733761</v>
      </c>
      <c r="S300" s="874">
        <v>2060176</v>
      </c>
      <c r="T300" s="878"/>
      <c r="U300" s="878"/>
      <c r="V300" s="878"/>
      <c r="W300" s="878"/>
      <c r="X300" s="878"/>
      <c r="Y300" s="878"/>
      <c r="Z300" s="878"/>
      <c r="AA300" s="878"/>
      <c r="AB300" s="879"/>
      <c r="AC300" s="879"/>
      <c r="AD300" s="879"/>
      <c r="AE300" s="879"/>
      <c r="AF300" s="879"/>
      <c r="AG300" s="879"/>
      <c r="AH300" s="879"/>
      <c r="AI300" s="879"/>
    </row>
    <row r="301" spans="1:35" x14ac:dyDescent="0.25">
      <c r="A301" s="876">
        <v>91041</v>
      </c>
      <c r="B301" s="873" t="s">
        <v>1701</v>
      </c>
      <c r="C301" s="873">
        <v>5639786</v>
      </c>
      <c r="D301" s="874">
        <v>4886483</v>
      </c>
      <c r="E301" s="874">
        <v>0</v>
      </c>
      <c r="F301" s="874">
        <v>0</v>
      </c>
      <c r="G301" s="874">
        <v>0</v>
      </c>
      <c r="H301" s="874">
        <v>687860</v>
      </c>
      <c r="I301" s="874">
        <f t="shared" si="12"/>
        <v>687860</v>
      </c>
      <c r="J301" s="874"/>
      <c r="K301" s="874">
        <v>350370</v>
      </c>
      <c r="L301" s="874">
        <v>1816</v>
      </c>
      <c r="M301" s="874">
        <v>1345715</v>
      </c>
      <c r="N301" s="874">
        <v>0</v>
      </c>
      <c r="O301" s="874">
        <f t="shared" si="13"/>
        <v>1697901</v>
      </c>
      <c r="P301" s="874"/>
      <c r="Q301" s="874">
        <f t="shared" si="14"/>
        <v>242264</v>
      </c>
      <c r="R301" s="874">
        <v>137572</v>
      </c>
      <c r="S301" s="874">
        <v>379836</v>
      </c>
      <c r="T301" s="878"/>
      <c r="U301" s="878"/>
      <c r="V301" s="878"/>
      <c r="W301" s="878"/>
      <c r="X301" s="878"/>
      <c r="Y301" s="878"/>
      <c r="Z301" s="878"/>
      <c r="AA301" s="878"/>
      <c r="AB301" s="879"/>
      <c r="AC301" s="879"/>
      <c r="AD301" s="879"/>
      <c r="AE301" s="879"/>
      <c r="AF301" s="879"/>
      <c r="AG301" s="879"/>
      <c r="AH301" s="879"/>
      <c r="AI301" s="879"/>
    </row>
    <row r="302" spans="1:35" x14ac:dyDescent="0.25">
      <c r="A302" s="876">
        <v>91111</v>
      </c>
      <c r="B302" s="873" t="s">
        <v>1702</v>
      </c>
      <c r="C302" s="873">
        <v>3047101</v>
      </c>
      <c r="D302" s="874">
        <v>2769848</v>
      </c>
      <c r="E302" s="874">
        <v>0</v>
      </c>
      <c r="F302" s="874">
        <v>0</v>
      </c>
      <c r="G302" s="874">
        <v>0</v>
      </c>
      <c r="H302" s="874">
        <v>526955</v>
      </c>
      <c r="I302" s="874">
        <f t="shared" si="12"/>
        <v>526955</v>
      </c>
      <c r="J302" s="874"/>
      <c r="K302" s="874">
        <v>198603</v>
      </c>
      <c r="L302" s="874">
        <v>1029</v>
      </c>
      <c r="M302" s="874">
        <v>762804</v>
      </c>
      <c r="N302" s="874">
        <v>0</v>
      </c>
      <c r="O302" s="874">
        <f t="shared" si="13"/>
        <v>962436</v>
      </c>
      <c r="P302" s="874"/>
      <c r="Q302" s="874">
        <f t="shared" si="14"/>
        <v>137325</v>
      </c>
      <c r="R302" s="874">
        <v>105395</v>
      </c>
      <c r="S302" s="874">
        <v>242720</v>
      </c>
      <c r="T302" s="878"/>
      <c r="U302" s="878"/>
      <c r="V302" s="878"/>
      <c r="W302" s="878"/>
      <c r="X302" s="878"/>
      <c r="Y302" s="878"/>
      <c r="Z302" s="878"/>
      <c r="AA302" s="878"/>
      <c r="AB302" s="879"/>
      <c r="AC302" s="879"/>
      <c r="AD302" s="879"/>
      <c r="AE302" s="879"/>
      <c r="AF302" s="879"/>
      <c r="AG302" s="879"/>
      <c r="AH302" s="879"/>
      <c r="AI302" s="879"/>
    </row>
    <row r="303" spans="1:35" x14ac:dyDescent="0.25">
      <c r="A303" s="876">
        <v>91151</v>
      </c>
      <c r="B303" s="873" t="s">
        <v>1703</v>
      </c>
      <c r="C303" s="873">
        <v>8868324</v>
      </c>
      <c r="D303" s="874">
        <v>7606034</v>
      </c>
      <c r="E303" s="874">
        <v>0</v>
      </c>
      <c r="F303" s="874">
        <v>0</v>
      </c>
      <c r="G303" s="874">
        <v>0</v>
      </c>
      <c r="H303" s="874">
        <v>1002870</v>
      </c>
      <c r="I303" s="874">
        <f t="shared" si="12"/>
        <v>1002870</v>
      </c>
      <c r="J303" s="874"/>
      <c r="K303" s="874">
        <v>545367</v>
      </c>
      <c r="L303" s="874">
        <v>2827</v>
      </c>
      <c r="M303" s="874">
        <v>2094667</v>
      </c>
      <c r="N303" s="874">
        <v>0</v>
      </c>
      <c r="O303" s="874">
        <f t="shared" si="13"/>
        <v>2642861</v>
      </c>
      <c r="P303" s="874"/>
      <c r="Q303" s="874">
        <f t="shared" si="14"/>
        <v>377095</v>
      </c>
      <c r="R303" s="874">
        <v>200576</v>
      </c>
      <c r="S303" s="874">
        <v>577671</v>
      </c>
      <c r="T303" s="878"/>
      <c r="U303" s="878"/>
      <c r="V303" s="878"/>
      <c r="W303" s="878"/>
      <c r="X303" s="878"/>
      <c r="Y303" s="878"/>
      <c r="Z303" s="878"/>
      <c r="AA303" s="878"/>
      <c r="AB303" s="879"/>
      <c r="AC303" s="879"/>
      <c r="AD303" s="879"/>
      <c r="AE303" s="879"/>
      <c r="AF303" s="879"/>
      <c r="AG303" s="879"/>
      <c r="AH303" s="879"/>
      <c r="AI303" s="879"/>
    </row>
    <row r="304" spans="1:35" x14ac:dyDescent="0.25">
      <c r="A304" s="876">
        <v>98101</v>
      </c>
      <c r="B304" s="873" t="s">
        <v>1516</v>
      </c>
      <c r="C304" s="873">
        <v>40276690</v>
      </c>
      <c r="D304" s="874">
        <v>34160722</v>
      </c>
      <c r="E304" s="874">
        <v>0</v>
      </c>
      <c r="F304" s="874">
        <v>0</v>
      </c>
      <c r="G304" s="874">
        <v>0</v>
      </c>
      <c r="H304" s="874">
        <v>4176610</v>
      </c>
      <c r="I304" s="874">
        <f t="shared" si="12"/>
        <v>4176610</v>
      </c>
      <c r="J304" s="874"/>
      <c r="K304" s="874">
        <v>2449387</v>
      </c>
      <c r="L304" s="874">
        <v>12696</v>
      </c>
      <c r="M304" s="874">
        <v>9407707</v>
      </c>
      <c r="N304" s="874">
        <v>0</v>
      </c>
      <c r="O304" s="874">
        <f t="shared" si="13"/>
        <v>11869790</v>
      </c>
      <c r="P304" s="874"/>
      <c r="Q304" s="874">
        <f t="shared" si="14"/>
        <v>1693634</v>
      </c>
      <c r="R304" s="874">
        <v>835323</v>
      </c>
      <c r="S304" s="874">
        <v>2528957</v>
      </c>
      <c r="T304" s="878"/>
      <c r="U304" s="878"/>
      <c r="V304" s="878"/>
      <c r="W304" s="878"/>
      <c r="X304" s="878"/>
      <c r="Y304" s="878"/>
      <c r="Z304" s="878"/>
      <c r="AA304" s="878"/>
      <c r="AB304" s="879"/>
      <c r="AC304" s="879"/>
      <c r="AD304" s="879"/>
      <c r="AE304" s="879"/>
      <c r="AF304" s="879"/>
      <c r="AG304" s="879"/>
      <c r="AH304" s="879"/>
      <c r="AI304" s="879"/>
    </row>
    <row r="305" spans="1:35" x14ac:dyDescent="0.25">
      <c r="A305" s="876">
        <v>98103</v>
      </c>
      <c r="B305" s="873" t="s">
        <v>1517</v>
      </c>
      <c r="C305" s="873">
        <v>8105226</v>
      </c>
      <c r="D305" s="874">
        <v>6289173</v>
      </c>
      <c r="E305" s="874">
        <v>0</v>
      </c>
      <c r="F305" s="874">
        <v>0</v>
      </c>
      <c r="G305" s="874">
        <v>0</v>
      </c>
      <c r="H305" s="874">
        <v>218265</v>
      </c>
      <c r="I305" s="874">
        <f t="shared" si="12"/>
        <v>218265</v>
      </c>
      <c r="J305" s="874"/>
      <c r="K305" s="874">
        <v>450945</v>
      </c>
      <c r="L305" s="874">
        <v>2337</v>
      </c>
      <c r="M305" s="874">
        <v>1732010</v>
      </c>
      <c r="N305" s="874">
        <v>0</v>
      </c>
      <c r="O305" s="874">
        <f t="shared" si="13"/>
        <v>2185292</v>
      </c>
      <c r="P305" s="874"/>
      <c r="Q305" s="874">
        <f t="shared" si="14"/>
        <v>311807</v>
      </c>
      <c r="R305" s="874">
        <v>43652</v>
      </c>
      <c r="S305" s="874">
        <v>355459</v>
      </c>
      <c r="T305" s="878"/>
      <c r="U305" s="878"/>
      <c r="V305" s="878"/>
      <c r="W305" s="878"/>
      <c r="X305" s="878"/>
      <c r="Y305" s="878"/>
      <c r="Z305" s="878"/>
      <c r="AA305" s="878"/>
      <c r="AB305" s="879"/>
      <c r="AC305" s="879"/>
      <c r="AD305" s="879"/>
      <c r="AE305" s="879"/>
      <c r="AF305" s="879"/>
      <c r="AG305" s="879"/>
      <c r="AH305" s="879"/>
      <c r="AI305" s="879"/>
    </row>
    <row r="306" spans="1:35" x14ac:dyDescent="0.25">
      <c r="A306" s="876">
        <v>98111</v>
      </c>
      <c r="B306" s="873" t="s">
        <v>1704</v>
      </c>
      <c r="C306" s="873">
        <v>15328314</v>
      </c>
      <c r="D306" s="874">
        <v>12123671</v>
      </c>
      <c r="E306" s="874">
        <v>0</v>
      </c>
      <c r="F306" s="874">
        <v>0</v>
      </c>
      <c r="G306" s="874">
        <v>0</v>
      </c>
      <c r="H306" s="874">
        <v>621765</v>
      </c>
      <c r="I306" s="874">
        <f t="shared" si="12"/>
        <v>621765</v>
      </c>
      <c r="J306" s="874"/>
      <c r="K306" s="874">
        <v>869290</v>
      </c>
      <c r="L306" s="874">
        <v>4506</v>
      </c>
      <c r="M306" s="874">
        <v>3338804</v>
      </c>
      <c r="N306" s="874">
        <v>0</v>
      </c>
      <c r="O306" s="874">
        <f t="shared" si="13"/>
        <v>4212600</v>
      </c>
      <c r="P306" s="874"/>
      <c r="Q306" s="874">
        <f t="shared" si="14"/>
        <v>601072</v>
      </c>
      <c r="R306" s="874">
        <v>124349</v>
      </c>
      <c r="S306" s="874">
        <v>725421</v>
      </c>
      <c r="T306" s="878"/>
      <c r="U306" s="878"/>
      <c r="V306" s="878"/>
      <c r="W306" s="878"/>
      <c r="X306" s="878"/>
      <c r="Y306" s="878"/>
      <c r="Z306" s="878"/>
      <c r="AA306" s="878"/>
      <c r="AB306" s="879"/>
      <c r="AC306" s="879"/>
      <c r="AD306" s="879"/>
      <c r="AE306" s="879"/>
      <c r="AF306" s="879"/>
      <c r="AG306" s="879"/>
      <c r="AH306" s="879"/>
      <c r="AI306" s="879"/>
    </row>
    <row r="307" spans="1:35" x14ac:dyDescent="0.25">
      <c r="A307" s="876">
        <v>98131</v>
      </c>
      <c r="B307" s="873" t="s">
        <v>1705</v>
      </c>
      <c r="C307" s="873">
        <v>4316628</v>
      </c>
      <c r="D307" s="874">
        <v>2950894</v>
      </c>
      <c r="E307" s="874">
        <v>0</v>
      </c>
      <c r="F307" s="874">
        <v>0</v>
      </c>
      <c r="G307" s="874">
        <v>0</v>
      </c>
      <c r="H307" s="874">
        <v>0</v>
      </c>
      <c r="I307" s="874">
        <f t="shared" si="12"/>
        <v>0</v>
      </c>
      <c r="J307" s="874"/>
      <c r="K307" s="874">
        <v>211585</v>
      </c>
      <c r="L307" s="874">
        <v>1097</v>
      </c>
      <c r="M307" s="874">
        <v>812663</v>
      </c>
      <c r="N307" s="874">
        <v>327435</v>
      </c>
      <c r="O307" s="874">
        <f t="shared" si="13"/>
        <v>1352780</v>
      </c>
      <c r="P307" s="874"/>
      <c r="Q307" s="874">
        <f t="shared" si="14"/>
        <v>146301</v>
      </c>
      <c r="R307" s="874">
        <v>-65490</v>
      </c>
      <c r="S307" s="874">
        <v>80811</v>
      </c>
      <c r="T307" s="878"/>
      <c r="U307" s="878"/>
      <c r="V307" s="878"/>
      <c r="W307" s="878"/>
      <c r="X307" s="878"/>
      <c r="Y307" s="878"/>
      <c r="Z307" s="878"/>
      <c r="AA307" s="878"/>
      <c r="AB307" s="879"/>
      <c r="AC307" s="879"/>
      <c r="AD307" s="879"/>
      <c r="AE307" s="879"/>
      <c r="AF307" s="879"/>
      <c r="AG307" s="879"/>
      <c r="AH307" s="879"/>
      <c r="AI307" s="879"/>
    </row>
    <row r="308" spans="1:35" x14ac:dyDescent="0.25">
      <c r="A308" s="876">
        <v>99401</v>
      </c>
      <c r="B308" s="873" t="s">
        <v>1520</v>
      </c>
      <c r="C308" s="873">
        <v>13222163</v>
      </c>
      <c r="D308" s="874">
        <v>10959935</v>
      </c>
      <c r="E308" s="874">
        <v>0</v>
      </c>
      <c r="F308" s="874">
        <v>0</v>
      </c>
      <c r="G308" s="874">
        <v>0</v>
      </c>
      <c r="H308" s="874">
        <v>1109455</v>
      </c>
      <c r="I308" s="874">
        <f t="shared" si="12"/>
        <v>1109455</v>
      </c>
      <c r="J308" s="874"/>
      <c r="K308" s="874">
        <v>785847</v>
      </c>
      <c r="L308" s="874">
        <v>4073</v>
      </c>
      <c r="M308" s="874">
        <v>3018316</v>
      </c>
      <c r="N308" s="874">
        <v>0</v>
      </c>
      <c r="O308" s="874">
        <f t="shared" si="13"/>
        <v>3808236</v>
      </c>
      <c r="P308" s="874"/>
      <c r="Q308" s="874">
        <f t="shared" si="14"/>
        <v>543376</v>
      </c>
      <c r="R308" s="874">
        <v>221891</v>
      </c>
      <c r="S308" s="874">
        <v>765267</v>
      </c>
      <c r="T308" s="878"/>
      <c r="U308" s="878"/>
      <c r="V308" s="878"/>
      <c r="W308" s="878"/>
      <c r="X308" s="878"/>
      <c r="Y308" s="878"/>
      <c r="Z308" s="878"/>
      <c r="AA308" s="878"/>
      <c r="AB308" s="879"/>
      <c r="AC308" s="879"/>
      <c r="AD308" s="879"/>
      <c r="AE308" s="879"/>
      <c r="AF308" s="879"/>
      <c r="AG308" s="879"/>
      <c r="AH308" s="879"/>
      <c r="AI308" s="879"/>
    </row>
    <row r="309" spans="1:35" x14ac:dyDescent="0.25">
      <c r="A309" s="876">
        <v>99521</v>
      </c>
      <c r="B309" s="873" t="s">
        <v>1706</v>
      </c>
      <c r="C309" s="873">
        <v>5884069</v>
      </c>
      <c r="D309" s="874">
        <v>5058674</v>
      </c>
      <c r="E309" s="874">
        <v>0</v>
      </c>
      <c r="F309" s="874">
        <v>0</v>
      </c>
      <c r="G309" s="874">
        <v>0</v>
      </c>
      <c r="H309" s="874">
        <v>684205</v>
      </c>
      <c r="I309" s="874">
        <f t="shared" si="12"/>
        <v>684205</v>
      </c>
      <c r="J309" s="874"/>
      <c r="K309" s="874">
        <v>362716</v>
      </c>
      <c r="L309" s="874">
        <v>1880</v>
      </c>
      <c r="M309" s="874">
        <v>1393136</v>
      </c>
      <c r="N309" s="874">
        <v>0</v>
      </c>
      <c r="O309" s="874">
        <f t="shared" si="13"/>
        <v>1757732</v>
      </c>
      <c r="P309" s="874"/>
      <c r="Q309" s="874">
        <f t="shared" si="14"/>
        <v>250801</v>
      </c>
      <c r="R309" s="874">
        <v>136840</v>
      </c>
      <c r="S309" s="874">
        <v>387641</v>
      </c>
      <c r="T309" s="878"/>
      <c r="U309" s="878"/>
      <c r="V309" s="878"/>
      <c r="W309" s="878"/>
      <c r="X309" s="878"/>
      <c r="Y309" s="878"/>
      <c r="Z309" s="878"/>
      <c r="AA309" s="878"/>
      <c r="AB309" s="879"/>
      <c r="AC309" s="879"/>
      <c r="AD309" s="879"/>
      <c r="AE309" s="879"/>
      <c r="AF309" s="879"/>
      <c r="AG309" s="879"/>
      <c r="AH309" s="879"/>
      <c r="AI309" s="879"/>
    </row>
    <row r="310" spans="1:35" x14ac:dyDescent="0.25">
      <c r="A310" s="876">
        <v>99831</v>
      </c>
      <c r="B310" s="873" t="s">
        <v>1707</v>
      </c>
      <c r="C310" s="873">
        <v>749922</v>
      </c>
      <c r="D310" s="902">
        <v>771058</v>
      </c>
      <c r="E310" s="902">
        <v>0</v>
      </c>
      <c r="F310" s="902">
        <v>0</v>
      </c>
      <c r="G310" s="902">
        <v>0</v>
      </c>
      <c r="H310" s="902">
        <v>227575</v>
      </c>
      <c r="I310" s="902">
        <f t="shared" si="12"/>
        <v>227575</v>
      </c>
      <c r="J310" s="902"/>
      <c r="K310" s="902">
        <v>55286</v>
      </c>
      <c r="L310" s="902">
        <v>287</v>
      </c>
      <c r="M310" s="902">
        <v>212346</v>
      </c>
      <c r="N310" s="902">
        <v>0</v>
      </c>
      <c r="O310" s="902">
        <f t="shared" si="13"/>
        <v>267919</v>
      </c>
      <c r="P310" s="902"/>
      <c r="Q310" s="902">
        <f t="shared" si="14"/>
        <v>38228</v>
      </c>
      <c r="R310" s="902">
        <v>45512</v>
      </c>
      <c r="S310" s="902">
        <v>83740</v>
      </c>
      <c r="T310" s="878"/>
      <c r="U310" s="878"/>
      <c r="V310" s="878"/>
      <c r="W310" s="878"/>
      <c r="X310" s="878"/>
      <c r="Y310" s="878"/>
      <c r="Z310" s="878"/>
      <c r="AA310" s="878"/>
      <c r="AB310" s="879"/>
      <c r="AC310" s="879"/>
      <c r="AD310" s="879"/>
      <c r="AE310" s="879"/>
      <c r="AF310" s="879"/>
      <c r="AG310" s="879"/>
      <c r="AH310" s="879"/>
      <c r="AI310" s="879"/>
    </row>
    <row r="311" spans="1:35" ht="18" customHeight="1" x14ac:dyDescent="0.25">
      <c r="A311" s="881"/>
      <c r="B311" s="882" t="s">
        <v>466</v>
      </c>
      <c r="C311" s="883">
        <f>SUM(C7:C310)</f>
        <v>43503399006</v>
      </c>
      <c r="D311" s="903">
        <f t="shared" ref="D311" si="15">SUM(D7:D310)</f>
        <v>32786624459</v>
      </c>
      <c r="E311" s="903">
        <v>0</v>
      </c>
      <c r="F311" s="903">
        <v>0</v>
      </c>
      <c r="G311" s="903">
        <v>0</v>
      </c>
      <c r="H311" s="903">
        <f>SUM(H7:H310)</f>
        <v>1069202810</v>
      </c>
      <c r="I311" s="874">
        <f>SUM(I7:I310)</f>
        <v>1069202810</v>
      </c>
      <c r="J311" s="874"/>
      <c r="K311" s="874">
        <f>SUM(K7:K310)</f>
        <v>2350861287</v>
      </c>
      <c r="L311" s="874">
        <f t="shared" ref="L311" si="16">SUM(L7:L310)</f>
        <v>12184938</v>
      </c>
      <c r="M311" s="874">
        <f>SUM(M7:M310)</f>
        <v>9029286691</v>
      </c>
      <c r="N311" s="874">
        <f>SUM(N7:N310)</f>
        <v>1069202771</v>
      </c>
      <c r="O311" s="874">
        <f t="shared" ref="O311" si="17">SUM(O7:O310)</f>
        <v>12461535687</v>
      </c>
      <c r="P311" s="874"/>
      <c r="Q311" s="874">
        <f t="shared" si="14"/>
        <v>1625508214</v>
      </c>
      <c r="R311" s="903">
        <f t="shared" ref="R311:S311" si="18">SUM(R7:R310)</f>
        <v>-50</v>
      </c>
      <c r="S311" s="903">
        <f t="shared" si="18"/>
        <v>1625508164</v>
      </c>
      <c r="T311" s="878"/>
      <c r="U311" s="878"/>
      <c r="V311" s="878"/>
      <c r="W311" s="878"/>
      <c r="X311" s="878"/>
      <c r="Y311" s="878"/>
      <c r="Z311" s="878"/>
      <c r="AA311" s="878"/>
    </row>
    <row r="312" spans="1:35" ht="18" customHeight="1" x14ac:dyDescent="0.25">
      <c r="A312" s="884"/>
      <c r="B312" s="885"/>
      <c r="C312" s="885"/>
      <c r="D312" s="886"/>
      <c r="F312" s="886"/>
      <c r="G312" s="886"/>
      <c r="H312" s="886"/>
      <c r="I312" s="886"/>
      <c r="J312" s="886"/>
      <c r="K312" s="886"/>
      <c r="L312" s="886"/>
      <c r="M312" s="886"/>
      <c r="N312" s="886"/>
      <c r="O312" s="886"/>
      <c r="P312" s="886"/>
      <c r="Q312" s="904"/>
      <c r="R312" s="886"/>
      <c r="S312" s="886"/>
      <c r="T312" s="886"/>
      <c r="U312" s="886"/>
      <c r="V312" s="886"/>
      <c r="W312" s="886"/>
      <c r="X312" s="886"/>
      <c r="Y312" s="886"/>
      <c r="Z312" s="886"/>
      <c r="AA312" s="886"/>
    </row>
    <row r="313" spans="1:35" ht="18" customHeight="1" x14ac:dyDescent="0.25"/>
    <row r="314" spans="1:35" ht="18" customHeight="1" x14ac:dyDescent="0.25"/>
    <row r="315" spans="1:35" ht="18" customHeight="1" x14ac:dyDescent="0.25"/>
    <row r="316" spans="1:35" ht="18" hidden="1" customHeight="1" x14ac:dyDescent="0.25">
      <c r="B316" s="873" t="s">
        <v>1220</v>
      </c>
      <c r="C316" s="872" t="s">
        <v>533</v>
      </c>
    </row>
    <row r="317" spans="1:35" ht="18" hidden="1" customHeight="1" x14ac:dyDescent="0.25">
      <c r="B317" s="873" t="s">
        <v>1355</v>
      </c>
      <c r="C317" s="876">
        <v>33501</v>
      </c>
    </row>
    <row r="318" spans="1:35" ht="18" hidden="1" customHeight="1" x14ac:dyDescent="0.25">
      <c r="B318" s="873" t="s">
        <v>1417</v>
      </c>
      <c r="C318" s="876">
        <v>36301</v>
      </c>
    </row>
    <row r="319" spans="1:35" ht="18" hidden="1" customHeight="1" x14ac:dyDescent="0.25">
      <c r="B319" s="873" t="s">
        <v>1225</v>
      </c>
      <c r="C319" s="876">
        <v>10800</v>
      </c>
      <c r="S319" s="889"/>
    </row>
    <row r="320" spans="1:35" ht="18" hidden="1" customHeight="1" x14ac:dyDescent="0.25">
      <c r="B320" s="873" t="s">
        <v>1279</v>
      </c>
      <c r="C320" s="876">
        <v>30105</v>
      </c>
    </row>
    <row r="321" spans="2:19" ht="18" hidden="1" customHeight="1" x14ac:dyDescent="0.25">
      <c r="B321" s="873" t="s">
        <v>1275</v>
      </c>
      <c r="C321" s="876">
        <v>30100</v>
      </c>
    </row>
    <row r="322" spans="2:19" ht="18" hidden="1" customHeight="1" x14ac:dyDescent="0.25">
      <c r="B322" s="873" t="s">
        <v>1280</v>
      </c>
      <c r="C322" s="876">
        <v>30200</v>
      </c>
    </row>
    <row r="323" spans="2:19" ht="18" hidden="1" customHeight="1" x14ac:dyDescent="0.25">
      <c r="B323" s="873" t="s">
        <v>1281</v>
      </c>
      <c r="C323" s="876">
        <v>30300</v>
      </c>
    </row>
    <row r="324" spans="2:19" ht="18" hidden="1" customHeight="1" x14ac:dyDescent="0.25">
      <c r="B324" s="873" t="s">
        <v>1379</v>
      </c>
      <c r="C324" s="876">
        <v>34901</v>
      </c>
    </row>
    <row r="325" spans="2:19" ht="18" hidden="1" customHeight="1" x14ac:dyDescent="0.25">
      <c r="B325" s="873" t="s">
        <v>1282</v>
      </c>
      <c r="C325" s="876">
        <v>30400</v>
      </c>
    </row>
    <row r="326" spans="2:19" ht="18" hidden="1" customHeight="1" x14ac:dyDescent="0.25">
      <c r="B326" s="873" t="s">
        <v>1254</v>
      </c>
      <c r="C326" s="876">
        <v>20100</v>
      </c>
    </row>
    <row r="327" spans="2:19" ht="18" hidden="1" customHeight="1" x14ac:dyDescent="0.25">
      <c r="B327" s="873" t="s">
        <v>1436</v>
      </c>
      <c r="C327" s="876">
        <v>36901</v>
      </c>
      <c r="S327" s="889"/>
    </row>
    <row r="328" spans="2:19" ht="18" hidden="1" customHeight="1" x14ac:dyDescent="0.25">
      <c r="B328" s="873" t="s">
        <v>1352</v>
      </c>
      <c r="C328" s="876">
        <v>33402</v>
      </c>
      <c r="S328" s="890"/>
    </row>
    <row r="329" spans="2:19" ht="18" hidden="1" customHeight="1" x14ac:dyDescent="0.25">
      <c r="B329" s="873" t="s">
        <v>1284</v>
      </c>
      <c r="C329" s="876">
        <v>30500</v>
      </c>
      <c r="S329" s="889"/>
    </row>
    <row r="330" spans="2:19" ht="18" hidden="1" customHeight="1" x14ac:dyDescent="0.25">
      <c r="B330" s="873" t="s">
        <v>1451</v>
      </c>
      <c r="C330" s="876">
        <v>37610</v>
      </c>
    </row>
    <row r="331" spans="2:19" ht="18" hidden="1" customHeight="1" x14ac:dyDescent="0.25">
      <c r="B331" s="873" t="s">
        <v>1298</v>
      </c>
      <c r="C331" s="876">
        <v>31110</v>
      </c>
    </row>
    <row r="332" spans="2:19" ht="18" hidden="1" customHeight="1" x14ac:dyDescent="0.25">
      <c r="B332" s="873" t="s">
        <v>1297</v>
      </c>
      <c r="C332" s="876">
        <v>31105</v>
      </c>
    </row>
    <row r="333" spans="2:19" ht="18" hidden="1" customHeight="1" x14ac:dyDescent="0.25">
      <c r="B333" s="873" t="s">
        <v>1285</v>
      </c>
      <c r="C333" s="876">
        <v>30600</v>
      </c>
    </row>
    <row r="334" spans="2:19" ht="18" hidden="1" customHeight="1" x14ac:dyDescent="0.25">
      <c r="B334" s="873" t="s">
        <v>1248</v>
      </c>
      <c r="C334" s="876">
        <v>18600</v>
      </c>
    </row>
    <row r="335" spans="2:19" ht="18" hidden="1" customHeight="1" x14ac:dyDescent="0.25">
      <c r="B335" s="873" t="s">
        <v>1345</v>
      </c>
      <c r="C335" s="876">
        <v>33206</v>
      </c>
    </row>
    <row r="336" spans="2:19" ht="18" hidden="1" customHeight="1" x14ac:dyDescent="0.25">
      <c r="B336" s="873" t="s">
        <v>1288</v>
      </c>
      <c r="C336" s="876">
        <v>30705</v>
      </c>
    </row>
    <row r="337" spans="2:35" ht="18" hidden="1" customHeight="1" x14ac:dyDescent="0.25">
      <c r="B337" s="873" t="s">
        <v>1287</v>
      </c>
      <c r="C337" s="876">
        <v>30700</v>
      </c>
    </row>
    <row r="338" spans="2:35" s="887" customFormat="1" ht="18" hidden="1" customHeight="1" x14ac:dyDescent="0.25">
      <c r="B338" s="873" t="s">
        <v>1289</v>
      </c>
      <c r="C338" s="876">
        <v>30800</v>
      </c>
      <c r="E338" s="856"/>
      <c r="F338" s="857"/>
      <c r="G338" s="857"/>
      <c r="H338" s="857"/>
      <c r="I338" s="857"/>
      <c r="J338" s="857"/>
      <c r="K338" s="857"/>
      <c r="L338" s="857"/>
      <c r="M338" s="857"/>
      <c r="N338" s="857"/>
      <c r="O338" s="857"/>
      <c r="P338" s="857"/>
      <c r="Q338" s="857"/>
      <c r="R338" s="857"/>
      <c r="S338" s="857"/>
      <c r="T338" s="857"/>
      <c r="U338" s="857"/>
      <c r="V338" s="857"/>
      <c r="W338" s="857"/>
      <c r="X338" s="857"/>
      <c r="Y338" s="857"/>
      <c r="Z338" s="857"/>
      <c r="AA338" s="857"/>
      <c r="AB338" s="857"/>
      <c r="AC338" s="857"/>
      <c r="AD338" s="857"/>
      <c r="AE338" s="857"/>
      <c r="AF338" s="857"/>
      <c r="AG338" s="857"/>
      <c r="AH338" s="857"/>
      <c r="AI338" s="857"/>
    </row>
    <row r="339" spans="2:35" s="887" customFormat="1" ht="18" hidden="1" customHeight="1" x14ac:dyDescent="0.25">
      <c r="B339" s="873" t="s">
        <v>1458</v>
      </c>
      <c r="C339" s="876">
        <v>37901</v>
      </c>
      <c r="E339" s="856"/>
      <c r="F339" s="857"/>
      <c r="G339" s="857"/>
      <c r="H339" s="857"/>
      <c r="I339" s="857"/>
      <c r="J339" s="857"/>
      <c r="K339" s="857"/>
      <c r="L339" s="857"/>
      <c r="M339" s="857"/>
      <c r="N339" s="857"/>
      <c r="O339" s="857"/>
      <c r="P339" s="857"/>
      <c r="Q339" s="857"/>
      <c r="R339" s="857"/>
      <c r="S339" s="857"/>
      <c r="T339" s="857"/>
      <c r="U339" s="857"/>
      <c r="V339" s="857"/>
      <c r="W339" s="857"/>
      <c r="X339" s="857"/>
      <c r="Y339" s="857"/>
      <c r="Z339" s="857"/>
      <c r="AA339" s="857"/>
      <c r="AB339" s="857"/>
      <c r="AC339" s="857"/>
      <c r="AD339" s="857"/>
      <c r="AE339" s="857"/>
      <c r="AF339" s="857"/>
      <c r="AG339" s="857"/>
      <c r="AH339" s="857"/>
      <c r="AI339" s="857"/>
    </row>
    <row r="340" spans="2:35" s="887" customFormat="1" ht="18" hidden="1" customHeight="1" x14ac:dyDescent="0.25">
      <c r="B340" s="873" t="s">
        <v>1291</v>
      </c>
      <c r="C340" s="876">
        <v>30905</v>
      </c>
      <c r="E340" s="856"/>
      <c r="F340" s="857"/>
      <c r="G340" s="857"/>
      <c r="H340" s="857"/>
      <c r="I340" s="857"/>
      <c r="J340" s="857"/>
      <c r="K340" s="857"/>
      <c r="L340" s="857"/>
      <c r="M340" s="857"/>
      <c r="N340" s="857"/>
      <c r="O340" s="857"/>
      <c r="P340" s="857"/>
      <c r="Q340" s="857"/>
      <c r="R340" s="857"/>
      <c r="S340" s="857"/>
      <c r="T340" s="857"/>
      <c r="U340" s="857"/>
      <c r="V340" s="857"/>
      <c r="W340" s="857"/>
      <c r="X340" s="857"/>
      <c r="Y340" s="857"/>
      <c r="Z340" s="857"/>
      <c r="AA340" s="857"/>
      <c r="AB340" s="857"/>
      <c r="AC340" s="857"/>
      <c r="AD340" s="857"/>
      <c r="AE340" s="857"/>
      <c r="AF340" s="857"/>
      <c r="AG340" s="857"/>
      <c r="AH340" s="857"/>
      <c r="AI340" s="857"/>
    </row>
    <row r="341" spans="2:35" s="887" customFormat="1" ht="18" hidden="1" customHeight="1" x14ac:dyDescent="0.25">
      <c r="B341" s="873" t="s">
        <v>1512</v>
      </c>
      <c r="C341" s="876">
        <v>90901</v>
      </c>
      <c r="E341" s="856"/>
      <c r="F341" s="857"/>
      <c r="G341" s="857"/>
      <c r="H341" s="857"/>
      <c r="I341" s="857"/>
      <c r="J341" s="857"/>
      <c r="K341" s="857"/>
      <c r="L341" s="857"/>
      <c r="M341" s="857"/>
      <c r="N341" s="857"/>
      <c r="O341" s="857"/>
      <c r="P341" s="857"/>
      <c r="Q341" s="857"/>
      <c r="R341" s="857"/>
      <c r="S341" s="857"/>
      <c r="T341" s="857"/>
      <c r="U341" s="857"/>
      <c r="V341" s="857"/>
      <c r="W341" s="857"/>
      <c r="X341" s="857"/>
      <c r="Y341" s="857"/>
      <c r="Z341" s="857"/>
      <c r="AA341" s="857"/>
      <c r="AB341" s="857"/>
      <c r="AC341" s="857"/>
      <c r="AD341" s="857"/>
      <c r="AE341" s="857"/>
      <c r="AF341" s="857"/>
      <c r="AG341" s="857"/>
      <c r="AH341" s="857"/>
      <c r="AI341" s="857"/>
    </row>
    <row r="342" spans="2:35" s="887" customFormat="1" ht="18" hidden="1" customHeight="1" x14ac:dyDescent="0.25">
      <c r="B342" s="873" t="s">
        <v>1290</v>
      </c>
      <c r="C342" s="876">
        <v>30900</v>
      </c>
      <c r="E342" s="856"/>
      <c r="F342" s="857"/>
      <c r="G342" s="857"/>
      <c r="H342" s="857"/>
      <c r="I342" s="857"/>
      <c r="J342" s="857"/>
      <c r="K342" s="857"/>
      <c r="L342" s="857"/>
      <c r="M342" s="857"/>
      <c r="N342" s="857"/>
      <c r="O342" s="857"/>
      <c r="P342" s="857"/>
      <c r="Q342" s="857"/>
      <c r="R342" s="857"/>
      <c r="S342" s="857"/>
      <c r="T342" s="857"/>
      <c r="U342" s="857"/>
      <c r="V342" s="857"/>
      <c r="W342" s="857"/>
      <c r="X342" s="857"/>
      <c r="Y342" s="857"/>
      <c r="Z342" s="857"/>
      <c r="AA342" s="857"/>
      <c r="AB342" s="857"/>
      <c r="AC342" s="857"/>
      <c r="AD342" s="857"/>
      <c r="AE342" s="857"/>
      <c r="AF342" s="857"/>
      <c r="AG342" s="857"/>
      <c r="AH342" s="857"/>
      <c r="AI342" s="857"/>
    </row>
    <row r="343" spans="2:35" s="887" customFormat="1" ht="18" hidden="1" customHeight="1" x14ac:dyDescent="0.25">
      <c r="B343" s="873" t="s">
        <v>1373</v>
      </c>
      <c r="C343" s="876">
        <v>34505</v>
      </c>
      <c r="E343" s="856"/>
      <c r="F343" s="857"/>
      <c r="G343" s="857"/>
      <c r="H343" s="857"/>
      <c r="I343" s="857"/>
      <c r="J343" s="857"/>
      <c r="K343" s="857"/>
      <c r="L343" s="857"/>
      <c r="M343" s="857"/>
      <c r="N343" s="857"/>
      <c r="O343" s="857"/>
      <c r="P343" s="857"/>
      <c r="Q343" s="857"/>
      <c r="R343" s="857"/>
      <c r="S343" s="857"/>
      <c r="T343" s="857"/>
      <c r="U343" s="857"/>
      <c r="V343" s="857"/>
      <c r="W343" s="857"/>
      <c r="X343" s="857"/>
      <c r="Y343" s="857"/>
      <c r="Z343" s="857"/>
      <c r="AA343" s="857"/>
      <c r="AB343" s="857"/>
      <c r="AC343" s="857"/>
      <c r="AD343" s="857"/>
      <c r="AE343" s="857"/>
      <c r="AF343" s="857"/>
      <c r="AG343" s="857"/>
      <c r="AH343" s="857"/>
      <c r="AI343" s="857"/>
    </row>
    <row r="344" spans="2:35" s="887" customFormat="1" ht="18" hidden="1" customHeight="1" x14ac:dyDescent="0.25">
      <c r="B344" s="873" t="s">
        <v>1481</v>
      </c>
      <c r="C344" s="876">
        <v>38801</v>
      </c>
      <c r="E344" s="856"/>
      <c r="F344" s="857"/>
      <c r="G344" s="857"/>
      <c r="H344" s="857"/>
      <c r="I344" s="857"/>
      <c r="J344" s="857"/>
      <c r="K344" s="857"/>
      <c r="L344" s="857"/>
      <c r="M344" s="857"/>
      <c r="N344" s="857"/>
      <c r="O344" s="857"/>
      <c r="P344" s="857"/>
      <c r="Q344" s="857"/>
      <c r="R344" s="857"/>
      <c r="S344" s="857"/>
      <c r="T344" s="857"/>
      <c r="U344" s="857"/>
      <c r="V344" s="857"/>
      <c r="W344" s="857"/>
      <c r="X344" s="857"/>
      <c r="Y344" s="857"/>
      <c r="Z344" s="857"/>
      <c r="AA344" s="857"/>
      <c r="AB344" s="857"/>
      <c r="AC344" s="857"/>
      <c r="AD344" s="857"/>
      <c r="AE344" s="857"/>
      <c r="AF344" s="857"/>
      <c r="AG344" s="857"/>
      <c r="AH344" s="857"/>
      <c r="AI344" s="857"/>
    </row>
    <row r="345" spans="2:35" s="887" customFormat="1" ht="18" hidden="1" customHeight="1" x14ac:dyDescent="0.25">
      <c r="B345" s="873" t="s">
        <v>1473</v>
      </c>
      <c r="C345" s="876">
        <v>38601</v>
      </c>
      <c r="E345" s="856"/>
      <c r="F345" s="857"/>
      <c r="G345" s="857"/>
      <c r="H345" s="857"/>
      <c r="I345" s="857"/>
      <c r="J345" s="857"/>
      <c r="K345" s="857"/>
      <c r="L345" s="857"/>
      <c r="M345" s="857"/>
      <c r="N345" s="857"/>
      <c r="O345" s="857"/>
      <c r="P345" s="857"/>
      <c r="Q345" s="857"/>
      <c r="R345" s="857"/>
      <c r="S345" s="857"/>
      <c r="T345" s="857"/>
      <c r="U345" s="857"/>
      <c r="V345" s="857"/>
      <c r="W345" s="857"/>
      <c r="X345" s="857"/>
      <c r="Y345" s="857"/>
      <c r="Z345" s="857"/>
      <c r="AA345" s="857"/>
      <c r="AB345" s="857"/>
      <c r="AC345" s="857"/>
      <c r="AD345" s="857"/>
      <c r="AE345" s="857"/>
      <c r="AF345" s="857"/>
      <c r="AG345" s="857"/>
      <c r="AH345" s="857"/>
      <c r="AI345" s="857"/>
    </row>
    <row r="346" spans="2:35" s="887" customFormat="1" ht="18" hidden="1" customHeight="1" x14ac:dyDescent="0.25">
      <c r="B346" s="873" t="s">
        <v>1293</v>
      </c>
      <c r="C346" s="876">
        <v>31005</v>
      </c>
      <c r="E346" s="856"/>
      <c r="F346" s="857"/>
      <c r="G346" s="857"/>
      <c r="H346" s="857"/>
      <c r="I346" s="857"/>
      <c r="J346" s="857"/>
      <c r="K346" s="857"/>
      <c r="L346" s="857"/>
      <c r="M346" s="857"/>
      <c r="N346" s="857"/>
      <c r="O346" s="857"/>
      <c r="P346" s="857"/>
      <c r="Q346" s="857"/>
      <c r="R346" s="857"/>
      <c r="S346" s="857"/>
      <c r="T346" s="857"/>
      <c r="U346" s="857"/>
      <c r="V346" s="857"/>
      <c r="W346" s="857"/>
      <c r="X346" s="857"/>
      <c r="Y346" s="857"/>
      <c r="Z346" s="857"/>
      <c r="AA346" s="857"/>
      <c r="AB346" s="857"/>
      <c r="AC346" s="857"/>
      <c r="AD346" s="857"/>
      <c r="AE346" s="857"/>
      <c r="AF346" s="857"/>
      <c r="AG346" s="857"/>
      <c r="AH346" s="857"/>
      <c r="AI346" s="857"/>
    </row>
    <row r="347" spans="2:35" s="887" customFormat="1" ht="18" hidden="1" customHeight="1" x14ac:dyDescent="0.25">
      <c r="B347" s="873" t="s">
        <v>1292</v>
      </c>
      <c r="C347" s="876">
        <v>31000</v>
      </c>
      <c r="E347" s="856"/>
      <c r="F347" s="857"/>
      <c r="G347" s="857"/>
      <c r="H347" s="857"/>
      <c r="I347" s="857"/>
      <c r="J347" s="857"/>
      <c r="K347" s="857"/>
      <c r="L347" s="857"/>
      <c r="M347" s="857"/>
      <c r="N347" s="857"/>
      <c r="O347" s="857"/>
      <c r="P347" s="857"/>
      <c r="Q347" s="857"/>
      <c r="R347" s="857"/>
      <c r="S347" s="857"/>
      <c r="T347" s="857"/>
      <c r="U347" s="857"/>
      <c r="V347" s="857"/>
      <c r="W347" s="857"/>
      <c r="X347" s="857"/>
      <c r="Y347" s="857"/>
      <c r="Z347" s="857"/>
      <c r="AA347" s="857"/>
      <c r="AB347" s="857"/>
      <c r="AC347" s="857"/>
      <c r="AD347" s="857"/>
      <c r="AE347" s="857"/>
      <c r="AF347" s="857"/>
      <c r="AG347" s="857"/>
      <c r="AH347" s="857"/>
      <c r="AI347" s="857"/>
    </row>
    <row r="348" spans="2:35" s="887" customFormat="1" ht="18" hidden="1" customHeight="1" x14ac:dyDescent="0.25">
      <c r="B348" s="873" t="s">
        <v>1294</v>
      </c>
      <c r="C348" s="876">
        <v>31100</v>
      </c>
      <c r="E348" s="856"/>
      <c r="F348" s="857"/>
      <c r="G348" s="857"/>
      <c r="H348" s="857"/>
      <c r="I348" s="857"/>
      <c r="J348" s="857"/>
      <c r="K348" s="857"/>
      <c r="L348" s="857"/>
      <c r="M348" s="857"/>
      <c r="N348" s="857"/>
      <c r="O348" s="857"/>
      <c r="P348" s="857"/>
      <c r="Q348" s="857"/>
      <c r="R348" s="857"/>
      <c r="S348" s="857"/>
      <c r="T348" s="857"/>
      <c r="U348" s="857"/>
      <c r="V348" s="857"/>
      <c r="W348" s="857"/>
      <c r="X348" s="857"/>
      <c r="Y348" s="857"/>
      <c r="Z348" s="857"/>
      <c r="AA348" s="857"/>
      <c r="AB348" s="857"/>
      <c r="AC348" s="857"/>
      <c r="AD348" s="857"/>
      <c r="AE348" s="857"/>
      <c r="AF348" s="857"/>
      <c r="AG348" s="857"/>
      <c r="AH348" s="857"/>
      <c r="AI348" s="857"/>
    </row>
    <row r="349" spans="2:35" s="887" customFormat="1" ht="18" hidden="1" customHeight="1" x14ac:dyDescent="0.25">
      <c r="B349" s="873" t="s">
        <v>1299</v>
      </c>
      <c r="C349" s="876">
        <v>31200</v>
      </c>
      <c r="E349" s="856"/>
      <c r="F349" s="857"/>
      <c r="G349" s="857"/>
      <c r="H349" s="857"/>
      <c r="I349" s="857"/>
      <c r="J349" s="857"/>
      <c r="K349" s="857"/>
      <c r="L349" s="857"/>
      <c r="M349" s="857"/>
      <c r="N349" s="857"/>
      <c r="O349" s="857"/>
      <c r="P349" s="857"/>
      <c r="Q349" s="857"/>
      <c r="R349" s="857"/>
      <c r="S349" s="857"/>
      <c r="T349" s="857"/>
      <c r="U349" s="857"/>
      <c r="V349" s="857"/>
      <c r="W349" s="857"/>
      <c r="X349" s="857"/>
      <c r="Y349" s="857"/>
      <c r="Z349" s="857"/>
      <c r="AA349" s="857"/>
      <c r="AB349" s="857"/>
      <c r="AC349" s="857"/>
      <c r="AD349" s="857"/>
      <c r="AE349" s="857"/>
      <c r="AF349" s="857"/>
      <c r="AG349" s="857"/>
      <c r="AH349" s="857"/>
      <c r="AI349" s="857"/>
    </row>
    <row r="350" spans="2:35" s="887" customFormat="1" ht="18" hidden="1" customHeight="1" x14ac:dyDescent="0.25">
      <c r="B350" s="873" t="s">
        <v>1301</v>
      </c>
      <c r="C350" s="876">
        <v>31300</v>
      </c>
      <c r="E350" s="856"/>
      <c r="F350" s="857"/>
      <c r="G350" s="857"/>
      <c r="H350" s="857"/>
      <c r="I350" s="857"/>
      <c r="J350" s="857"/>
      <c r="K350" s="857"/>
      <c r="L350" s="857"/>
      <c r="M350" s="857"/>
      <c r="N350" s="857"/>
      <c r="O350" s="857"/>
      <c r="P350" s="857"/>
      <c r="Q350" s="857"/>
      <c r="R350" s="857"/>
      <c r="S350" s="857"/>
      <c r="T350" s="857"/>
      <c r="U350" s="857"/>
      <c r="V350" s="857"/>
      <c r="W350" s="857"/>
      <c r="X350" s="857"/>
      <c r="Y350" s="857"/>
      <c r="Z350" s="857"/>
      <c r="AA350" s="857"/>
      <c r="AB350" s="857"/>
      <c r="AC350" s="857"/>
      <c r="AD350" s="857"/>
      <c r="AE350" s="857"/>
      <c r="AF350" s="857"/>
      <c r="AG350" s="857"/>
      <c r="AH350" s="857"/>
      <c r="AI350" s="857"/>
    </row>
    <row r="351" spans="2:35" s="887" customFormat="1" ht="18" hidden="1" customHeight="1" x14ac:dyDescent="0.25">
      <c r="B351" s="873" t="s">
        <v>1305</v>
      </c>
      <c r="C351" s="876">
        <v>31405</v>
      </c>
      <c r="E351" s="856"/>
      <c r="F351" s="857"/>
      <c r="G351" s="857"/>
      <c r="H351" s="857"/>
      <c r="I351" s="857"/>
      <c r="J351" s="857"/>
      <c r="K351" s="857"/>
      <c r="L351" s="857"/>
      <c r="M351" s="857"/>
      <c r="N351" s="857"/>
      <c r="O351" s="857"/>
      <c r="P351" s="857"/>
      <c r="Q351" s="857"/>
      <c r="R351" s="857"/>
      <c r="S351" s="857"/>
      <c r="T351" s="857"/>
      <c r="U351" s="857"/>
      <c r="V351" s="857"/>
      <c r="W351" s="857"/>
      <c r="X351" s="857"/>
      <c r="Y351" s="857"/>
      <c r="Z351" s="857"/>
      <c r="AA351" s="857"/>
      <c r="AB351" s="857"/>
      <c r="AC351" s="857"/>
      <c r="AD351" s="857"/>
      <c r="AE351" s="857"/>
      <c r="AF351" s="857"/>
      <c r="AG351" s="857"/>
      <c r="AH351" s="857"/>
      <c r="AI351" s="857"/>
    </row>
    <row r="352" spans="2:35" s="887" customFormat="1" ht="18" hidden="1" customHeight="1" x14ac:dyDescent="0.25">
      <c r="B352" s="873" t="s">
        <v>1304</v>
      </c>
      <c r="C352" s="876">
        <v>31400</v>
      </c>
      <c r="E352" s="856"/>
      <c r="F352" s="857"/>
      <c r="G352" s="857"/>
      <c r="H352" s="857"/>
      <c r="I352" s="857"/>
      <c r="J352" s="857"/>
      <c r="K352" s="857"/>
      <c r="L352" s="857"/>
      <c r="M352" s="857"/>
      <c r="N352" s="857"/>
      <c r="O352" s="857"/>
      <c r="P352" s="857"/>
      <c r="Q352" s="857"/>
      <c r="R352" s="857"/>
      <c r="S352" s="857"/>
      <c r="T352" s="857"/>
      <c r="U352" s="857"/>
      <c r="V352" s="857"/>
      <c r="W352" s="857"/>
      <c r="X352" s="857"/>
      <c r="Y352" s="857"/>
      <c r="Z352" s="857"/>
      <c r="AA352" s="857"/>
      <c r="AB352" s="857"/>
      <c r="AC352" s="857"/>
      <c r="AD352" s="857"/>
      <c r="AE352" s="857"/>
      <c r="AF352" s="857"/>
      <c r="AG352" s="857"/>
      <c r="AH352" s="857"/>
      <c r="AI352" s="857"/>
    </row>
    <row r="353" spans="2:35" s="887" customFormat="1" ht="18" hidden="1" customHeight="1" x14ac:dyDescent="0.25">
      <c r="B353" s="873" t="s">
        <v>1306</v>
      </c>
      <c r="C353" s="876">
        <v>31500</v>
      </c>
      <c r="E353" s="856"/>
      <c r="F353" s="857"/>
      <c r="G353" s="857"/>
      <c r="H353" s="857"/>
      <c r="I353" s="857"/>
      <c r="J353" s="857"/>
      <c r="K353" s="857"/>
      <c r="L353" s="857"/>
      <c r="M353" s="857"/>
      <c r="N353" s="857"/>
      <c r="O353" s="857"/>
      <c r="P353" s="857"/>
      <c r="Q353" s="857"/>
      <c r="R353" s="857"/>
      <c r="S353" s="857"/>
      <c r="T353" s="857"/>
      <c r="U353" s="857"/>
      <c r="V353" s="857"/>
      <c r="W353" s="857"/>
      <c r="X353" s="857"/>
      <c r="Y353" s="857"/>
      <c r="Z353" s="857"/>
      <c r="AA353" s="857"/>
      <c r="AB353" s="857"/>
      <c r="AC353" s="857"/>
      <c r="AD353" s="857"/>
      <c r="AE353" s="857"/>
      <c r="AF353" s="857"/>
      <c r="AG353" s="857"/>
      <c r="AH353" s="857"/>
      <c r="AI353" s="857"/>
    </row>
    <row r="354" spans="2:35" s="887" customFormat="1" ht="18" hidden="1" customHeight="1" x14ac:dyDescent="0.25">
      <c r="B354" s="873" t="s">
        <v>1424</v>
      </c>
      <c r="C354" s="876">
        <v>36501</v>
      </c>
      <c r="E354" s="856"/>
      <c r="F354" s="857"/>
      <c r="G354" s="857"/>
      <c r="H354" s="857"/>
      <c r="I354" s="857"/>
      <c r="J354" s="857"/>
      <c r="K354" s="857"/>
      <c r="L354" s="857"/>
      <c r="M354" s="857"/>
      <c r="N354" s="857"/>
      <c r="O354" s="857"/>
      <c r="P354" s="857"/>
      <c r="Q354" s="857"/>
      <c r="R354" s="857"/>
      <c r="S354" s="857"/>
      <c r="T354" s="857"/>
      <c r="U354" s="857"/>
      <c r="V354" s="857"/>
      <c r="W354" s="857"/>
      <c r="X354" s="857"/>
      <c r="Y354" s="857"/>
      <c r="Z354" s="857"/>
      <c r="AA354" s="857"/>
      <c r="AB354" s="857"/>
      <c r="AC354" s="857"/>
      <c r="AD354" s="857"/>
      <c r="AE354" s="857"/>
      <c r="AF354" s="857"/>
      <c r="AG354" s="857"/>
      <c r="AH354" s="857"/>
      <c r="AI354" s="857"/>
    </row>
    <row r="355" spans="2:35" s="887" customFormat="1" ht="17.25" hidden="1" customHeight="1" x14ac:dyDescent="0.25">
      <c r="B355" s="873" t="s">
        <v>1426</v>
      </c>
      <c r="C355" s="876">
        <v>36505</v>
      </c>
      <c r="E355" s="856"/>
      <c r="F355" s="857"/>
      <c r="G355" s="857"/>
      <c r="H355" s="857"/>
      <c r="I355" s="857"/>
      <c r="J355" s="857"/>
      <c r="K355" s="857"/>
      <c r="L355" s="857"/>
      <c r="M355" s="857"/>
      <c r="N355" s="857"/>
      <c r="O355" s="857"/>
      <c r="P355" s="857"/>
      <c r="Q355" s="857"/>
      <c r="R355" s="857"/>
      <c r="S355" s="857"/>
      <c r="T355" s="857"/>
      <c r="U355" s="857"/>
      <c r="V355" s="857"/>
      <c r="W355" s="857"/>
      <c r="X355" s="857"/>
      <c r="Y355" s="857"/>
      <c r="Z355" s="857"/>
      <c r="AA355" s="857"/>
      <c r="AB355" s="857"/>
      <c r="AC355" s="857"/>
      <c r="AD355" s="857"/>
      <c r="AE355" s="857"/>
      <c r="AF355" s="857"/>
      <c r="AG355" s="857"/>
      <c r="AH355" s="857"/>
      <c r="AI355" s="857"/>
    </row>
    <row r="356" spans="2:35" s="887" customFormat="1" ht="18" hidden="1" customHeight="1" x14ac:dyDescent="0.25">
      <c r="B356" s="873" t="s">
        <v>1302</v>
      </c>
      <c r="C356" s="876">
        <v>31301</v>
      </c>
      <c r="E356" s="856"/>
      <c r="F356" s="857"/>
      <c r="G356" s="857"/>
      <c r="H356" s="857"/>
      <c r="I356" s="857"/>
      <c r="J356" s="857"/>
      <c r="K356" s="857"/>
      <c r="L356" s="857"/>
      <c r="M356" s="857"/>
      <c r="N356" s="857"/>
      <c r="O356" s="857"/>
      <c r="P356" s="857"/>
      <c r="Q356" s="857"/>
      <c r="R356" s="857"/>
      <c r="S356" s="857"/>
      <c r="T356" s="857"/>
      <c r="U356" s="857"/>
      <c r="V356" s="857"/>
      <c r="W356" s="857"/>
      <c r="X356" s="857"/>
      <c r="Y356" s="857"/>
      <c r="Z356" s="857"/>
      <c r="AA356" s="857"/>
      <c r="AB356" s="857"/>
      <c r="AC356" s="857"/>
      <c r="AD356" s="857"/>
      <c r="AE356" s="857"/>
      <c r="AF356" s="857"/>
      <c r="AG356" s="857"/>
      <c r="AH356" s="857"/>
      <c r="AI356" s="857"/>
    </row>
    <row r="357" spans="2:35" s="887" customFormat="1" ht="18" hidden="1" customHeight="1" x14ac:dyDescent="0.25">
      <c r="B357" s="873" t="s">
        <v>1308</v>
      </c>
      <c r="C357" s="876">
        <v>31605</v>
      </c>
      <c r="E357" s="856"/>
      <c r="F357" s="857"/>
      <c r="G357" s="857"/>
      <c r="H357" s="857"/>
      <c r="I357" s="857"/>
      <c r="J357" s="857"/>
      <c r="K357" s="857"/>
      <c r="L357" s="857"/>
      <c r="M357" s="857"/>
      <c r="N357" s="857"/>
      <c r="O357" s="857"/>
      <c r="P357" s="857"/>
      <c r="Q357" s="857"/>
      <c r="R357" s="857"/>
      <c r="S357" s="857"/>
      <c r="T357" s="857"/>
      <c r="U357" s="857"/>
      <c r="V357" s="857"/>
      <c r="W357" s="857"/>
      <c r="X357" s="857"/>
      <c r="Y357" s="857"/>
      <c r="Z357" s="857"/>
      <c r="AA357" s="857"/>
      <c r="AB357" s="857"/>
      <c r="AC357" s="857"/>
      <c r="AD357" s="857"/>
      <c r="AE357" s="857"/>
      <c r="AF357" s="857"/>
      <c r="AG357" s="857"/>
      <c r="AH357" s="857"/>
      <c r="AI357" s="857"/>
    </row>
    <row r="358" spans="2:35" s="887" customFormat="1" ht="18" hidden="1" customHeight="1" x14ac:dyDescent="0.25">
      <c r="B358" s="873" t="s">
        <v>1307</v>
      </c>
      <c r="C358" s="876">
        <v>31600</v>
      </c>
      <c r="E358" s="856"/>
      <c r="F358" s="857"/>
      <c r="G358" s="857"/>
      <c r="H358" s="857"/>
      <c r="I358" s="857"/>
      <c r="J358" s="857"/>
      <c r="K358" s="857"/>
      <c r="L358" s="857"/>
      <c r="M358" s="857"/>
      <c r="N358" s="857"/>
      <c r="O358" s="857"/>
      <c r="P358" s="857"/>
      <c r="Q358" s="857"/>
      <c r="R358" s="857"/>
      <c r="S358" s="857"/>
      <c r="T358" s="857"/>
      <c r="U358" s="857"/>
      <c r="V358" s="857"/>
      <c r="W358" s="857"/>
      <c r="X358" s="857"/>
      <c r="Y358" s="857"/>
      <c r="Z358" s="857"/>
      <c r="AA358" s="857"/>
      <c r="AB358" s="857"/>
      <c r="AC358" s="857"/>
      <c r="AD358" s="857"/>
      <c r="AE358" s="857"/>
      <c r="AF358" s="857"/>
      <c r="AG358" s="857"/>
      <c r="AH358" s="857"/>
      <c r="AI358" s="857"/>
    </row>
    <row r="359" spans="2:35" s="887" customFormat="1" ht="18" hidden="1" customHeight="1" x14ac:dyDescent="0.25">
      <c r="B359" s="873" t="s">
        <v>1492</v>
      </c>
      <c r="C359" s="876">
        <v>39209</v>
      </c>
      <c r="E359" s="856"/>
      <c r="F359" s="857"/>
      <c r="G359" s="857"/>
      <c r="H359" s="857"/>
      <c r="I359" s="857"/>
      <c r="J359" s="857"/>
      <c r="K359" s="857"/>
      <c r="L359" s="857"/>
      <c r="M359" s="857"/>
      <c r="N359" s="857"/>
      <c r="O359" s="857"/>
      <c r="P359" s="857"/>
      <c r="Q359" s="857"/>
      <c r="R359" s="857"/>
      <c r="S359" s="857"/>
      <c r="T359" s="857"/>
      <c r="U359" s="857"/>
      <c r="V359" s="857"/>
      <c r="W359" s="857"/>
      <c r="X359" s="857"/>
      <c r="Y359" s="857"/>
      <c r="Z359" s="857"/>
      <c r="AA359" s="857"/>
      <c r="AB359" s="857"/>
      <c r="AC359" s="857"/>
      <c r="AD359" s="857"/>
      <c r="AE359" s="857"/>
      <c r="AF359" s="857"/>
      <c r="AG359" s="857"/>
      <c r="AH359" s="857"/>
      <c r="AI359" s="857"/>
    </row>
    <row r="360" spans="2:35" s="887" customFormat="1" ht="18" hidden="1" customHeight="1" x14ac:dyDescent="0.25">
      <c r="B360" s="873" t="s">
        <v>1309</v>
      </c>
      <c r="C360" s="876">
        <v>31700</v>
      </c>
      <c r="E360" s="856"/>
      <c r="F360" s="857"/>
      <c r="G360" s="857"/>
      <c r="H360" s="857"/>
      <c r="I360" s="857"/>
      <c r="J360" s="857"/>
      <c r="K360" s="857"/>
      <c r="L360" s="857"/>
      <c r="M360" s="857"/>
      <c r="N360" s="857"/>
      <c r="O360" s="857"/>
      <c r="P360" s="857"/>
      <c r="Q360" s="857"/>
      <c r="R360" s="857"/>
      <c r="S360" s="857"/>
      <c r="T360" s="857"/>
      <c r="U360" s="857"/>
      <c r="V360" s="857"/>
      <c r="W360" s="857"/>
      <c r="X360" s="857"/>
      <c r="Y360" s="857"/>
      <c r="Z360" s="857"/>
      <c r="AA360" s="857"/>
      <c r="AB360" s="857"/>
      <c r="AC360" s="857"/>
      <c r="AD360" s="857"/>
      <c r="AE360" s="857"/>
      <c r="AF360" s="857"/>
      <c r="AG360" s="857"/>
      <c r="AH360" s="857"/>
      <c r="AI360" s="857"/>
    </row>
    <row r="361" spans="2:35" s="887" customFormat="1" ht="18" hidden="1" customHeight="1" x14ac:dyDescent="0.25">
      <c r="B361" s="873" t="s">
        <v>1310</v>
      </c>
      <c r="C361" s="876">
        <v>31800</v>
      </c>
      <c r="E361" s="856"/>
      <c r="F361" s="857"/>
      <c r="G361" s="857"/>
      <c r="H361" s="857"/>
      <c r="I361" s="857"/>
      <c r="J361" s="857"/>
      <c r="K361" s="857"/>
      <c r="L361" s="857"/>
      <c r="M361" s="857"/>
      <c r="N361" s="857"/>
      <c r="O361" s="857"/>
      <c r="P361" s="857"/>
      <c r="Q361" s="857"/>
      <c r="R361" s="857"/>
      <c r="S361" s="857"/>
      <c r="T361" s="857"/>
      <c r="U361" s="857"/>
      <c r="V361" s="857"/>
      <c r="W361" s="857"/>
      <c r="X361" s="857"/>
      <c r="Y361" s="857"/>
      <c r="Z361" s="857"/>
      <c r="AA361" s="857"/>
      <c r="AB361" s="857"/>
      <c r="AC361" s="857"/>
      <c r="AD361" s="857"/>
      <c r="AE361" s="857"/>
      <c r="AF361" s="857"/>
      <c r="AG361" s="857"/>
      <c r="AH361" s="857"/>
      <c r="AI361" s="857"/>
    </row>
    <row r="362" spans="2:35" s="887" customFormat="1" ht="18" hidden="1" customHeight="1" x14ac:dyDescent="0.25">
      <c r="B362" s="873" t="s">
        <v>1311</v>
      </c>
      <c r="C362" s="876">
        <v>31805</v>
      </c>
      <c r="E362" s="856"/>
      <c r="F362" s="857"/>
      <c r="G362" s="857"/>
      <c r="H362" s="857"/>
      <c r="I362" s="857"/>
      <c r="J362" s="857"/>
      <c r="K362" s="857"/>
      <c r="L362" s="857"/>
      <c r="M362" s="857"/>
      <c r="N362" s="857"/>
      <c r="O362" s="857"/>
      <c r="P362" s="857"/>
      <c r="Q362" s="857"/>
      <c r="R362" s="857"/>
      <c r="S362" s="857"/>
      <c r="T362" s="857"/>
      <c r="U362" s="857"/>
      <c r="V362" s="857"/>
      <c r="W362" s="857"/>
      <c r="X362" s="857"/>
      <c r="Y362" s="857"/>
      <c r="Z362" s="857"/>
      <c r="AA362" s="857"/>
      <c r="AB362" s="857"/>
      <c r="AC362" s="857"/>
      <c r="AD362" s="857"/>
      <c r="AE362" s="857"/>
      <c r="AF362" s="857"/>
      <c r="AG362" s="857"/>
      <c r="AH362" s="857"/>
      <c r="AI362" s="857"/>
    </row>
    <row r="363" spans="2:35" s="887" customFormat="1" ht="18" hidden="1" customHeight="1" x14ac:dyDescent="0.25">
      <c r="B363" s="873" t="s">
        <v>1390</v>
      </c>
      <c r="C363" s="876">
        <v>35305</v>
      </c>
      <c r="E363" s="856"/>
      <c r="F363" s="857"/>
      <c r="G363" s="857"/>
      <c r="H363" s="857"/>
      <c r="I363" s="857"/>
      <c r="J363" s="857"/>
      <c r="K363" s="857"/>
      <c r="L363" s="857"/>
      <c r="M363" s="857"/>
      <c r="N363" s="857"/>
      <c r="O363" s="857"/>
      <c r="P363" s="857"/>
      <c r="Q363" s="857"/>
      <c r="R363" s="857"/>
      <c r="S363" s="857"/>
      <c r="T363" s="857"/>
      <c r="U363" s="857"/>
      <c r="V363" s="857"/>
      <c r="W363" s="857"/>
      <c r="X363" s="857"/>
      <c r="Y363" s="857"/>
      <c r="Z363" s="857"/>
      <c r="AA363" s="857"/>
      <c r="AB363" s="857"/>
      <c r="AC363" s="857"/>
      <c r="AD363" s="857"/>
      <c r="AE363" s="857"/>
      <c r="AF363" s="857"/>
      <c r="AG363" s="857"/>
      <c r="AH363" s="857"/>
      <c r="AI363" s="857"/>
    </row>
    <row r="364" spans="2:35" s="887" customFormat="1" ht="18" hidden="1" customHeight="1" x14ac:dyDescent="0.25">
      <c r="B364" s="873" t="s">
        <v>1341</v>
      </c>
      <c r="C364" s="876">
        <v>33202</v>
      </c>
      <c r="E364" s="856"/>
      <c r="F364" s="857"/>
      <c r="G364" s="857"/>
      <c r="H364" s="857"/>
      <c r="I364" s="857"/>
      <c r="J364" s="857"/>
      <c r="K364" s="857"/>
      <c r="L364" s="857"/>
      <c r="M364" s="857"/>
      <c r="N364" s="857"/>
      <c r="O364" s="857"/>
      <c r="P364" s="857"/>
      <c r="Q364" s="857"/>
      <c r="R364" s="857"/>
      <c r="S364" s="857"/>
      <c r="T364" s="857"/>
      <c r="U364" s="857"/>
      <c r="V364" s="857"/>
      <c r="W364" s="857"/>
      <c r="X364" s="857"/>
      <c r="Y364" s="857"/>
      <c r="Z364" s="857"/>
      <c r="AA364" s="857"/>
      <c r="AB364" s="857"/>
      <c r="AC364" s="857"/>
      <c r="AD364" s="857"/>
      <c r="AE364" s="857"/>
      <c r="AF364" s="857"/>
      <c r="AG364" s="857"/>
      <c r="AH364" s="857"/>
      <c r="AI364" s="857"/>
    </row>
    <row r="365" spans="2:35" s="887" customFormat="1" ht="18" hidden="1" customHeight="1" x14ac:dyDescent="0.25">
      <c r="B365" s="873" t="s">
        <v>1406</v>
      </c>
      <c r="C365" s="876">
        <v>36005</v>
      </c>
      <c r="E365" s="856"/>
      <c r="F365" s="857"/>
      <c r="G365" s="857"/>
      <c r="H365" s="857"/>
      <c r="I365" s="857"/>
      <c r="J365" s="857"/>
      <c r="K365" s="857"/>
      <c r="L365" s="857"/>
      <c r="M365" s="857"/>
      <c r="N365" s="857"/>
      <c r="O365" s="857"/>
      <c r="P365" s="857"/>
      <c r="Q365" s="857"/>
      <c r="R365" s="857"/>
      <c r="S365" s="857"/>
      <c r="T365" s="857"/>
      <c r="U365" s="857"/>
      <c r="V365" s="857"/>
      <c r="W365" s="857"/>
      <c r="X365" s="857"/>
      <c r="Y365" s="857"/>
      <c r="Z365" s="857"/>
      <c r="AA365" s="857"/>
      <c r="AB365" s="857"/>
      <c r="AC365" s="857"/>
      <c r="AD365" s="857"/>
      <c r="AE365" s="857"/>
      <c r="AF365" s="857"/>
      <c r="AG365" s="857"/>
      <c r="AH365" s="857"/>
      <c r="AI365" s="857"/>
    </row>
    <row r="366" spans="2:35" s="887" customFormat="1" ht="18" hidden="1" customHeight="1" x14ac:dyDescent="0.25">
      <c r="B366" s="873" t="s">
        <v>1434</v>
      </c>
      <c r="C366" s="876">
        <v>36810</v>
      </c>
      <c r="E366" s="856"/>
      <c r="F366" s="857"/>
      <c r="G366" s="857"/>
      <c r="H366" s="857"/>
      <c r="I366" s="857"/>
      <c r="J366" s="857"/>
      <c r="K366" s="857"/>
      <c r="L366" s="857"/>
      <c r="M366" s="857"/>
      <c r="N366" s="857"/>
      <c r="O366" s="857"/>
      <c r="P366" s="857"/>
      <c r="Q366" s="857"/>
      <c r="R366" s="857"/>
      <c r="S366" s="857"/>
      <c r="T366" s="857"/>
      <c r="U366" s="857"/>
      <c r="V366" s="857"/>
      <c r="W366" s="857"/>
      <c r="X366" s="857"/>
      <c r="Y366" s="857"/>
      <c r="Z366" s="857"/>
      <c r="AA366" s="857"/>
      <c r="AB366" s="857"/>
      <c r="AC366" s="857"/>
      <c r="AD366" s="857"/>
      <c r="AE366" s="857"/>
      <c r="AF366" s="857"/>
      <c r="AG366" s="857"/>
      <c r="AH366" s="857"/>
      <c r="AI366" s="857"/>
    </row>
    <row r="367" spans="2:35" s="887" customFormat="1" ht="18" hidden="1" customHeight="1" x14ac:dyDescent="0.25">
      <c r="B367" s="873" t="s">
        <v>1410</v>
      </c>
      <c r="C367" s="876">
        <v>36009</v>
      </c>
      <c r="E367" s="856"/>
      <c r="F367" s="857"/>
      <c r="G367" s="857"/>
      <c r="H367" s="857"/>
      <c r="I367" s="857"/>
      <c r="J367" s="857"/>
      <c r="K367" s="857"/>
      <c r="L367" s="857"/>
      <c r="M367" s="857"/>
      <c r="N367" s="857"/>
      <c r="O367" s="857"/>
      <c r="P367" s="857"/>
      <c r="Q367" s="857"/>
      <c r="R367" s="857"/>
      <c r="S367" s="857"/>
      <c r="T367" s="857"/>
      <c r="U367" s="857"/>
      <c r="V367" s="857"/>
      <c r="W367" s="857"/>
      <c r="X367" s="857"/>
      <c r="Y367" s="857"/>
      <c r="Z367" s="857"/>
      <c r="AA367" s="857"/>
      <c r="AB367" s="857"/>
      <c r="AC367" s="857"/>
      <c r="AD367" s="857"/>
      <c r="AE367" s="857"/>
      <c r="AF367" s="857"/>
      <c r="AG367" s="857"/>
      <c r="AH367" s="857"/>
      <c r="AI367" s="857"/>
    </row>
    <row r="368" spans="2:35" s="887" customFormat="1" ht="18" hidden="1" customHeight="1" x14ac:dyDescent="0.25">
      <c r="B368" s="873" t="s">
        <v>1401</v>
      </c>
      <c r="C368" s="876">
        <v>36000</v>
      </c>
      <c r="E368" s="856"/>
      <c r="F368" s="857"/>
      <c r="G368" s="857"/>
      <c r="H368" s="857"/>
      <c r="I368" s="857"/>
      <c r="J368" s="857"/>
      <c r="K368" s="857"/>
      <c r="L368" s="857"/>
      <c r="M368" s="857"/>
      <c r="N368" s="857"/>
      <c r="O368" s="857"/>
      <c r="P368" s="857"/>
      <c r="Q368" s="857"/>
      <c r="R368" s="857"/>
      <c r="S368" s="857"/>
      <c r="T368" s="857"/>
      <c r="U368" s="857"/>
      <c r="V368" s="857"/>
      <c r="W368" s="857"/>
      <c r="X368" s="857"/>
      <c r="Y368" s="857"/>
      <c r="Z368" s="857"/>
      <c r="AA368" s="857"/>
      <c r="AB368" s="857"/>
      <c r="AC368" s="857"/>
      <c r="AD368" s="857"/>
      <c r="AE368" s="857"/>
      <c r="AF368" s="857"/>
      <c r="AG368" s="857"/>
      <c r="AH368" s="857"/>
      <c r="AI368" s="857"/>
    </row>
    <row r="369" spans="2:35" s="887" customFormat="1" ht="18" hidden="1" customHeight="1" x14ac:dyDescent="0.25">
      <c r="B369" s="873" t="s">
        <v>1314</v>
      </c>
      <c r="C369" s="876">
        <v>31900</v>
      </c>
      <c r="E369" s="856"/>
      <c r="F369" s="857"/>
      <c r="G369" s="857"/>
      <c r="H369" s="857"/>
      <c r="I369" s="857"/>
      <c r="J369" s="857"/>
      <c r="K369" s="857"/>
      <c r="L369" s="857"/>
      <c r="M369" s="857"/>
      <c r="N369" s="857"/>
      <c r="O369" s="857"/>
      <c r="P369" s="857"/>
      <c r="Q369" s="857"/>
      <c r="R369" s="857"/>
      <c r="S369" s="857"/>
      <c r="T369" s="857"/>
      <c r="U369" s="857"/>
      <c r="V369" s="857"/>
      <c r="W369" s="857"/>
      <c r="X369" s="857"/>
      <c r="Y369" s="857"/>
      <c r="Z369" s="857"/>
      <c r="AA369" s="857"/>
      <c r="AB369" s="857"/>
      <c r="AC369" s="857"/>
      <c r="AD369" s="857"/>
      <c r="AE369" s="857"/>
      <c r="AF369" s="857"/>
      <c r="AG369" s="857"/>
      <c r="AH369" s="857"/>
      <c r="AI369" s="857"/>
    </row>
    <row r="370" spans="2:35" s="887" customFormat="1" ht="18" hidden="1" customHeight="1" x14ac:dyDescent="0.25">
      <c r="B370" s="873" t="s">
        <v>1315</v>
      </c>
      <c r="C370" s="876">
        <v>32000</v>
      </c>
      <c r="E370" s="856"/>
      <c r="F370" s="857"/>
      <c r="G370" s="857"/>
      <c r="H370" s="857"/>
      <c r="I370" s="857"/>
      <c r="J370" s="857"/>
      <c r="K370" s="857"/>
      <c r="L370" s="857"/>
      <c r="M370" s="857"/>
      <c r="N370" s="857"/>
      <c r="O370" s="857"/>
      <c r="P370" s="857"/>
      <c r="Q370" s="857"/>
      <c r="R370" s="857"/>
      <c r="S370" s="857"/>
      <c r="T370" s="857"/>
      <c r="U370" s="857"/>
      <c r="V370" s="857"/>
      <c r="W370" s="857"/>
      <c r="X370" s="857"/>
      <c r="Y370" s="857"/>
      <c r="Z370" s="857"/>
      <c r="AA370" s="857"/>
      <c r="AB370" s="857"/>
      <c r="AC370" s="857"/>
      <c r="AD370" s="857"/>
      <c r="AE370" s="857"/>
      <c r="AF370" s="857"/>
      <c r="AG370" s="857"/>
      <c r="AH370" s="857"/>
      <c r="AI370" s="857"/>
    </row>
    <row r="371" spans="2:35" s="887" customFormat="1" ht="18" hidden="1" customHeight="1" x14ac:dyDescent="0.25">
      <c r="B371" s="873" t="s">
        <v>1392</v>
      </c>
      <c r="C371" s="876">
        <v>35401</v>
      </c>
      <c r="E371" s="856"/>
      <c r="F371" s="857"/>
      <c r="G371" s="857"/>
      <c r="H371" s="857"/>
      <c r="I371" s="857"/>
      <c r="J371" s="857"/>
      <c r="K371" s="857"/>
      <c r="L371" s="857"/>
      <c r="M371" s="857"/>
      <c r="N371" s="857"/>
      <c r="O371" s="857"/>
      <c r="P371" s="857"/>
      <c r="Q371" s="857"/>
      <c r="R371" s="857"/>
      <c r="S371" s="857"/>
      <c r="T371" s="857"/>
      <c r="U371" s="857"/>
      <c r="V371" s="857"/>
      <c r="W371" s="857"/>
      <c r="X371" s="857"/>
      <c r="Y371" s="857"/>
      <c r="Z371" s="857"/>
      <c r="AA371" s="857"/>
      <c r="AB371" s="857"/>
      <c r="AC371" s="857"/>
      <c r="AD371" s="857"/>
      <c r="AE371" s="857"/>
      <c r="AF371" s="857"/>
      <c r="AG371" s="857"/>
      <c r="AH371" s="857"/>
      <c r="AI371" s="857"/>
    </row>
    <row r="372" spans="2:35" s="887" customFormat="1" ht="18" hidden="1" customHeight="1" x14ac:dyDescent="0.25">
      <c r="B372" s="873" t="s">
        <v>1318</v>
      </c>
      <c r="C372" s="876">
        <v>32200</v>
      </c>
      <c r="E372" s="856"/>
      <c r="F372" s="857"/>
      <c r="G372" s="857"/>
      <c r="H372" s="857"/>
      <c r="I372" s="857"/>
      <c r="J372" s="857"/>
      <c r="K372" s="857"/>
      <c r="L372" s="857"/>
      <c r="M372" s="857"/>
      <c r="N372" s="857"/>
      <c r="O372" s="857"/>
      <c r="P372" s="857"/>
      <c r="Q372" s="857"/>
      <c r="R372" s="857"/>
      <c r="S372" s="857"/>
      <c r="T372" s="857"/>
      <c r="U372" s="857"/>
      <c r="V372" s="857"/>
      <c r="W372" s="857"/>
      <c r="X372" s="857"/>
      <c r="Y372" s="857"/>
      <c r="Z372" s="857"/>
      <c r="AA372" s="857"/>
      <c r="AB372" s="857"/>
      <c r="AC372" s="857"/>
      <c r="AD372" s="857"/>
      <c r="AE372" s="857"/>
      <c r="AF372" s="857"/>
      <c r="AG372" s="857"/>
      <c r="AH372" s="857"/>
      <c r="AI372" s="857"/>
    </row>
    <row r="373" spans="2:35" s="887" customFormat="1" ht="18" hidden="1" customHeight="1" x14ac:dyDescent="0.25">
      <c r="B373" s="873" t="s">
        <v>1319</v>
      </c>
      <c r="C373" s="876">
        <v>32300</v>
      </c>
      <c r="E373" s="856"/>
      <c r="F373" s="857"/>
      <c r="G373" s="857"/>
      <c r="H373" s="857"/>
      <c r="I373" s="857"/>
      <c r="J373" s="857"/>
      <c r="K373" s="857"/>
      <c r="L373" s="857"/>
      <c r="M373" s="857"/>
      <c r="N373" s="857"/>
      <c r="O373" s="857"/>
      <c r="P373" s="857"/>
      <c r="Q373" s="857"/>
      <c r="R373" s="857"/>
      <c r="S373" s="857"/>
      <c r="T373" s="857"/>
      <c r="U373" s="857"/>
      <c r="V373" s="857"/>
      <c r="W373" s="857"/>
      <c r="X373" s="857"/>
      <c r="Y373" s="857"/>
      <c r="Z373" s="857"/>
      <c r="AA373" s="857"/>
      <c r="AB373" s="857"/>
      <c r="AC373" s="857"/>
      <c r="AD373" s="857"/>
      <c r="AE373" s="857"/>
      <c r="AF373" s="857"/>
      <c r="AG373" s="857"/>
      <c r="AH373" s="857"/>
      <c r="AI373" s="857"/>
    </row>
    <row r="374" spans="2:35" s="887" customFormat="1" ht="18" hidden="1" customHeight="1" x14ac:dyDescent="0.25">
      <c r="B374" s="873" t="s">
        <v>1320</v>
      </c>
      <c r="C374" s="876">
        <v>32305</v>
      </c>
      <c r="E374" s="856"/>
      <c r="F374" s="857"/>
      <c r="G374" s="857"/>
      <c r="H374" s="857"/>
      <c r="I374" s="857"/>
      <c r="J374" s="857"/>
      <c r="K374" s="857"/>
      <c r="L374" s="857"/>
      <c r="M374" s="857"/>
      <c r="N374" s="857"/>
      <c r="O374" s="857"/>
      <c r="P374" s="857"/>
      <c r="Q374" s="857"/>
      <c r="R374" s="857"/>
      <c r="S374" s="857"/>
      <c r="T374" s="857"/>
      <c r="U374" s="857"/>
      <c r="V374" s="857"/>
      <c r="W374" s="857"/>
      <c r="X374" s="857"/>
      <c r="Y374" s="857"/>
      <c r="Z374" s="857"/>
      <c r="AA374" s="857"/>
      <c r="AB374" s="857"/>
      <c r="AC374" s="857"/>
      <c r="AD374" s="857"/>
      <c r="AE374" s="857"/>
      <c r="AF374" s="857"/>
      <c r="AG374" s="857"/>
      <c r="AH374" s="857"/>
      <c r="AI374" s="857"/>
    </row>
    <row r="375" spans="2:35" s="887" customFormat="1" ht="18" hidden="1" customHeight="1" x14ac:dyDescent="0.25">
      <c r="B375" s="873" t="s">
        <v>1466</v>
      </c>
      <c r="C375" s="876">
        <v>38210</v>
      </c>
      <c r="E375" s="856"/>
      <c r="F375" s="857"/>
      <c r="G375" s="857"/>
      <c r="H375" s="857"/>
      <c r="I375" s="857"/>
      <c r="J375" s="857"/>
      <c r="K375" s="857"/>
      <c r="L375" s="857"/>
      <c r="M375" s="857"/>
      <c r="N375" s="857"/>
      <c r="O375" s="857"/>
      <c r="P375" s="857"/>
      <c r="Q375" s="857"/>
      <c r="R375" s="857"/>
      <c r="S375" s="857"/>
      <c r="T375" s="857"/>
      <c r="U375" s="857"/>
      <c r="V375" s="857"/>
      <c r="W375" s="857"/>
      <c r="X375" s="857"/>
      <c r="Y375" s="857"/>
      <c r="Z375" s="857"/>
      <c r="AA375" s="857"/>
      <c r="AB375" s="857"/>
      <c r="AC375" s="857"/>
      <c r="AD375" s="857"/>
      <c r="AE375" s="857"/>
      <c r="AF375" s="857"/>
      <c r="AG375" s="857"/>
      <c r="AH375" s="857"/>
      <c r="AI375" s="857"/>
    </row>
    <row r="376" spans="2:35" s="887" customFormat="1" ht="18" hidden="1" customHeight="1" x14ac:dyDescent="0.25">
      <c r="B376" s="873" t="s">
        <v>1276</v>
      </c>
      <c r="C376" s="876">
        <v>30102</v>
      </c>
      <c r="E376" s="856"/>
      <c r="F376" s="857"/>
      <c r="G376" s="857"/>
      <c r="H376" s="857"/>
      <c r="I376" s="857"/>
      <c r="J376" s="857"/>
      <c r="K376" s="857"/>
      <c r="L376" s="857"/>
      <c r="M376" s="857"/>
      <c r="N376" s="857"/>
      <c r="O376" s="857"/>
      <c r="P376" s="857"/>
      <c r="Q376" s="857"/>
      <c r="R376" s="857"/>
      <c r="S376" s="857"/>
      <c r="T376" s="857"/>
      <c r="U376" s="857"/>
      <c r="V376" s="857"/>
      <c r="W376" s="857"/>
      <c r="X376" s="857"/>
      <c r="Y376" s="857"/>
      <c r="Z376" s="857"/>
      <c r="AA376" s="857"/>
      <c r="AB376" s="857"/>
      <c r="AC376" s="857"/>
      <c r="AD376" s="857"/>
      <c r="AE376" s="857"/>
      <c r="AF376" s="857"/>
      <c r="AG376" s="857"/>
      <c r="AH376" s="857"/>
      <c r="AI376" s="857"/>
    </row>
    <row r="377" spans="2:35" s="887" customFormat="1" ht="18" hidden="1" customHeight="1" x14ac:dyDescent="0.25">
      <c r="B377" s="873" t="s">
        <v>1431</v>
      </c>
      <c r="C377" s="876">
        <v>36705</v>
      </c>
      <c r="E377" s="856"/>
      <c r="F377" s="857"/>
      <c r="G377" s="857"/>
      <c r="H377" s="857"/>
      <c r="I377" s="857"/>
      <c r="J377" s="857"/>
      <c r="K377" s="857"/>
      <c r="L377" s="857"/>
      <c r="M377" s="857"/>
      <c r="N377" s="857"/>
      <c r="O377" s="857"/>
      <c r="P377" s="857"/>
      <c r="Q377" s="857"/>
      <c r="R377" s="857"/>
      <c r="S377" s="857"/>
      <c r="T377" s="857"/>
      <c r="U377" s="857"/>
      <c r="V377" s="857"/>
      <c r="W377" s="857"/>
      <c r="X377" s="857"/>
      <c r="Y377" s="857"/>
      <c r="Z377" s="857"/>
      <c r="AA377" s="857"/>
      <c r="AB377" s="857"/>
      <c r="AC377" s="857"/>
      <c r="AD377" s="857"/>
      <c r="AE377" s="857"/>
      <c r="AF377" s="857"/>
      <c r="AG377" s="857"/>
      <c r="AH377" s="857"/>
      <c r="AI377" s="857"/>
    </row>
    <row r="378" spans="2:35" s="887" customFormat="1" ht="18" hidden="1" customHeight="1" x14ac:dyDescent="0.25">
      <c r="B378" s="873" t="s">
        <v>1439</v>
      </c>
      <c r="C378" s="876">
        <v>37005</v>
      </c>
      <c r="E378" s="856"/>
      <c r="F378" s="857"/>
      <c r="G378" s="857"/>
      <c r="H378" s="857"/>
      <c r="I378" s="857"/>
      <c r="J378" s="857"/>
      <c r="K378" s="857"/>
      <c r="L378" s="857"/>
      <c r="M378" s="857"/>
      <c r="N378" s="857"/>
      <c r="O378" s="857"/>
      <c r="P378" s="857"/>
      <c r="Q378" s="857"/>
      <c r="R378" s="857"/>
      <c r="S378" s="857"/>
      <c r="T378" s="857"/>
      <c r="U378" s="857"/>
      <c r="V378" s="857"/>
      <c r="W378" s="857"/>
      <c r="X378" s="857"/>
      <c r="Y378" s="857"/>
      <c r="Z378" s="857"/>
      <c r="AA378" s="857"/>
      <c r="AB378" s="857"/>
      <c r="AC378" s="857"/>
      <c r="AD378" s="857"/>
      <c r="AE378" s="857"/>
      <c r="AF378" s="857"/>
      <c r="AG378" s="857"/>
      <c r="AH378" s="857"/>
      <c r="AI378" s="857"/>
    </row>
    <row r="379" spans="2:35" s="887" customFormat="1" ht="18" hidden="1" customHeight="1" x14ac:dyDescent="0.25">
      <c r="B379" s="873" t="s">
        <v>1321</v>
      </c>
      <c r="C379" s="876">
        <v>32400</v>
      </c>
      <c r="E379" s="856"/>
      <c r="F379" s="857"/>
      <c r="G379" s="857"/>
      <c r="H379" s="857"/>
      <c r="I379" s="857"/>
      <c r="J379" s="857"/>
      <c r="K379" s="857"/>
      <c r="L379" s="857"/>
      <c r="M379" s="857"/>
      <c r="N379" s="857"/>
      <c r="O379" s="857"/>
      <c r="P379" s="857"/>
      <c r="Q379" s="857"/>
      <c r="R379" s="857"/>
      <c r="S379" s="857"/>
      <c r="T379" s="857"/>
      <c r="U379" s="857"/>
      <c r="V379" s="857"/>
      <c r="W379" s="857"/>
      <c r="X379" s="857"/>
      <c r="Y379" s="857"/>
      <c r="Z379" s="857"/>
      <c r="AA379" s="857"/>
      <c r="AB379" s="857"/>
      <c r="AC379" s="857"/>
      <c r="AD379" s="857"/>
      <c r="AE379" s="857"/>
      <c r="AF379" s="857"/>
      <c r="AG379" s="857"/>
      <c r="AH379" s="857"/>
      <c r="AI379" s="857"/>
    </row>
    <row r="380" spans="2:35" s="887" customFormat="1" ht="18" hidden="1" customHeight="1" x14ac:dyDescent="0.25">
      <c r="B380" s="873" t="s">
        <v>1402</v>
      </c>
      <c r="C380" s="876">
        <v>36001</v>
      </c>
      <c r="E380" s="856"/>
      <c r="F380" s="857"/>
      <c r="G380" s="857"/>
      <c r="H380" s="857"/>
      <c r="I380" s="857"/>
      <c r="J380" s="857"/>
      <c r="K380" s="857"/>
      <c r="L380" s="857"/>
      <c r="M380" s="857"/>
      <c r="N380" s="857"/>
      <c r="O380" s="857"/>
      <c r="P380" s="857"/>
      <c r="Q380" s="857"/>
      <c r="R380" s="857"/>
      <c r="S380" s="857"/>
      <c r="T380" s="857"/>
      <c r="U380" s="857"/>
      <c r="V380" s="857"/>
      <c r="W380" s="857"/>
      <c r="X380" s="857"/>
      <c r="Y380" s="857"/>
      <c r="Z380" s="857"/>
      <c r="AA380" s="857"/>
      <c r="AB380" s="857"/>
      <c r="AC380" s="857"/>
      <c r="AD380" s="857"/>
      <c r="AE380" s="857"/>
      <c r="AF380" s="857"/>
      <c r="AG380" s="857"/>
      <c r="AH380" s="857"/>
      <c r="AI380" s="857"/>
    </row>
    <row r="381" spans="2:35" s="887" customFormat="1" ht="18" hidden="1" customHeight="1" x14ac:dyDescent="0.25">
      <c r="B381" s="873" t="s">
        <v>1252</v>
      </c>
      <c r="C381" s="876">
        <v>19005</v>
      </c>
      <c r="E381" s="856"/>
      <c r="F381" s="857"/>
      <c r="G381" s="857"/>
      <c r="H381" s="857"/>
      <c r="I381" s="857"/>
      <c r="J381" s="857"/>
      <c r="K381" s="857"/>
      <c r="L381" s="857"/>
      <c r="M381" s="857"/>
      <c r="N381" s="857"/>
      <c r="O381" s="857"/>
      <c r="P381" s="857"/>
      <c r="Q381" s="857"/>
      <c r="R381" s="857"/>
      <c r="S381" s="857"/>
      <c r="T381" s="857"/>
      <c r="U381" s="857"/>
      <c r="V381" s="857"/>
      <c r="W381" s="857"/>
      <c r="X381" s="857"/>
      <c r="Y381" s="857"/>
      <c r="Z381" s="857"/>
      <c r="AA381" s="857"/>
      <c r="AB381" s="857"/>
      <c r="AC381" s="857"/>
      <c r="AD381" s="857"/>
      <c r="AE381" s="857"/>
      <c r="AF381" s="857"/>
      <c r="AG381" s="857"/>
      <c r="AH381" s="857"/>
      <c r="AI381" s="857"/>
    </row>
    <row r="382" spans="2:35" s="887" customFormat="1" ht="18" hidden="1" customHeight="1" x14ac:dyDescent="0.25">
      <c r="B382" s="873" t="s">
        <v>1404</v>
      </c>
      <c r="C382" s="876">
        <v>36003</v>
      </c>
      <c r="E382" s="856"/>
      <c r="F382" s="857"/>
      <c r="G382" s="857"/>
      <c r="H382" s="857"/>
      <c r="I382" s="857"/>
      <c r="J382" s="857"/>
      <c r="K382" s="857"/>
      <c r="L382" s="857"/>
      <c r="M382" s="857"/>
      <c r="N382" s="857"/>
      <c r="O382" s="857"/>
      <c r="P382" s="857"/>
      <c r="Q382" s="857"/>
      <c r="R382" s="857"/>
      <c r="S382" s="857"/>
      <c r="T382" s="857"/>
      <c r="U382" s="857"/>
      <c r="V382" s="857"/>
      <c r="W382" s="857"/>
      <c r="X382" s="857"/>
      <c r="Y382" s="857"/>
      <c r="Z382" s="857"/>
      <c r="AA382" s="857"/>
      <c r="AB382" s="857"/>
      <c r="AC382" s="857"/>
      <c r="AD382" s="857"/>
      <c r="AE382" s="857"/>
      <c r="AF382" s="857"/>
      <c r="AG382" s="857"/>
      <c r="AH382" s="857"/>
      <c r="AI382" s="857"/>
    </row>
    <row r="383" spans="2:35" s="887" customFormat="1" ht="18" hidden="1" customHeight="1" x14ac:dyDescent="0.25">
      <c r="B383" s="873" t="s">
        <v>1507</v>
      </c>
      <c r="C383" s="876">
        <v>40000</v>
      </c>
      <c r="E383" s="856"/>
      <c r="F383" s="857"/>
      <c r="G383" s="857"/>
      <c r="H383" s="857"/>
      <c r="I383" s="857"/>
      <c r="J383" s="857"/>
      <c r="K383" s="857"/>
      <c r="L383" s="857"/>
      <c r="M383" s="857"/>
      <c r="N383" s="857"/>
      <c r="O383" s="857"/>
      <c r="P383" s="857"/>
      <c r="Q383" s="857"/>
      <c r="R383" s="857"/>
      <c r="S383" s="857"/>
      <c r="T383" s="857"/>
      <c r="U383" s="857"/>
      <c r="V383" s="857"/>
      <c r="W383" s="857"/>
      <c r="X383" s="857"/>
      <c r="Y383" s="857"/>
      <c r="Z383" s="857"/>
      <c r="AA383" s="857"/>
      <c r="AB383" s="857"/>
      <c r="AC383" s="857"/>
      <c r="AD383" s="857"/>
      <c r="AE383" s="857"/>
      <c r="AF383" s="857"/>
      <c r="AG383" s="857"/>
      <c r="AH383" s="857"/>
      <c r="AI383" s="857"/>
    </row>
    <row r="384" spans="2:35" s="887" customFormat="1" ht="18" hidden="1" customHeight="1" x14ac:dyDescent="0.25">
      <c r="B384" s="873" t="s">
        <v>1337</v>
      </c>
      <c r="C384" s="876">
        <v>33027</v>
      </c>
      <c r="E384" s="856"/>
      <c r="F384" s="857"/>
      <c r="G384" s="857"/>
      <c r="H384" s="857"/>
      <c r="I384" s="857"/>
      <c r="J384" s="857"/>
      <c r="K384" s="857"/>
      <c r="L384" s="857"/>
      <c r="M384" s="857"/>
      <c r="N384" s="857"/>
      <c r="O384" s="857"/>
      <c r="P384" s="857"/>
      <c r="Q384" s="857"/>
      <c r="R384" s="857"/>
      <c r="S384" s="857"/>
      <c r="T384" s="857"/>
      <c r="U384" s="857"/>
      <c r="V384" s="857"/>
      <c r="W384" s="857"/>
      <c r="X384" s="857"/>
      <c r="Y384" s="857"/>
      <c r="Z384" s="857"/>
      <c r="AA384" s="857"/>
      <c r="AB384" s="857"/>
      <c r="AC384" s="857"/>
      <c r="AD384" s="857"/>
      <c r="AE384" s="857"/>
      <c r="AF384" s="857"/>
      <c r="AG384" s="857"/>
      <c r="AH384" s="857"/>
      <c r="AI384" s="857"/>
    </row>
    <row r="385" spans="2:35" s="887" customFormat="1" ht="18" hidden="1" customHeight="1" x14ac:dyDescent="0.25">
      <c r="B385" s="873" t="s">
        <v>1405</v>
      </c>
      <c r="C385" s="876">
        <v>36004</v>
      </c>
      <c r="E385" s="856"/>
      <c r="F385" s="857"/>
      <c r="G385" s="857"/>
      <c r="H385" s="857"/>
      <c r="I385" s="857"/>
      <c r="J385" s="857"/>
      <c r="K385" s="857"/>
      <c r="L385" s="857"/>
      <c r="M385" s="857"/>
      <c r="N385" s="857"/>
      <c r="O385" s="857"/>
      <c r="P385" s="857"/>
      <c r="Q385" s="857"/>
      <c r="R385" s="857"/>
      <c r="S385" s="857"/>
      <c r="T385" s="857"/>
      <c r="U385" s="857"/>
      <c r="V385" s="857"/>
      <c r="W385" s="857"/>
      <c r="X385" s="857"/>
      <c r="Y385" s="857"/>
      <c r="Z385" s="857"/>
      <c r="AA385" s="857"/>
      <c r="AB385" s="857"/>
      <c r="AC385" s="857"/>
      <c r="AD385" s="857"/>
      <c r="AE385" s="857"/>
      <c r="AF385" s="857"/>
      <c r="AG385" s="857"/>
      <c r="AH385" s="857"/>
      <c r="AI385" s="857"/>
    </row>
    <row r="386" spans="2:35" s="887" customFormat="1" ht="18" hidden="1" customHeight="1" x14ac:dyDescent="0.25">
      <c r="B386" s="873" t="s">
        <v>1325</v>
      </c>
      <c r="C386" s="876">
        <v>32505</v>
      </c>
      <c r="E386" s="856"/>
      <c r="F386" s="857"/>
      <c r="G386" s="857"/>
      <c r="H386" s="857"/>
      <c r="I386" s="857"/>
      <c r="J386" s="857"/>
      <c r="K386" s="857"/>
      <c r="L386" s="857"/>
      <c r="M386" s="857"/>
      <c r="N386" s="857"/>
      <c r="O386" s="857"/>
      <c r="P386" s="857"/>
      <c r="Q386" s="857"/>
      <c r="R386" s="857"/>
      <c r="S386" s="857"/>
      <c r="T386" s="857"/>
      <c r="U386" s="857"/>
      <c r="V386" s="857"/>
      <c r="W386" s="857"/>
      <c r="X386" s="857"/>
      <c r="Y386" s="857"/>
      <c r="Z386" s="857"/>
      <c r="AA386" s="857"/>
      <c r="AB386" s="857"/>
      <c r="AC386" s="857"/>
      <c r="AD386" s="857"/>
      <c r="AE386" s="857"/>
      <c r="AF386" s="857"/>
      <c r="AG386" s="857"/>
      <c r="AH386" s="857"/>
      <c r="AI386" s="857"/>
    </row>
    <row r="387" spans="2:35" s="887" customFormat="1" ht="18" hidden="1" customHeight="1" x14ac:dyDescent="0.25">
      <c r="B387" s="873" t="s">
        <v>1326</v>
      </c>
      <c r="C387" s="876">
        <v>32600</v>
      </c>
      <c r="E387" s="856"/>
      <c r="F387" s="857"/>
      <c r="G387" s="857"/>
      <c r="H387" s="857"/>
      <c r="I387" s="857"/>
      <c r="J387" s="857"/>
      <c r="K387" s="857"/>
      <c r="L387" s="857"/>
      <c r="M387" s="857"/>
      <c r="N387" s="857"/>
      <c r="O387" s="857"/>
      <c r="P387" s="857"/>
      <c r="Q387" s="857"/>
      <c r="R387" s="857"/>
      <c r="S387" s="857"/>
      <c r="T387" s="857"/>
      <c r="U387" s="857"/>
      <c r="V387" s="857"/>
      <c r="W387" s="857"/>
      <c r="X387" s="857"/>
      <c r="Y387" s="857"/>
      <c r="Z387" s="857"/>
      <c r="AA387" s="857"/>
      <c r="AB387" s="857"/>
      <c r="AC387" s="857"/>
      <c r="AD387" s="857"/>
      <c r="AE387" s="857"/>
      <c r="AF387" s="857"/>
      <c r="AG387" s="857"/>
      <c r="AH387" s="857"/>
      <c r="AI387" s="857"/>
    </row>
    <row r="388" spans="2:35" s="887" customFormat="1" ht="18" hidden="1" customHeight="1" x14ac:dyDescent="0.25">
      <c r="B388" s="873" t="s">
        <v>1328</v>
      </c>
      <c r="C388" s="876">
        <v>32700</v>
      </c>
      <c r="E388" s="856"/>
      <c r="F388" s="857"/>
      <c r="G388" s="857"/>
      <c r="H388" s="857"/>
      <c r="I388" s="857"/>
      <c r="J388" s="857"/>
      <c r="K388" s="857"/>
      <c r="L388" s="857"/>
      <c r="M388" s="857"/>
      <c r="N388" s="857"/>
      <c r="O388" s="857"/>
      <c r="P388" s="857"/>
      <c r="Q388" s="857"/>
      <c r="R388" s="857"/>
      <c r="S388" s="857"/>
      <c r="T388" s="857"/>
      <c r="U388" s="857"/>
      <c r="V388" s="857"/>
      <c r="W388" s="857"/>
      <c r="X388" s="857"/>
      <c r="Y388" s="857"/>
      <c r="Z388" s="857"/>
      <c r="AA388" s="857"/>
      <c r="AB388" s="857"/>
      <c r="AC388" s="857"/>
      <c r="AD388" s="857"/>
      <c r="AE388" s="857"/>
      <c r="AF388" s="857"/>
      <c r="AG388" s="857"/>
      <c r="AH388" s="857"/>
      <c r="AI388" s="857"/>
    </row>
    <row r="389" spans="2:35" s="887" customFormat="1" ht="18" hidden="1" customHeight="1" x14ac:dyDescent="0.25">
      <c r="B389" s="873" t="s">
        <v>1329</v>
      </c>
      <c r="C389" s="876">
        <v>32800</v>
      </c>
      <c r="E389" s="856"/>
      <c r="F389" s="857"/>
      <c r="G389" s="857"/>
      <c r="H389" s="857"/>
      <c r="I389" s="857"/>
      <c r="J389" s="857"/>
      <c r="K389" s="857"/>
      <c r="L389" s="857"/>
      <c r="M389" s="857"/>
      <c r="N389" s="857"/>
      <c r="O389" s="857"/>
      <c r="P389" s="857"/>
      <c r="Q389" s="857"/>
      <c r="R389" s="857"/>
      <c r="S389" s="857"/>
      <c r="T389" s="857"/>
      <c r="U389" s="857"/>
      <c r="V389" s="857"/>
      <c r="W389" s="857"/>
      <c r="X389" s="857"/>
      <c r="Y389" s="857"/>
      <c r="Z389" s="857"/>
      <c r="AA389" s="857"/>
      <c r="AB389" s="857"/>
      <c r="AC389" s="857"/>
      <c r="AD389" s="857"/>
      <c r="AE389" s="857"/>
      <c r="AF389" s="857"/>
      <c r="AG389" s="857"/>
      <c r="AH389" s="857"/>
      <c r="AI389" s="857"/>
    </row>
    <row r="390" spans="2:35" s="887" customFormat="1" ht="18" hidden="1" customHeight="1" x14ac:dyDescent="0.25">
      <c r="B390" s="873" t="s">
        <v>1332</v>
      </c>
      <c r="C390" s="876">
        <v>32905</v>
      </c>
      <c r="E390" s="856"/>
      <c r="F390" s="857"/>
      <c r="G390" s="857"/>
      <c r="H390" s="857"/>
      <c r="I390" s="857"/>
      <c r="J390" s="857"/>
      <c r="K390" s="857"/>
      <c r="L390" s="857"/>
      <c r="M390" s="857"/>
      <c r="N390" s="857"/>
      <c r="O390" s="857"/>
      <c r="P390" s="857"/>
      <c r="Q390" s="857"/>
      <c r="R390" s="857"/>
      <c r="S390" s="857"/>
      <c r="T390" s="857"/>
      <c r="U390" s="857"/>
      <c r="V390" s="857"/>
      <c r="W390" s="857"/>
      <c r="X390" s="857"/>
      <c r="Y390" s="857"/>
      <c r="Z390" s="857"/>
      <c r="AA390" s="857"/>
      <c r="AB390" s="857"/>
      <c r="AC390" s="857"/>
      <c r="AD390" s="857"/>
      <c r="AE390" s="857"/>
      <c r="AF390" s="857"/>
      <c r="AG390" s="857"/>
      <c r="AH390" s="857"/>
      <c r="AI390" s="857"/>
    </row>
    <row r="391" spans="2:35" s="887" customFormat="1" ht="18" hidden="1" customHeight="1" x14ac:dyDescent="0.25">
      <c r="B391" s="873" t="s">
        <v>1330</v>
      </c>
      <c r="C391" s="876">
        <v>32900</v>
      </c>
      <c r="E391" s="856"/>
      <c r="F391" s="857"/>
      <c r="G391" s="857"/>
      <c r="H391" s="857"/>
      <c r="I391" s="857"/>
      <c r="J391" s="857"/>
      <c r="K391" s="857"/>
      <c r="L391" s="857"/>
      <c r="M391" s="857"/>
      <c r="N391" s="857"/>
      <c r="O391" s="857"/>
      <c r="P391" s="857"/>
      <c r="Q391" s="857"/>
      <c r="R391" s="857"/>
      <c r="S391" s="857"/>
      <c r="T391" s="857"/>
      <c r="U391" s="857"/>
      <c r="V391" s="857"/>
      <c r="W391" s="857"/>
      <c r="X391" s="857"/>
      <c r="Y391" s="857"/>
      <c r="Z391" s="857"/>
      <c r="AA391" s="857"/>
      <c r="AB391" s="857"/>
      <c r="AC391" s="857"/>
      <c r="AD391" s="857"/>
      <c r="AE391" s="857"/>
      <c r="AF391" s="857"/>
      <c r="AG391" s="857"/>
      <c r="AH391" s="857"/>
      <c r="AI391" s="857"/>
    </row>
    <row r="392" spans="2:35" s="887" customFormat="1" ht="18" hidden="1" customHeight="1" x14ac:dyDescent="0.25">
      <c r="B392" s="873" t="s">
        <v>1335</v>
      </c>
      <c r="C392" s="876">
        <v>33000</v>
      </c>
      <c r="E392" s="856"/>
      <c r="F392" s="857"/>
      <c r="G392" s="857"/>
      <c r="H392" s="857"/>
      <c r="I392" s="857"/>
      <c r="J392" s="857"/>
      <c r="K392" s="857"/>
      <c r="L392" s="857"/>
      <c r="M392" s="857"/>
      <c r="N392" s="857"/>
      <c r="O392" s="857"/>
      <c r="P392" s="857"/>
      <c r="Q392" s="857"/>
      <c r="R392" s="857"/>
      <c r="S392" s="857"/>
      <c r="T392" s="857"/>
      <c r="U392" s="857"/>
      <c r="V392" s="857"/>
      <c r="W392" s="857"/>
      <c r="X392" s="857"/>
      <c r="Y392" s="857"/>
      <c r="Z392" s="857"/>
      <c r="AA392" s="857"/>
      <c r="AB392" s="857"/>
      <c r="AC392" s="857"/>
      <c r="AD392" s="857"/>
      <c r="AE392" s="857"/>
      <c r="AF392" s="857"/>
      <c r="AG392" s="857"/>
      <c r="AH392" s="857"/>
      <c r="AI392" s="857"/>
    </row>
    <row r="393" spans="2:35" s="887" customFormat="1" ht="18" hidden="1" customHeight="1" x14ac:dyDescent="0.25">
      <c r="B393" s="873" t="s">
        <v>1227</v>
      </c>
      <c r="C393" s="876">
        <v>10900</v>
      </c>
      <c r="E393" s="856"/>
      <c r="F393" s="857"/>
      <c r="G393" s="857"/>
      <c r="H393" s="857"/>
      <c r="I393" s="857"/>
      <c r="J393" s="857"/>
      <c r="K393" s="857"/>
      <c r="L393" s="857"/>
      <c r="M393" s="857"/>
      <c r="N393" s="857"/>
      <c r="O393" s="857"/>
      <c r="P393" s="857"/>
      <c r="Q393" s="857"/>
      <c r="R393" s="857"/>
      <c r="S393" s="857"/>
      <c r="T393" s="857"/>
      <c r="U393" s="857"/>
      <c r="V393" s="857"/>
      <c r="W393" s="857"/>
      <c r="X393" s="857"/>
      <c r="Y393" s="857"/>
      <c r="Z393" s="857"/>
      <c r="AA393" s="857"/>
      <c r="AB393" s="857"/>
      <c r="AC393" s="857"/>
      <c r="AD393" s="857"/>
      <c r="AE393" s="857"/>
      <c r="AF393" s="857"/>
      <c r="AG393" s="857"/>
      <c r="AH393" s="857"/>
      <c r="AI393" s="857"/>
    </row>
    <row r="394" spans="2:35" s="887" customFormat="1" ht="18" hidden="1" customHeight="1" x14ac:dyDescent="0.25">
      <c r="B394" s="873" t="s">
        <v>1247</v>
      </c>
      <c r="C394" s="876">
        <v>18400</v>
      </c>
      <c r="E394" s="856"/>
      <c r="F394" s="857"/>
      <c r="G394" s="857"/>
      <c r="H394" s="857"/>
      <c r="I394" s="857"/>
      <c r="J394" s="857"/>
      <c r="K394" s="857"/>
      <c r="L394" s="857"/>
      <c r="M394" s="857"/>
      <c r="N394" s="857"/>
      <c r="O394" s="857"/>
      <c r="P394" s="857"/>
      <c r="Q394" s="857"/>
      <c r="R394" s="857"/>
      <c r="S394" s="857"/>
      <c r="T394" s="857"/>
      <c r="U394" s="857"/>
      <c r="V394" s="857"/>
      <c r="W394" s="857"/>
      <c r="X394" s="857"/>
      <c r="Y394" s="857"/>
      <c r="Z394" s="857"/>
      <c r="AA394" s="857"/>
      <c r="AB394" s="857"/>
      <c r="AC394" s="857"/>
      <c r="AD394" s="857"/>
      <c r="AE394" s="857"/>
      <c r="AF394" s="857"/>
      <c r="AG394" s="857"/>
      <c r="AH394" s="857"/>
      <c r="AI394" s="857"/>
    </row>
    <row r="395" spans="2:35" s="887" customFormat="1" ht="18" hidden="1" customHeight="1" x14ac:dyDescent="0.25">
      <c r="B395" s="873" t="s">
        <v>1240</v>
      </c>
      <c r="C395" s="876">
        <v>12510</v>
      </c>
      <c r="E395" s="856"/>
      <c r="F395" s="857"/>
      <c r="G395" s="857"/>
      <c r="H395" s="857"/>
      <c r="I395" s="857"/>
      <c r="J395" s="857"/>
      <c r="K395" s="857"/>
      <c r="L395" s="857"/>
      <c r="M395" s="857"/>
      <c r="N395" s="857"/>
      <c r="O395" s="857"/>
      <c r="P395" s="857"/>
      <c r="Q395" s="857"/>
      <c r="R395" s="857"/>
      <c r="S395" s="857"/>
      <c r="T395" s="857"/>
      <c r="U395" s="857"/>
      <c r="V395" s="857"/>
      <c r="W395" s="857"/>
      <c r="X395" s="857"/>
      <c r="Y395" s="857"/>
      <c r="Z395" s="857"/>
      <c r="AA395" s="857"/>
      <c r="AB395" s="857"/>
      <c r="AC395" s="857"/>
      <c r="AD395" s="857"/>
      <c r="AE395" s="857"/>
      <c r="AF395" s="857"/>
      <c r="AG395" s="857"/>
      <c r="AH395" s="857"/>
      <c r="AI395" s="857"/>
    </row>
    <row r="396" spans="2:35" s="887" customFormat="1" ht="18" hidden="1" customHeight="1" x14ac:dyDescent="0.25">
      <c r="B396" s="873" t="s">
        <v>1224</v>
      </c>
      <c r="C396" s="876">
        <v>10700</v>
      </c>
      <c r="E396" s="856"/>
      <c r="F396" s="857"/>
      <c r="G396" s="857"/>
      <c r="H396" s="857"/>
      <c r="I396" s="857"/>
      <c r="J396" s="857"/>
      <c r="K396" s="857"/>
      <c r="L396" s="857"/>
      <c r="M396" s="857"/>
      <c r="N396" s="857"/>
      <c r="O396" s="857"/>
      <c r="P396" s="857"/>
      <c r="Q396" s="857"/>
      <c r="R396" s="857"/>
      <c r="S396" s="857"/>
      <c r="T396" s="857"/>
      <c r="U396" s="857"/>
      <c r="V396" s="857"/>
      <c r="W396" s="857"/>
      <c r="X396" s="857"/>
      <c r="Y396" s="857"/>
      <c r="Z396" s="857"/>
      <c r="AA396" s="857"/>
      <c r="AB396" s="857"/>
      <c r="AC396" s="857"/>
      <c r="AD396" s="857"/>
      <c r="AE396" s="857"/>
      <c r="AF396" s="857"/>
      <c r="AG396" s="857"/>
      <c r="AH396" s="857"/>
      <c r="AI396" s="857"/>
    </row>
    <row r="397" spans="2:35" s="887" customFormat="1" ht="18" hidden="1" customHeight="1" x14ac:dyDescent="0.25">
      <c r="B397" s="873" t="s">
        <v>1222</v>
      </c>
      <c r="C397" s="876">
        <v>10400</v>
      </c>
      <c r="E397" s="856"/>
      <c r="F397" s="857"/>
      <c r="G397" s="857"/>
      <c r="H397" s="857"/>
      <c r="I397" s="857"/>
      <c r="J397" s="857"/>
      <c r="K397" s="857"/>
      <c r="L397" s="857"/>
      <c r="M397" s="857"/>
      <c r="N397" s="857"/>
      <c r="O397" s="857"/>
      <c r="P397" s="857"/>
      <c r="Q397" s="857"/>
      <c r="R397" s="857"/>
      <c r="S397" s="857"/>
      <c r="T397" s="857"/>
      <c r="U397" s="857"/>
      <c r="V397" s="857"/>
      <c r="W397" s="857"/>
      <c r="X397" s="857"/>
      <c r="Y397" s="857"/>
      <c r="Z397" s="857"/>
      <c r="AA397" s="857"/>
      <c r="AB397" s="857"/>
      <c r="AC397" s="857"/>
      <c r="AD397" s="857"/>
      <c r="AE397" s="857"/>
      <c r="AF397" s="857"/>
      <c r="AG397" s="857"/>
      <c r="AH397" s="857"/>
      <c r="AI397" s="857"/>
    </row>
    <row r="398" spans="2:35" s="887" customFormat="1" ht="18" hidden="1" customHeight="1" x14ac:dyDescent="0.25">
      <c r="B398" s="873" t="s">
        <v>1270</v>
      </c>
      <c r="C398" s="876">
        <v>22000</v>
      </c>
      <c r="E398" s="856"/>
      <c r="F398" s="857"/>
      <c r="G398" s="857"/>
      <c r="H398" s="857"/>
      <c r="I398" s="857"/>
      <c r="J398" s="857"/>
      <c r="K398" s="857"/>
      <c r="L398" s="857"/>
      <c r="M398" s="857"/>
      <c r="N398" s="857"/>
      <c r="O398" s="857"/>
      <c r="P398" s="857"/>
      <c r="Q398" s="857"/>
      <c r="R398" s="857"/>
      <c r="S398" s="857"/>
      <c r="T398" s="857"/>
      <c r="U398" s="857"/>
      <c r="V398" s="857"/>
      <c r="W398" s="857"/>
      <c r="X398" s="857"/>
      <c r="Y398" s="857"/>
      <c r="Z398" s="857"/>
      <c r="AA398" s="857"/>
      <c r="AB398" s="857"/>
      <c r="AC398" s="857"/>
      <c r="AD398" s="857"/>
      <c r="AE398" s="857"/>
      <c r="AF398" s="857"/>
      <c r="AG398" s="857"/>
      <c r="AH398" s="857"/>
      <c r="AI398" s="857"/>
    </row>
    <row r="399" spans="2:35" s="887" customFormat="1" ht="18" hidden="1" customHeight="1" x14ac:dyDescent="0.25">
      <c r="B399" s="873" t="s">
        <v>1253</v>
      </c>
      <c r="C399" s="876">
        <v>19100</v>
      </c>
      <c r="E399" s="856"/>
      <c r="F399" s="857"/>
      <c r="G399" s="857"/>
      <c r="H399" s="857"/>
      <c r="I399" s="857"/>
      <c r="J399" s="857"/>
      <c r="K399" s="857"/>
      <c r="L399" s="857"/>
      <c r="M399" s="857"/>
      <c r="N399" s="857"/>
      <c r="O399" s="857"/>
      <c r="P399" s="857"/>
      <c r="Q399" s="857"/>
      <c r="R399" s="857"/>
      <c r="S399" s="857"/>
      <c r="T399" s="857"/>
      <c r="U399" s="857"/>
      <c r="V399" s="857"/>
      <c r="W399" s="857"/>
      <c r="X399" s="857"/>
      <c r="Y399" s="857"/>
      <c r="Z399" s="857"/>
      <c r="AA399" s="857"/>
      <c r="AB399" s="857"/>
      <c r="AC399" s="857"/>
      <c r="AD399" s="857"/>
      <c r="AE399" s="857"/>
      <c r="AF399" s="857"/>
      <c r="AG399" s="857"/>
      <c r="AH399" s="857"/>
      <c r="AI399" s="857"/>
    </row>
    <row r="400" spans="2:35" s="887" customFormat="1" ht="18" hidden="1" customHeight="1" x14ac:dyDescent="0.25">
      <c r="B400" s="873" t="s">
        <v>1338</v>
      </c>
      <c r="C400" s="876">
        <v>33100</v>
      </c>
      <c r="E400" s="856"/>
      <c r="F400" s="857"/>
      <c r="G400" s="857"/>
      <c r="H400" s="857"/>
      <c r="I400" s="857"/>
      <c r="J400" s="857"/>
      <c r="K400" s="857"/>
      <c r="L400" s="857"/>
      <c r="M400" s="857"/>
      <c r="N400" s="857"/>
      <c r="O400" s="857"/>
      <c r="P400" s="857"/>
      <c r="Q400" s="857"/>
      <c r="R400" s="857"/>
      <c r="S400" s="857"/>
      <c r="T400" s="857"/>
      <c r="U400" s="857"/>
      <c r="V400" s="857"/>
      <c r="W400" s="857"/>
      <c r="X400" s="857"/>
      <c r="Y400" s="857"/>
      <c r="Z400" s="857"/>
      <c r="AA400" s="857"/>
      <c r="AB400" s="857"/>
      <c r="AC400" s="857"/>
      <c r="AD400" s="857"/>
      <c r="AE400" s="857"/>
      <c r="AF400" s="857"/>
      <c r="AG400" s="857"/>
      <c r="AH400" s="857"/>
      <c r="AI400" s="857"/>
    </row>
    <row r="401" spans="2:35" s="887" customFormat="1" ht="18" hidden="1" customHeight="1" x14ac:dyDescent="0.25">
      <c r="B401" s="873" t="s">
        <v>1340</v>
      </c>
      <c r="C401" s="876">
        <v>33200</v>
      </c>
      <c r="E401" s="856"/>
      <c r="F401" s="857"/>
      <c r="G401" s="857"/>
      <c r="H401" s="857"/>
      <c r="I401" s="857"/>
      <c r="J401" s="857"/>
      <c r="K401" s="857"/>
      <c r="L401" s="857"/>
      <c r="M401" s="857"/>
      <c r="N401" s="857"/>
      <c r="O401" s="857"/>
      <c r="P401" s="857"/>
      <c r="Q401" s="857"/>
      <c r="R401" s="857"/>
      <c r="S401" s="857"/>
      <c r="T401" s="857"/>
      <c r="U401" s="857"/>
      <c r="V401" s="857"/>
      <c r="W401" s="857"/>
      <c r="X401" s="857"/>
      <c r="Y401" s="857"/>
      <c r="Z401" s="857"/>
      <c r="AA401" s="857"/>
      <c r="AB401" s="857"/>
      <c r="AC401" s="857"/>
      <c r="AD401" s="857"/>
      <c r="AE401" s="857"/>
      <c r="AF401" s="857"/>
      <c r="AG401" s="857"/>
      <c r="AH401" s="857"/>
      <c r="AI401" s="857"/>
    </row>
    <row r="402" spans="2:35" s="887" customFormat="1" ht="18" hidden="1" customHeight="1" x14ac:dyDescent="0.25">
      <c r="B402" s="873" t="s">
        <v>1344</v>
      </c>
      <c r="C402" s="876">
        <v>33205</v>
      </c>
      <c r="E402" s="856"/>
      <c r="F402" s="857"/>
      <c r="G402" s="857"/>
      <c r="H402" s="857"/>
      <c r="I402" s="857"/>
      <c r="J402" s="857"/>
      <c r="K402" s="857"/>
      <c r="L402" s="857"/>
      <c r="M402" s="857"/>
      <c r="N402" s="857"/>
      <c r="O402" s="857"/>
      <c r="P402" s="857"/>
      <c r="Q402" s="857"/>
      <c r="R402" s="857"/>
      <c r="S402" s="857"/>
      <c r="T402" s="857"/>
      <c r="U402" s="857"/>
      <c r="V402" s="857"/>
      <c r="W402" s="857"/>
      <c r="X402" s="857"/>
      <c r="Y402" s="857"/>
      <c r="Z402" s="857"/>
      <c r="AA402" s="857"/>
      <c r="AB402" s="857"/>
      <c r="AC402" s="857"/>
      <c r="AD402" s="857"/>
      <c r="AE402" s="857"/>
      <c r="AF402" s="857"/>
      <c r="AG402" s="857"/>
      <c r="AH402" s="857"/>
      <c r="AI402" s="857"/>
    </row>
    <row r="403" spans="2:35" s="887" customFormat="1" ht="18" hidden="1" customHeight="1" x14ac:dyDescent="0.25">
      <c r="B403" s="873" t="s">
        <v>1256</v>
      </c>
      <c r="C403" s="876">
        <v>20300</v>
      </c>
      <c r="E403" s="856"/>
      <c r="F403" s="857"/>
      <c r="G403" s="857"/>
      <c r="H403" s="857"/>
      <c r="I403" s="857"/>
      <c r="J403" s="857"/>
      <c r="K403" s="857"/>
      <c r="L403" s="857"/>
      <c r="M403" s="857"/>
      <c r="N403" s="857"/>
      <c r="O403" s="857"/>
      <c r="P403" s="857"/>
      <c r="Q403" s="857"/>
      <c r="R403" s="857"/>
      <c r="S403" s="857"/>
      <c r="T403" s="857"/>
      <c r="U403" s="857"/>
      <c r="V403" s="857"/>
      <c r="W403" s="857"/>
      <c r="X403" s="857"/>
      <c r="Y403" s="857"/>
      <c r="Z403" s="857"/>
      <c r="AA403" s="857"/>
      <c r="AB403" s="857"/>
      <c r="AC403" s="857"/>
      <c r="AD403" s="857"/>
      <c r="AE403" s="857"/>
      <c r="AF403" s="857"/>
      <c r="AG403" s="857"/>
      <c r="AH403" s="857"/>
      <c r="AI403" s="857"/>
    </row>
    <row r="404" spans="2:35" s="887" customFormat="1" ht="18" hidden="1" customHeight="1" x14ac:dyDescent="0.25">
      <c r="B404" s="873" t="s">
        <v>1491</v>
      </c>
      <c r="C404" s="876">
        <v>39208</v>
      </c>
      <c r="E404" s="856"/>
      <c r="F404" s="857"/>
      <c r="G404" s="857"/>
      <c r="H404" s="857"/>
      <c r="I404" s="857"/>
      <c r="J404" s="857"/>
      <c r="K404" s="857"/>
      <c r="L404" s="857"/>
      <c r="M404" s="857"/>
      <c r="N404" s="857"/>
      <c r="O404" s="857"/>
      <c r="P404" s="857"/>
      <c r="Q404" s="857"/>
      <c r="R404" s="857"/>
      <c r="S404" s="857"/>
      <c r="T404" s="857"/>
      <c r="U404" s="857"/>
      <c r="V404" s="857"/>
      <c r="W404" s="857"/>
      <c r="X404" s="857"/>
      <c r="Y404" s="857"/>
      <c r="Z404" s="857"/>
      <c r="AA404" s="857"/>
      <c r="AB404" s="857"/>
      <c r="AC404" s="857"/>
      <c r="AD404" s="857"/>
      <c r="AE404" s="857"/>
      <c r="AF404" s="857"/>
      <c r="AG404" s="857"/>
      <c r="AH404" s="857"/>
      <c r="AI404" s="857"/>
    </row>
    <row r="405" spans="2:35" s="887" customFormat="1" ht="18" hidden="1" customHeight="1" x14ac:dyDescent="0.25">
      <c r="B405" s="873" t="s">
        <v>1317</v>
      </c>
      <c r="C405" s="876">
        <v>32100</v>
      </c>
      <c r="E405" s="856"/>
      <c r="F405" s="857"/>
      <c r="G405" s="857"/>
      <c r="H405" s="857"/>
      <c r="I405" s="857"/>
      <c r="J405" s="857"/>
      <c r="K405" s="857"/>
      <c r="L405" s="857"/>
      <c r="M405" s="857"/>
      <c r="N405" s="857"/>
      <c r="O405" s="857"/>
      <c r="P405" s="857"/>
      <c r="Q405" s="857"/>
      <c r="R405" s="857"/>
      <c r="S405" s="857"/>
      <c r="T405" s="857"/>
      <c r="U405" s="857"/>
      <c r="V405" s="857"/>
      <c r="W405" s="857"/>
      <c r="X405" s="857"/>
      <c r="Y405" s="857"/>
      <c r="Z405" s="857"/>
      <c r="AA405" s="857"/>
      <c r="AB405" s="857"/>
      <c r="AC405" s="857"/>
      <c r="AD405" s="857"/>
      <c r="AE405" s="857"/>
      <c r="AF405" s="857"/>
      <c r="AG405" s="857"/>
      <c r="AH405" s="857"/>
      <c r="AI405" s="857"/>
    </row>
    <row r="406" spans="2:35" s="887" customFormat="1" ht="18" hidden="1" customHeight="1" x14ac:dyDescent="0.25">
      <c r="B406" s="873" t="s">
        <v>1349</v>
      </c>
      <c r="C406" s="876">
        <v>33300</v>
      </c>
      <c r="E406" s="856"/>
      <c r="F406" s="857"/>
      <c r="G406" s="857"/>
      <c r="H406" s="857"/>
      <c r="I406" s="857"/>
      <c r="J406" s="857"/>
      <c r="K406" s="857"/>
      <c r="L406" s="857"/>
      <c r="M406" s="857"/>
      <c r="N406" s="857"/>
      <c r="O406" s="857"/>
      <c r="P406" s="857"/>
      <c r="Q406" s="857"/>
      <c r="R406" s="857"/>
      <c r="S406" s="857"/>
      <c r="T406" s="857"/>
      <c r="U406" s="857"/>
      <c r="V406" s="857"/>
      <c r="W406" s="857"/>
      <c r="X406" s="857"/>
      <c r="Y406" s="857"/>
      <c r="Z406" s="857"/>
      <c r="AA406" s="857"/>
      <c r="AB406" s="857"/>
      <c r="AC406" s="857"/>
      <c r="AD406" s="857"/>
      <c r="AE406" s="857"/>
      <c r="AF406" s="857"/>
      <c r="AG406" s="857"/>
      <c r="AH406" s="857"/>
      <c r="AI406" s="857"/>
    </row>
    <row r="407" spans="2:35" s="887" customFormat="1" ht="18" hidden="1" customHeight="1" x14ac:dyDescent="0.25">
      <c r="B407" s="873" t="s">
        <v>1350</v>
      </c>
      <c r="C407" s="876">
        <v>33305</v>
      </c>
      <c r="E407" s="856"/>
      <c r="F407" s="857"/>
      <c r="G407" s="857"/>
      <c r="H407" s="857"/>
      <c r="I407" s="857"/>
      <c r="J407" s="857"/>
      <c r="K407" s="857"/>
      <c r="L407" s="857"/>
      <c r="M407" s="857"/>
      <c r="N407" s="857"/>
      <c r="O407" s="857"/>
      <c r="P407" s="857"/>
      <c r="Q407" s="857"/>
      <c r="R407" s="857"/>
      <c r="S407" s="857"/>
      <c r="T407" s="857"/>
      <c r="U407" s="857"/>
      <c r="V407" s="857"/>
      <c r="W407" s="857"/>
      <c r="X407" s="857"/>
      <c r="Y407" s="857"/>
      <c r="Z407" s="857"/>
      <c r="AA407" s="857"/>
      <c r="AB407" s="857"/>
      <c r="AC407" s="857"/>
      <c r="AD407" s="857"/>
      <c r="AE407" s="857"/>
      <c r="AF407" s="857"/>
      <c r="AG407" s="857"/>
      <c r="AH407" s="857"/>
      <c r="AI407" s="857"/>
    </row>
    <row r="408" spans="2:35" s="887" customFormat="1" ht="18" hidden="1" customHeight="1" x14ac:dyDescent="0.25">
      <c r="B408" s="873" t="s">
        <v>1438</v>
      </c>
      <c r="C408" s="876">
        <v>37000</v>
      </c>
      <c r="E408" s="856"/>
      <c r="F408" s="857"/>
      <c r="G408" s="857"/>
      <c r="H408" s="857"/>
      <c r="I408" s="857"/>
      <c r="J408" s="857"/>
      <c r="K408" s="857"/>
      <c r="L408" s="857"/>
      <c r="M408" s="857"/>
      <c r="N408" s="857"/>
      <c r="O408" s="857"/>
      <c r="P408" s="857"/>
      <c r="Q408" s="857"/>
      <c r="R408" s="857"/>
      <c r="S408" s="857"/>
      <c r="T408" s="857"/>
      <c r="U408" s="857"/>
      <c r="V408" s="857"/>
      <c r="W408" s="857"/>
      <c r="X408" s="857"/>
      <c r="Y408" s="857"/>
      <c r="Z408" s="857"/>
      <c r="AA408" s="857"/>
      <c r="AB408" s="857"/>
      <c r="AC408" s="857"/>
      <c r="AD408" s="857"/>
      <c r="AE408" s="857"/>
      <c r="AF408" s="857"/>
      <c r="AG408" s="857"/>
      <c r="AH408" s="857"/>
      <c r="AI408" s="857"/>
    </row>
    <row r="409" spans="2:35" s="887" customFormat="1" ht="18" hidden="1" customHeight="1" x14ac:dyDescent="0.25">
      <c r="B409" s="873" t="s">
        <v>1257</v>
      </c>
      <c r="C409" s="876">
        <v>20400</v>
      </c>
      <c r="E409" s="856"/>
      <c r="F409" s="857"/>
      <c r="G409" s="857"/>
      <c r="H409" s="857"/>
      <c r="I409" s="857"/>
      <c r="J409" s="857"/>
      <c r="K409" s="857"/>
      <c r="L409" s="857"/>
      <c r="M409" s="857"/>
      <c r="N409" s="857"/>
      <c r="O409" s="857"/>
      <c r="P409" s="857"/>
      <c r="Q409" s="857"/>
      <c r="R409" s="857"/>
      <c r="S409" s="857"/>
      <c r="T409" s="857"/>
      <c r="U409" s="857"/>
      <c r="V409" s="857"/>
      <c r="W409" s="857"/>
      <c r="X409" s="857"/>
      <c r="Y409" s="857"/>
      <c r="Z409" s="857"/>
      <c r="AA409" s="857"/>
      <c r="AB409" s="857"/>
      <c r="AC409" s="857"/>
      <c r="AD409" s="857"/>
      <c r="AE409" s="857"/>
      <c r="AF409" s="857"/>
      <c r="AG409" s="857"/>
      <c r="AH409" s="857"/>
      <c r="AI409" s="857"/>
    </row>
    <row r="410" spans="2:35" s="887" customFormat="1" ht="18" hidden="1" customHeight="1" x14ac:dyDescent="0.25">
      <c r="B410" s="873" t="s">
        <v>1477</v>
      </c>
      <c r="C410" s="876">
        <v>38620</v>
      </c>
      <c r="E410" s="856"/>
      <c r="F410" s="857"/>
      <c r="G410" s="857"/>
      <c r="H410" s="857"/>
      <c r="I410" s="857"/>
      <c r="J410" s="857"/>
      <c r="K410" s="857"/>
      <c r="L410" s="857"/>
      <c r="M410" s="857"/>
      <c r="N410" s="857"/>
      <c r="O410" s="857"/>
      <c r="P410" s="857"/>
      <c r="Q410" s="857"/>
      <c r="R410" s="857"/>
      <c r="S410" s="857"/>
      <c r="T410" s="857"/>
      <c r="U410" s="857"/>
      <c r="V410" s="857"/>
      <c r="W410" s="857"/>
      <c r="X410" s="857"/>
      <c r="Y410" s="857"/>
      <c r="Z410" s="857"/>
      <c r="AA410" s="857"/>
      <c r="AB410" s="857"/>
      <c r="AC410" s="857"/>
      <c r="AD410" s="857"/>
      <c r="AE410" s="857"/>
      <c r="AF410" s="857"/>
      <c r="AG410" s="857"/>
      <c r="AH410" s="857"/>
      <c r="AI410" s="857"/>
    </row>
    <row r="411" spans="2:35" s="887" customFormat="1" ht="18" hidden="1" customHeight="1" x14ac:dyDescent="0.25">
      <c r="B411" s="873" t="s">
        <v>1488</v>
      </c>
      <c r="C411" s="876">
        <v>39201</v>
      </c>
      <c r="E411" s="856"/>
      <c r="F411" s="857"/>
      <c r="G411" s="857"/>
      <c r="H411" s="857"/>
      <c r="I411" s="857"/>
      <c r="J411" s="857"/>
      <c r="K411" s="857"/>
      <c r="L411" s="857"/>
      <c r="M411" s="857"/>
      <c r="N411" s="857"/>
      <c r="O411" s="857"/>
      <c r="P411" s="857"/>
      <c r="Q411" s="857"/>
      <c r="R411" s="857"/>
      <c r="S411" s="857"/>
      <c r="T411" s="857"/>
      <c r="U411" s="857"/>
      <c r="V411" s="857"/>
      <c r="W411" s="857"/>
      <c r="X411" s="857"/>
      <c r="Y411" s="857"/>
      <c r="Z411" s="857"/>
      <c r="AA411" s="857"/>
      <c r="AB411" s="857"/>
      <c r="AC411" s="857"/>
      <c r="AD411" s="857"/>
      <c r="AE411" s="857"/>
      <c r="AF411" s="857"/>
      <c r="AG411" s="857"/>
      <c r="AH411" s="857"/>
      <c r="AI411" s="857"/>
    </row>
    <row r="412" spans="2:35" s="887" customFormat="1" ht="18" hidden="1" customHeight="1" x14ac:dyDescent="0.25">
      <c r="B412" s="873" t="s">
        <v>1232</v>
      </c>
      <c r="C412" s="876">
        <v>11300</v>
      </c>
      <c r="E412" s="856"/>
      <c r="F412" s="857"/>
      <c r="G412" s="857"/>
      <c r="H412" s="857"/>
      <c r="I412" s="857"/>
      <c r="J412" s="857"/>
      <c r="K412" s="857"/>
      <c r="L412" s="857"/>
      <c r="M412" s="857"/>
      <c r="N412" s="857"/>
      <c r="O412" s="857"/>
      <c r="P412" s="857"/>
      <c r="Q412" s="857"/>
      <c r="R412" s="857"/>
      <c r="S412" s="857"/>
      <c r="T412" s="857"/>
      <c r="U412" s="857"/>
      <c r="V412" s="857"/>
      <c r="W412" s="857"/>
      <c r="X412" s="857"/>
      <c r="Y412" s="857"/>
      <c r="Z412" s="857"/>
      <c r="AA412" s="857"/>
      <c r="AB412" s="857"/>
      <c r="AC412" s="857"/>
      <c r="AD412" s="857"/>
      <c r="AE412" s="857"/>
      <c r="AF412" s="857"/>
      <c r="AG412" s="857"/>
      <c r="AH412" s="857"/>
      <c r="AI412" s="857"/>
    </row>
    <row r="413" spans="2:35" s="887" customFormat="1" ht="18" hidden="1" customHeight="1" x14ac:dyDescent="0.25">
      <c r="B413" s="873" t="s">
        <v>1296</v>
      </c>
      <c r="C413" s="876">
        <v>31102</v>
      </c>
      <c r="E413" s="856"/>
      <c r="F413" s="857"/>
      <c r="G413" s="857"/>
      <c r="H413" s="857"/>
      <c r="I413" s="857"/>
      <c r="J413" s="857"/>
      <c r="K413" s="857"/>
      <c r="L413" s="857"/>
      <c r="M413" s="857"/>
      <c r="N413" s="857"/>
      <c r="O413" s="857"/>
      <c r="P413" s="857"/>
      <c r="Q413" s="857"/>
      <c r="R413" s="857"/>
      <c r="S413" s="857"/>
      <c r="T413" s="857"/>
      <c r="U413" s="857"/>
      <c r="V413" s="857"/>
      <c r="W413" s="857"/>
      <c r="X413" s="857"/>
      <c r="Y413" s="857"/>
      <c r="Z413" s="857"/>
      <c r="AA413" s="857"/>
      <c r="AB413" s="857"/>
      <c r="AC413" s="857"/>
      <c r="AD413" s="857"/>
      <c r="AE413" s="857"/>
      <c r="AF413" s="857"/>
      <c r="AG413" s="857"/>
      <c r="AH413" s="857"/>
      <c r="AI413" s="857"/>
    </row>
    <row r="414" spans="2:35" s="887" customFormat="1" ht="18" hidden="1" customHeight="1" x14ac:dyDescent="0.25">
      <c r="B414" s="873" t="s">
        <v>1295</v>
      </c>
      <c r="C414" s="876">
        <v>31101</v>
      </c>
      <c r="E414" s="856"/>
      <c r="F414" s="857"/>
      <c r="G414" s="857"/>
      <c r="H414" s="857"/>
      <c r="I414" s="857"/>
      <c r="J414" s="857"/>
      <c r="K414" s="857"/>
      <c r="L414" s="857"/>
      <c r="M414" s="857"/>
      <c r="N414" s="857"/>
      <c r="O414" s="857"/>
      <c r="P414" s="857"/>
      <c r="Q414" s="857"/>
      <c r="R414" s="857"/>
      <c r="S414" s="857"/>
      <c r="T414" s="857"/>
      <c r="U414" s="857"/>
      <c r="V414" s="857"/>
      <c r="W414" s="857"/>
      <c r="X414" s="857"/>
      <c r="Y414" s="857"/>
      <c r="Z414" s="857"/>
      <c r="AA414" s="857"/>
      <c r="AB414" s="857"/>
      <c r="AC414" s="857"/>
      <c r="AD414" s="857"/>
      <c r="AE414" s="857"/>
      <c r="AF414" s="857"/>
      <c r="AG414" s="857"/>
      <c r="AH414" s="857"/>
      <c r="AI414" s="857"/>
    </row>
    <row r="415" spans="2:35" s="887" customFormat="1" ht="18" hidden="1" customHeight="1" x14ac:dyDescent="0.25">
      <c r="B415" s="873" t="s">
        <v>1258</v>
      </c>
      <c r="C415" s="876">
        <v>20600</v>
      </c>
      <c r="E415" s="856"/>
      <c r="F415" s="857"/>
      <c r="G415" s="857"/>
      <c r="H415" s="857"/>
      <c r="I415" s="857"/>
      <c r="J415" s="857"/>
      <c r="K415" s="857"/>
      <c r="L415" s="857"/>
      <c r="M415" s="857"/>
      <c r="N415" s="857"/>
      <c r="O415" s="857"/>
      <c r="P415" s="857"/>
      <c r="Q415" s="857"/>
      <c r="R415" s="857"/>
      <c r="S415" s="857"/>
      <c r="T415" s="857"/>
      <c r="U415" s="857"/>
      <c r="V415" s="857"/>
      <c r="W415" s="857"/>
      <c r="X415" s="857"/>
      <c r="Y415" s="857"/>
      <c r="Z415" s="857"/>
      <c r="AA415" s="857"/>
      <c r="AB415" s="857"/>
      <c r="AC415" s="857"/>
      <c r="AD415" s="857"/>
      <c r="AE415" s="857"/>
      <c r="AF415" s="857"/>
      <c r="AG415" s="857"/>
      <c r="AH415" s="857"/>
      <c r="AI415" s="857"/>
    </row>
    <row r="416" spans="2:35" s="887" customFormat="1" ht="18" hidden="1" customHeight="1" x14ac:dyDescent="0.25">
      <c r="B416" s="873" t="s">
        <v>1327</v>
      </c>
      <c r="C416" s="876">
        <v>32605</v>
      </c>
      <c r="E416" s="856"/>
      <c r="F416" s="857"/>
      <c r="G416" s="857"/>
      <c r="H416" s="857"/>
      <c r="I416" s="857"/>
      <c r="J416" s="857"/>
      <c r="K416" s="857"/>
      <c r="L416" s="857"/>
      <c r="M416" s="857"/>
      <c r="N416" s="857"/>
      <c r="O416" s="857"/>
      <c r="P416" s="857"/>
      <c r="Q416" s="857"/>
      <c r="R416" s="857"/>
      <c r="S416" s="857"/>
      <c r="T416" s="857"/>
      <c r="U416" s="857"/>
      <c r="V416" s="857"/>
      <c r="W416" s="857"/>
      <c r="X416" s="857"/>
      <c r="Y416" s="857"/>
      <c r="Z416" s="857"/>
      <c r="AA416" s="857"/>
      <c r="AB416" s="857"/>
      <c r="AC416" s="857"/>
      <c r="AD416" s="857"/>
      <c r="AE416" s="857"/>
      <c r="AF416" s="857"/>
      <c r="AG416" s="857"/>
      <c r="AH416" s="857"/>
      <c r="AI416" s="857"/>
    </row>
    <row r="417" spans="2:35" s="887" customFormat="1" ht="18" hidden="1" customHeight="1" x14ac:dyDescent="0.25">
      <c r="B417" s="873" t="s">
        <v>1420</v>
      </c>
      <c r="C417" s="876">
        <v>36310</v>
      </c>
      <c r="E417" s="856"/>
      <c r="F417" s="857"/>
      <c r="G417" s="857"/>
      <c r="H417" s="857"/>
      <c r="I417" s="857"/>
      <c r="J417" s="857"/>
      <c r="K417" s="857"/>
      <c r="L417" s="857"/>
      <c r="M417" s="857"/>
      <c r="N417" s="857"/>
      <c r="O417" s="857"/>
      <c r="P417" s="857"/>
      <c r="Q417" s="857"/>
      <c r="R417" s="857"/>
      <c r="S417" s="857"/>
      <c r="T417" s="857"/>
      <c r="U417" s="857"/>
      <c r="V417" s="857"/>
      <c r="W417" s="857"/>
      <c r="X417" s="857"/>
      <c r="Y417" s="857"/>
      <c r="Z417" s="857"/>
      <c r="AA417" s="857"/>
      <c r="AB417" s="857"/>
      <c r="AC417" s="857"/>
      <c r="AD417" s="857"/>
      <c r="AE417" s="857"/>
      <c r="AF417" s="857"/>
      <c r="AG417" s="857"/>
      <c r="AH417" s="857"/>
      <c r="AI417" s="857"/>
    </row>
    <row r="418" spans="2:35" s="887" customFormat="1" ht="18" hidden="1" customHeight="1" x14ac:dyDescent="0.25">
      <c r="B418" s="873" t="s">
        <v>1353</v>
      </c>
      <c r="C418" s="876">
        <v>33405</v>
      </c>
      <c r="E418" s="856"/>
      <c r="F418" s="857"/>
      <c r="G418" s="857"/>
      <c r="H418" s="857"/>
      <c r="I418" s="857"/>
      <c r="J418" s="857"/>
      <c r="K418" s="857"/>
      <c r="L418" s="857"/>
      <c r="M418" s="857"/>
      <c r="N418" s="857"/>
      <c r="O418" s="857"/>
      <c r="P418" s="857"/>
      <c r="Q418" s="857"/>
      <c r="R418" s="857"/>
      <c r="S418" s="857"/>
      <c r="T418" s="857"/>
      <c r="U418" s="857"/>
      <c r="V418" s="857"/>
      <c r="W418" s="857"/>
      <c r="X418" s="857"/>
      <c r="Y418" s="857"/>
      <c r="Z418" s="857"/>
      <c r="AA418" s="857"/>
      <c r="AB418" s="857"/>
      <c r="AC418" s="857"/>
      <c r="AD418" s="857"/>
      <c r="AE418" s="857"/>
      <c r="AF418" s="857"/>
      <c r="AG418" s="857"/>
      <c r="AH418" s="857"/>
      <c r="AI418" s="857"/>
    </row>
    <row r="419" spans="2:35" s="887" customFormat="1" ht="18" hidden="1" customHeight="1" x14ac:dyDescent="0.25">
      <c r="B419" s="873" t="s">
        <v>1354</v>
      </c>
      <c r="C419" s="876">
        <v>33500</v>
      </c>
      <c r="E419" s="856"/>
      <c r="F419" s="857"/>
      <c r="G419" s="857"/>
      <c r="H419" s="857"/>
      <c r="I419" s="857"/>
      <c r="J419" s="857"/>
      <c r="K419" s="857"/>
      <c r="L419" s="857"/>
      <c r="M419" s="857"/>
      <c r="N419" s="857"/>
      <c r="O419" s="857"/>
      <c r="P419" s="857"/>
      <c r="Q419" s="857"/>
      <c r="R419" s="857"/>
      <c r="S419" s="857"/>
      <c r="T419" s="857"/>
      <c r="U419" s="857"/>
      <c r="V419" s="857"/>
      <c r="W419" s="857"/>
      <c r="X419" s="857"/>
      <c r="Y419" s="857"/>
      <c r="Z419" s="857"/>
      <c r="AA419" s="857"/>
      <c r="AB419" s="857"/>
      <c r="AC419" s="857"/>
      <c r="AD419" s="857"/>
      <c r="AE419" s="857"/>
      <c r="AF419" s="857"/>
      <c r="AG419" s="857"/>
      <c r="AH419" s="857"/>
      <c r="AI419" s="857"/>
    </row>
    <row r="420" spans="2:35" s="887" customFormat="1" ht="18" hidden="1" customHeight="1" x14ac:dyDescent="0.25">
      <c r="B420" s="873" t="s">
        <v>1357</v>
      </c>
      <c r="C420" s="876">
        <v>33605</v>
      </c>
      <c r="E420" s="856"/>
      <c r="F420" s="857"/>
      <c r="G420" s="857"/>
      <c r="H420" s="857"/>
      <c r="I420" s="857"/>
      <c r="J420" s="857"/>
      <c r="K420" s="857"/>
      <c r="L420" s="857"/>
      <c r="M420" s="857"/>
      <c r="N420" s="857"/>
      <c r="O420" s="857"/>
      <c r="P420" s="857"/>
      <c r="Q420" s="857"/>
      <c r="R420" s="857"/>
      <c r="S420" s="857"/>
      <c r="T420" s="857"/>
      <c r="U420" s="857"/>
      <c r="V420" s="857"/>
      <c r="W420" s="857"/>
      <c r="X420" s="857"/>
      <c r="Y420" s="857"/>
      <c r="Z420" s="857"/>
      <c r="AA420" s="857"/>
      <c r="AB420" s="857"/>
      <c r="AC420" s="857"/>
      <c r="AD420" s="857"/>
      <c r="AE420" s="857"/>
      <c r="AF420" s="857"/>
      <c r="AG420" s="857"/>
      <c r="AH420" s="857"/>
      <c r="AI420" s="857"/>
    </row>
    <row r="421" spans="2:35" s="887" customFormat="1" ht="18" hidden="1" customHeight="1" x14ac:dyDescent="0.25">
      <c r="B421" s="873" t="s">
        <v>1428</v>
      </c>
      <c r="C421" s="876">
        <v>36601</v>
      </c>
      <c r="E421" s="856"/>
      <c r="F421" s="857"/>
      <c r="G421" s="857"/>
      <c r="H421" s="857"/>
      <c r="I421" s="857"/>
      <c r="J421" s="857"/>
      <c r="K421" s="857"/>
      <c r="L421" s="857"/>
      <c r="M421" s="857"/>
      <c r="N421" s="857"/>
      <c r="O421" s="857"/>
      <c r="P421" s="857"/>
      <c r="Q421" s="857"/>
      <c r="R421" s="857"/>
      <c r="S421" s="857"/>
      <c r="T421" s="857"/>
      <c r="U421" s="857"/>
      <c r="V421" s="857"/>
      <c r="W421" s="857"/>
      <c r="X421" s="857"/>
      <c r="Y421" s="857"/>
      <c r="Z421" s="857"/>
      <c r="AA421" s="857"/>
      <c r="AB421" s="857"/>
      <c r="AC421" s="857"/>
      <c r="AD421" s="857"/>
      <c r="AE421" s="857"/>
      <c r="AF421" s="857"/>
      <c r="AG421" s="857"/>
      <c r="AH421" s="857"/>
      <c r="AI421" s="857"/>
    </row>
    <row r="422" spans="2:35" s="887" customFormat="1" ht="18" hidden="1" customHeight="1" x14ac:dyDescent="0.25">
      <c r="B422" s="873" t="s">
        <v>1356</v>
      </c>
      <c r="C422" s="876">
        <v>33600</v>
      </c>
      <c r="E422" s="856"/>
      <c r="F422" s="857"/>
      <c r="G422" s="857"/>
      <c r="H422" s="857"/>
      <c r="I422" s="857"/>
      <c r="J422" s="857"/>
      <c r="K422" s="857"/>
      <c r="L422" s="857"/>
      <c r="M422" s="857"/>
      <c r="N422" s="857"/>
      <c r="O422" s="857"/>
      <c r="P422" s="857"/>
      <c r="Q422" s="857"/>
      <c r="R422" s="857"/>
      <c r="S422" s="857"/>
      <c r="T422" s="857"/>
      <c r="U422" s="857"/>
      <c r="V422" s="857"/>
      <c r="W422" s="857"/>
      <c r="X422" s="857"/>
      <c r="Y422" s="857"/>
      <c r="Z422" s="857"/>
      <c r="AA422" s="857"/>
      <c r="AB422" s="857"/>
      <c r="AC422" s="857"/>
      <c r="AD422" s="857"/>
      <c r="AE422" s="857"/>
      <c r="AF422" s="857"/>
      <c r="AG422" s="857"/>
      <c r="AH422" s="857"/>
      <c r="AI422" s="857"/>
    </row>
    <row r="423" spans="2:35" s="887" customFormat="1" ht="18" hidden="1" customHeight="1" x14ac:dyDescent="0.25">
      <c r="B423" s="873" t="s">
        <v>1358</v>
      </c>
      <c r="C423" s="876">
        <v>33700</v>
      </c>
      <c r="E423" s="856"/>
      <c r="F423" s="857"/>
      <c r="G423" s="857"/>
      <c r="H423" s="857"/>
      <c r="I423" s="857"/>
      <c r="J423" s="857"/>
      <c r="K423" s="857"/>
      <c r="L423" s="857"/>
      <c r="M423" s="857"/>
      <c r="N423" s="857"/>
      <c r="O423" s="857"/>
      <c r="P423" s="857"/>
      <c r="Q423" s="857"/>
      <c r="R423" s="857"/>
      <c r="S423" s="857"/>
      <c r="T423" s="857"/>
      <c r="U423" s="857"/>
      <c r="V423" s="857"/>
      <c r="W423" s="857"/>
      <c r="X423" s="857"/>
      <c r="Y423" s="857"/>
      <c r="Z423" s="857"/>
      <c r="AA423" s="857"/>
      <c r="AB423" s="857"/>
      <c r="AC423" s="857"/>
      <c r="AD423" s="857"/>
      <c r="AE423" s="857"/>
      <c r="AF423" s="857"/>
      <c r="AG423" s="857"/>
      <c r="AH423" s="857"/>
      <c r="AI423" s="857"/>
    </row>
    <row r="424" spans="2:35" s="887" customFormat="1" ht="18" hidden="1" customHeight="1" x14ac:dyDescent="0.25">
      <c r="B424" s="873" t="s">
        <v>1238</v>
      </c>
      <c r="C424" s="876">
        <v>12160</v>
      </c>
      <c r="E424" s="856"/>
      <c r="F424" s="857"/>
      <c r="G424" s="857"/>
      <c r="H424" s="857"/>
      <c r="I424" s="857"/>
      <c r="J424" s="857"/>
      <c r="K424" s="857"/>
      <c r="L424" s="857"/>
      <c r="M424" s="857"/>
      <c r="N424" s="857"/>
      <c r="O424" s="857"/>
      <c r="P424" s="857"/>
      <c r="Q424" s="857"/>
      <c r="R424" s="857"/>
      <c r="S424" s="857"/>
      <c r="T424" s="857"/>
      <c r="U424" s="857"/>
      <c r="V424" s="857"/>
      <c r="W424" s="857"/>
      <c r="X424" s="857"/>
      <c r="Y424" s="857"/>
      <c r="Z424" s="857"/>
      <c r="AA424" s="857"/>
      <c r="AB424" s="857"/>
      <c r="AC424" s="857"/>
      <c r="AD424" s="857"/>
      <c r="AE424" s="857"/>
      <c r="AF424" s="857"/>
      <c r="AG424" s="857"/>
      <c r="AH424" s="857"/>
      <c r="AI424" s="857"/>
    </row>
    <row r="425" spans="2:35" s="887" customFormat="1" ht="18" hidden="1" customHeight="1" x14ac:dyDescent="0.25">
      <c r="B425" s="873" t="s">
        <v>1236</v>
      </c>
      <c r="C425" s="876">
        <v>12100</v>
      </c>
      <c r="E425" s="856"/>
      <c r="F425" s="857"/>
      <c r="G425" s="857"/>
      <c r="H425" s="857"/>
      <c r="I425" s="857"/>
      <c r="J425" s="857"/>
      <c r="K425" s="857"/>
      <c r="L425" s="857"/>
      <c r="M425" s="857"/>
      <c r="N425" s="857"/>
      <c r="O425" s="857"/>
      <c r="P425" s="857"/>
      <c r="Q425" s="857"/>
      <c r="R425" s="857"/>
      <c r="S425" s="857"/>
      <c r="T425" s="857"/>
      <c r="U425" s="857"/>
      <c r="V425" s="857"/>
      <c r="W425" s="857"/>
      <c r="X425" s="857"/>
      <c r="Y425" s="857"/>
      <c r="Z425" s="857"/>
      <c r="AA425" s="857"/>
      <c r="AB425" s="857"/>
      <c r="AC425" s="857"/>
      <c r="AD425" s="857"/>
      <c r="AE425" s="857"/>
      <c r="AF425" s="857"/>
      <c r="AG425" s="857"/>
      <c r="AH425" s="857"/>
      <c r="AI425" s="857"/>
    </row>
    <row r="426" spans="2:35" s="887" customFormat="1" ht="18" hidden="1" customHeight="1" x14ac:dyDescent="0.25">
      <c r="B426" s="873" t="s">
        <v>1359</v>
      </c>
      <c r="C426" s="876">
        <v>33800</v>
      </c>
      <c r="E426" s="856"/>
      <c r="F426" s="857"/>
      <c r="G426" s="857"/>
      <c r="H426" s="857"/>
      <c r="I426" s="857"/>
      <c r="J426" s="857"/>
      <c r="K426" s="857"/>
      <c r="L426" s="857"/>
      <c r="M426" s="857"/>
      <c r="N426" s="857"/>
      <c r="O426" s="857"/>
      <c r="P426" s="857"/>
      <c r="Q426" s="857"/>
      <c r="R426" s="857"/>
      <c r="S426" s="857"/>
      <c r="T426" s="857"/>
      <c r="U426" s="857"/>
      <c r="V426" s="857"/>
      <c r="W426" s="857"/>
      <c r="X426" s="857"/>
      <c r="Y426" s="857"/>
      <c r="Z426" s="857"/>
      <c r="AA426" s="857"/>
      <c r="AB426" s="857"/>
      <c r="AC426" s="857"/>
      <c r="AD426" s="857"/>
      <c r="AE426" s="857"/>
      <c r="AF426" s="857"/>
      <c r="AG426" s="857"/>
      <c r="AH426" s="857"/>
      <c r="AI426" s="857"/>
    </row>
    <row r="427" spans="2:35" s="887" customFormat="1" ht="18" hidden="1" customHeight="1" x14ac:dyDescent="0.25">
      <c r="B427" s="873" t="s">
        <v>1286</v>
      </c>
      <c r="C427" s="876">
        <v>30601</v>
      </c>
      <c r="E427" s="856"/>
      <c r="F427" s="857"/>
      <c r="G427" s="857"/>
      <c r="H427" s="857"/>
      <c r="I427" s="857"/>
      <c r="J427" s="857"/>
      <c r="K427" s="857"/>
      <c r="L427" s="857"/>
      <c r="M427" s="857"/>
      <c r="N427" s="857"/>
      <c r="O427" s="857"/>
      <c r="P427" s="857"/>
      <c r="Q427" s="857"/>
      <c r="R427" s="857"/>
      <c r="S427" s="857"/>
      <c r="T427" s="857"/>
      <c r="U427" s="857"/>
      <c r="V427" s="857"/>
      <c r="W427" s="857"/>
      <c r="X427" s="857"/>
      <c r="Y427" s="857"/>
      <c r="Z427" s="857"/>
      <c r="AA427" s="857"/>
      <c r="AB427" s="857"/>
      <c r="AC427" s="857"/>
      <c r="AD427" s="857"/>
      <c r="AE427" s="857"/>
      <c r="AF427" s="857"/>
      <c r="AG427" s="857"/>
      <c r="AH427" s="857"/>
      <c r="AI427" s="857"/>
    </row>
    <row r="428" spans="2:35" s="887" customFormat="1" ht="18" hidden="1" customHeight="1" x14ac:dyDescent="0.25">
      <c r="B428" s="873" t="s">
        <v>1360</v>
      </c>
      <c r="C428" s="876">
        <v>33900</v>
      </c>
      <c r="E428" s="856"/>
      <c r="F428" s="857"/>
      <c r="G428" s="857"/>
      <c r="H428" s="857"/>
      <c r="I428" s="857"/>
      <c r="J428" s="857"/>
      <c r="K428" s="857"/>
      <c r="L428" s="857"/>
      <c r="M428" s="857"/>
      <c r="N428" s="857"/>
      <c r="O428" s="857"/>
      <c r="P428" s="857"/>
      <c r="Q428" s="857"/>
      <c r="R428" s="857"/>
      <c r="S428" s="857"/>
      <c r="T428" s="857"/>
      <c r="U428" s="857"/>
      <c r="V428" s="857"/>
      <c r="W428" s="857"/>
      <c r="X428" s="857"/>
      <c r="Y428" s="857"/>
      <c r="Z428" s="857"/>
      <c r="AA428" s="857"/>
      <c r="AB428" s="857"/>
      <c r="AC428" s="857"/>
      <c r="AD428" s="857"/>
      <c r="AE428" s="857"/>
      <c r="AF428" s="857"/>
      <c r="AG428" s="857"/>
      <c r="AH428" s="857"/>
      <c r="AI428" s="857"/>
    </row>
    <row r="429" spans="2:35" s="887" customFormat="1" ht="18" hidden="1" customHeight="1" x14ac:dyDescent="0.25">
      <c r="B429" s="873" t="s">
        <v>1469</v>
      </c>
      <c r="C429" s="876">
        <v>38402</v>
      </c>
      <c r="E429" s="856"/>
      <c r="F429" s="857"/>
      <c r="G429" s="857"/>
      <c r="H429" s="857"/>
      <c r="I429" s="857"/>
      <c r="J429" s="857"/>
      <c r="K429" s="857"/>
      <c r="L429" s="857"/>
      <c r="M429" s="857"/>
      <c r="N429" s="857"/>
      <c r="O429" s="857"/>
      <c r="P429" s="857"/>
      <c r="Q429" s="857"/>
      <c r="R429" s="857"/>
      <c r="S429" s="857"/>
      <c r="T429" s="857"/>
      <c r="U429" s="857"/>
      <c r="V429" s="857"/>
      <c r="W429" s="857"/>
      <c r="X429" s="857"/>
      <c r="Y429" s="857"/>
      <c r="Z429" s="857"/>
      <c r="AA429" s="857"/>
      <c r="AB429" s="857"/>
      <c r="AC429" s="857"/>
      <c r="AD429" s="857"/>
      <c r="AE429" s="857"/>
      <c r="AF429" s="857"/>
      <c r="AG429" s="857"/>
      <c r="AH429" s="857"/>
      <c r="AI429" s="857"/>
    </row>
    <row r="430" spans="2:35" s="887" customFormat="1" ht="18" hidden="1" customHeight="1" x14ac:dyDescent="0.25">
      <c r="B430" s="873" t="s">
        <v>1361</v>
      </c>
      <c r="C430" s="876">
        <v>34000</v>
      </c>
      <c r="E430" s="856"/>
      <c r="F430" s="857"/>
      <c r="G430" s="857"/>
      <c r="H430" s="857"/>
      <c r="I430" s="857"/>
      <c r="J430" s="857"/>
      <c r="K430" s="857"/>
      <c r="L430" s="857"/>
      <c r="M430" s="857"/>
      <c r="N430" s="857"/>
      <c r="O430" s="857"/>
      <c r="P430" s="857"/>
      <c r="Q430" s="857"/>
      <c r="R430" s="857"/>
      <c r="S430" s="857"/>
      <c r="T430" s="857"/>
      <c r="U430" s="857"/>
      <c r="V430" s="857"/>
      <c r="W430" s="857"/>
      <c r="X430" s="857"/>
      <c r="Y430" s="857"/>
      <c r="Z430" s="857"/>
      <c r="AA430" s="857"/>
      <c r="AB430" s="857"/>
      <c r="AC430" s="857"/>
      <c r="AD430" s="857"/>
      <c r="AE430" s="857"/>
      <c r="AF430" s="857"/>
      <c r="AG430" s="857"/>
      <c r="AH430" s="857"/>
      <c r="AI430" s="857"/>
    </row>
    <row r="431" spans="2:35" s="887" customFormat="1" ht="18" hidden="1" customHeight="1" x14ac:dyDescent="0.25">
      <c r="B431" s="873" t="s">
        <v>1362</v>
      </c>
      <c r="C431" s="876">
        <v>34100</v>
      </c>
      <c r="E431" s="856"/>
      <c r="F431" s="857"/>
      <c r="G431" s="857"/>
      <c r="H431" s="857"/>
      <c r="I431" s="857"/>
      <c r="J431" s="857"/>
      <c r="K431" s="857"/>
      <c r="L431" s="857"/>
      <c r="M431" s="857"/>
      <c r="N431" s="857"/>
      <c r="O431" s="857"/>
      <c r="P431" s="857"/>
      <c r="Q431" s="857"/>
      <c r="R431" s="857"/>
      <c r="S431" s="857"/>
      <c r="T431" s="857"/>
      <c r="U431" s="857"/>
      <c r="V431" s="857"/>
      <c r="W431" s="857"/>
      <c r="X431" s="857"/>
      <c r="Y431" s="857"/>
      <c r="Z431" s="857"/>
      <c r="AA431" s="857"/>
      <c r="AB431" s="857"/>
      <c r="AC431" s="857"/>
      <c r="AD431" s="857"/>
      <c r="AE431" s="857"/>
      <c r="AF431" s="857"/>
      <c r="AG431" s="857"/>
      <c r="AH431" s="857"/>
      <c r="AI431" s="857"/>
    </row>
    <row r="432" spans="2:35" s="887" customFormat="1" ht="18" hidden="1" customHeight="1" x14ac:dyDescent="0.25">
      <c r="B432" s="873" t="s">
        <v>1363</v>
      </c>
      <c r="C432" s="876">
        <v>34105</v>
      </c>
      <c r="E432" s="856"/>
      <c r="F432" s="857"/>
      <c r="G432" s="857"/>
      <c r="H432" s="857"/>
      <c r="I432" s="857"/>
      <c r="J432" s="857"/>
      <c r="K432" s="857"/>
      <c r="L432" s="857"/>
      <c r="M432" s="857"/>
      <c r="N432" s="857"/>
      <c r="O432" s="857"/>
      <c r="P432" s="857"/>
      <c r="Q432" s="857"/>
      <c r="R432" s="857"/>
      <c r="S432" s="857"/>
      <c r="T432" s="857"/>
      <c r="U432" s="857"/>
      <c r="V432" s="857"/>
      <c r="W432" s="857"/>
      <c r="X432" s="857"/>
      <c r="Y432" s="857"/>
      <c r="Z432" s="857"/>
      <c r="AA432" s="857"/>
      <c r="AB432" s="857"/>
      <c r="AC432" s="857"/>
      <c r="AD432" s="857"/>
      <c r="AE432" s="857"/>
      <c r="AF432" s="857"/>
      <c r="AG432" s="857"/>
      <c r="AH432" s="857"/>
      <c r="AI432" s="857"/>
    </row>
    <row r="433" spans="2:3" hidden="1" x14ac:dyDescent="0.25">
      <c r="B433" s="873" t="s">
        <v>1365</v>
      </c>
      <c r="C433" s="876">
        <v>34205</v>
      </c>
    </row>
    <row r="434" spans="2:3" hidden="1" x14ac:dyDescent="0.25">
      <c r="B434" s="873" t="s">
        <v>1364</v>
      </c>
      <c r="C434" s="876">
        <v>34200</v>
      </c>
    </row>
    <row r="435" spans="2:3" hidden="1" x14ac:dyDescent="0.25">
      <c r="B435" s="873" t="s">
        <v>1494</v>
      </c>
      <c r="C435" s="876">
        <v>39301</v>
      </c>
    </row>
    <row r="436" spans="2:3" hidden="1" x14ac:dyDescent="0.25">
      <c r="B436" s="873" t="s">
        <v>1368</v>
      </c>
      <c r="C436" s="876">
        <v>34300</v>
      </c>
    </row>
    <row r="437" spans="2:3" hidden="1" x14ac:dyDescent="0.25">
      <c r="B437" s="873" t="s">
        <v>1369</v>
      </c>
      <c r="C437" s="876">
        <v>34400</v>
      </c>
    </row>
    <row r="438" spans="2:3" hidden="1" x14ac:dyDescent="0.25">
      <c r="B438" s="873" t="s">
        <v>1370</v>
      </c>
      <c r="C438" s="876">
        <v>34405</v>
      </c>
    </row>
    <row r="439" spans="2:3" hidden="1" x14ac:dyDescent="0.25">
      <c r="B439" s="873" t="s">
        <v>1239</v>
      </c>
      <c r="C439" s="876">
        <v>12220</v>
      </c>
    </row>
    <row r="440" spans="2:3" hidden="1" x14ac:dyDescent="0.25">
      <c r="B440" s="873" t="s">
        <v>1342</v>
      </c>
      <c r="C440" s="876">
        <v>33203</v>
      </c>
    </row>
    <row r="441" spans="2:3" hidden="1" x14ac:dyDescent="0.25">
      <c r="B441" s="873" t="s">
        <v>1496</v>
      </c>
      <c r="C441" s="876">
        <v>39401</v>
      </c>
    </row>
    <row r="442" spans="2:3" hidden="1" x14ac:dyDescent="0.25">
      <c r="B442" s="873" t="s">
        <v>1371</v>
      </c>
      <c r="C442" s="876">
        <v>34500</v>
      </c>
    </row>
    <row r="443" spans="2:3" hidden="1" x14ac:dyDescent="0.25">
      <c r="B443" s="873" t="s">
        <v>1374</v>
      </c>
      <c r="C443" s="876">
        <v>34600</v>
      </c>
    </row>
    <row r="444" spans="2:3" hidden="1" x14ac:dyDescent="0.25">
      <c r="B444" s="873" t="s">
        <v>1312</v>
      </c>
      <c r="C444" s="876">
        <v>31810</v>
      </c>
    </row>
    <row r="445" spans="2:3" hidden="1" x14ac:dyDescent="0.25">
      <c r="B445" s="873" t="s">
        <v>1508</v>
      </c>
      <c r="C445" s="876">
        <v>51000</v>
      </c>
    </row>
    <row r="446" spans="2:3" hidden="1" x14ac:dyDescent="0.25">
      <c r="B446" s="873" t="s">
        <v>1376</v>
      </c>
      <c r="C446" s="876">
        <v>34700</v>
      </c>
    </row>
    <row r="447" spans="2:3" hidden="1" x14ac:dyDescent="0.25">
      <c r="B447" s="873" t="s">
        <v>1377</v>
      </c>
      <c r="C447" s="876">
        <v>34800</v>
      </c>
    </row>
    <row r="448" spans="2:3" hidden="1" x14ac:dyDescent="0.25">
      <c r="B448" s="873" t="s">
        <v>1229</v>
      </c>
      <c r="C448" s="876">
        <v>10930</v>
      </c>
    </row>
    <row r="449" spans="2:3" hidden="1" x14ac:dyDescent="0.25">
      <c r="B449" s="873" t="s">
        <v>1241</v>
      </c>
      <c r="C449" s="876">
        <v>12600</v>
      </c>
    </row>
    <row r="450" spans="2:3" hidden="1" x14ac:dyDescent="0.25">
      <c r="B450" s="873" t="s">
        <v>1346</v>
      </c>
      <c r="C450" s="876">
        <v>33207</v>
      </c>
    </row>
    <row r="451" spans="2:3" hidden="1" x14ac:dyDescent="0.25">
      <c r="B451" s="873" t="s">
        <v>1331</v>
      </c>
      <c r="C451" s="876">
        <v>32901</v>
      </c>
    </row>
    <row r="452" spans="2:3" hidden="1" x14ac:dyDescent="0.25">
      <c r="B452" s="873" t="s">
        <v>1378</v>
      </c>
      <c r="C452" s="876">
        <v>34900</v>
      </c>
    </row>
    <row r="453" spans="2:3" hidden="1" x14ac:dyDescent="0.25">
      <c r="B453" s="873" t="s">
        <v>1463</v>
      </c>
      <c r="C453" s="876">
        <v>38105</v>
      </c>
    </row>
    <row r="454" spans="2:3" hidden="1" x14ac:dyDescent="0.25">
      <c r="B454" s="873" t="s">
        <v>1383</v>
      </c>
      <c r="C454" s="876">
        <v>35000</v>
      </c>
    </row>
    <row r="455" spans="2:3" hidden="1" x14ac:dyDescent="0.25">
      <c r="B455" s="873" t="s">
        <v>1339</v>
      </c>
      <c r="C455" s="876">
        <v>33105</v>
      </c>
    </row>
    <row r="456" spans="2:3" hidden="1" x14ac:dyDescent="0.25">
      <c r="B456" s="873" t="s">
        <v>1385</v>
      </c>
      <c r="C456" s="876">
        <v>35100</v>
      </c>
    </row>
    <row r="457" spans="2:3" hidden="1" x14ac:dyDescent="0.25">
      <c r="B457" s="873" t="s">
        <v>1386</v>
      </c>
      <c r="C457" s="876">
        <v>35105</v>
      </c>
    </row>
    <row r="458" spans="2:3" hidden="1" x14ac:dyDescent="0.25">
      <c r="B458" s="873" t="s">
        <v>1388</v>
      </c>
      <c r="C458" s="876">
        <v>35200</v>
      </c>
    </row>
    <row r="459" spans="2:3" hidden="1" x14ac:dyDescent="0.25">
      <c r="B459" s="873" t="s">
        <v>1303</v>
      </c>
      <c r="C459" s="876">
        <v>31320</v>
      </c>
    </row>
    <row r="460" spans="2:3" hidden="1" x14ac:dyDescent="0.25">
      <c r="B460" s="873" t="s">
        <v>1403</v>
      </c>
      <c r="C460" s="876">
        <v>36002</v>
      </c>
    </row>
    <row r="461" spans="2:3" hidden="1" x14ac:dyDescent="0.25">
      <c r="B461" s="873" t="s">
        <v>1412</v>
      </c>
      <c r="C461" s="876">
        <v>36102</v>
      </c>
    </row>
    <row r="462" spans="2:3" hidden="1" x14ac:dyDescent="0.25">
      <c r="B462" s="873" t="s">
        <v>1347</v>
      </c>
      <c r="C462" s="876">
        <v>33208</v>
      </c>
    </row>
    <row r="463" spans="2:3" hidden="1" x14ac:dyDescent="0.25">
      <c r="B463" s="873" t="s">
        <v>1242</v>
      </c>
      <c r="C463" s="876">
        <v>12700</v>
      </c>
    </row>
    <row r="464" spans="2:3" hidden="1" x14ac:dyDescent="0.25">
      <c r="B464" s="873" t="s">
        <v>1407</v>
      </c>
      <c r="C464" s="876">
        <v>36006</v>
      </c>
    </row>
    <row r="465" spans="2:3" hidden="1" x14ac:dyDescent="0.25">
      <c r="B465" s="873" t="s">
        <v>1511</v>
      </c>
      <c r="C465" s="876">
        <v>60000</v>
      </c>
    </row>
    <row r="466" spans="2:3" hidden="1" x14ac:dyDescent="0.25">
      <c r="B466" s="873" t="s">
        <v>1393</v>
      </c>
      <c r="C466" s="876">
        <v>35405</v>
      </c>
    </row>
    <row r="467" spans="2:3" hidden="1" x14ac:dyDescent="0.25">
      <c r="B467" s="873" t="s">
        <v>1391</v>
      </c>
      <c r="C467" s="876">
        <v>35400</v>
      </c>
    </row>
    <row r="468" spans="2:3" hidden="1" x14ac:dyDescent="0.25">
      <c r="B468" s="873" t="s">
        <v>1333</v>
      </c>
      <c r="C468" s="876">
        <v>32910</v>
      </c>
    </row>
    <row r="469" spans="2:3" hidden="1" x14ac:dyDescent="0.25">
      <c r="B469" s="873" t="s">
        <v>1394</v>
      </c>
      <c r="C469" s="876">
        <v>35500</v>
      </c>
    </row>
    <row r="470" spans="2:3" hidden="1" x14ac:dyDescent="0.25">
      <c r="B470" s="873" t="s">
        <v>1237</v>
      </c>
      <c r="C470" s="876">
        <v>12150</v>
      </c>
    </row>
    <row r="471" spans="2:3" hidden="1" x14ac:dyDescent="0.25">
      <c r="B471" s="873" t="s">
        <v>1395</v>
      </c>
      <c r="C471" s="876">
        <v>35600</v>
      </c>
    </row>
    <row r="472" spans="2:3" hidden="1" x14ac:dyDescent="0.25">
      <c r="B472" s="873" t="s">
        <v>1396</v>
      </c>
      <c r="C472" s="876">
        <v>35700</v>
      </c>
    </row>
    <row r="473" spans="2:3" hidden="1" x14ac:dyDescent="0.25">
      <c r="B473" s="873" t="s">
        <v>1398</v>
      </c>
      <c r="C473" s="876">
        <v>35805</v>
      </c>
    </row>
    <row r="474" spans="2:3" hidden="1" x14ac:dyDescent="0.25">
      <c r="B474" s="873" t="s">
        <v>1397</v>
      </c>
      <c r="C474" s="876">
        <v>35800</v>
      </c>
    </row>
    <row r="475" spans="2:3" hidden="1" x14ac:dyDescent="0.25">
      <c r="B475" s="873" t="s">
        <v>1413</v>
      </c>
      <c r="C475" s="876">
        <v>36105</v>
      </c>
    </row>
    <row r="476" spans="2:3" hidden="1" x14ac:dyDescent="0.25">
      <c r="B476" s="873" t="s">
        <v>1399</v>
      </c>
      <c r="C476" s="876">
        <v>35900</v>
      </c>
    </row>
    <row r="477" spans="2:3" hidden="1" x14ac:dyDescent="0.25">
      <c r="B477" s="873" t="s">
        <v>1400</v>
      </c>
      <c r="C477" s="876">
        <v>35905</v>
      </c>
    </row>
    <row r="478" spans="2:3" hidden="1" x14ac:dyDescent="0.25">
      <c r="B478" s="873" t="s">
        <v>1474</v>
      </c>
      <c r="C478" s="876">
        <v>38602</v>
      </c>
    </row>
    <row r="479" spans="2:3" hidden="1" x14ac:dyDescent="0.25">
      <c r="B479" s="873" t="s">
        <v>1381</v>
      </c>
      <c r="C479" s="876">
        <v>34905</v>
      </c>
    </row>
    <row r="480" spans="2:3" hidden="1" x14ac:dyDescent="0.25">
      <c r="B480" s="873" t="s">
        <v>1411</v>
      </c>
      <c r="C480" s="876">
        <v>36100</v>
      </c>
    </row>
    <row r="481" spans="2:3" hidden="1" x14ac:dyDescent="0.25">
      <c r="B481" s="873" t="s">
        <v>1415</v>
      </c>
      <c r="C481" s="876">
        <v>36205</v>
      </c>
    </row>
    <row r="482" spans="2:3" hidden="1" x14ac:dyDescent="0.25">
      <c r="B482" s="873" t="s">
        <v>1414</v>
      </c>
      <c r="C482" s="876">
        <v>36200</v>
      </c>
    </row>
    <row r="483" spans="2:3" hidden="1" x14ac:dyDescent="0.25">
      <c r="B483" s="873" t="s">
        <v>1416</v>
      </c>
      <c r="C483" s="876">
        <v>36300</v>
      </c>
    </row>
    <row r="484" spans="2:3" hidden="1" x14ac:dyDescent="0.25">
      <c r="B484" s="873" t="s">
        <v>1382</v>
      </c>
      <c r="C484" s="876">
        <v>34910</v>
      </c>
    </row>
    <row r="485" spans="2:3" hidden="1" x14ac:dyDescent="0.25">
      <c r="B485" s="873" t="s">
        <v>1476</v>
      </c>
      <c r="C485" s="876">
        <v>38610</v>
      </c>
    </row>
    <row r="486" spans="2:3" hidden="1" x14ac:dyDescent="0.25">
      <c r="B486" s="873" t="s">
        <v>1372</v>
      </c>
      <c r="C486" s="876">
        <v>34501</v>
      </c>
    </row>
    <row r="487" spans="2:3" hidden="1" x14ac:dyDescent="0.25">
      <c r="B487" s="873" t="s">
        <v>1479</v>
      </c>
      <c r="C487" s="876">
        <v>38701</v>
      </c>
    </row>
    <row r="488" spans="2:3" hidden="1" x14ac:dyDescent="0.25">
      <c r="B488" s="873" t="s">
        <v>1259</v>
      </c>
      <c r="C488" s="876">
        <v>20700</v>
      </c>
    </row>
    <row r="489" spans="2:3" hidden="1" x14ac:dyDescent="0.25">
      <c r="B489" s="873" t="s">
        <v>1250</v>
      </c>
      <c r="C489" s="876">
        <v>18740</v>
      </c>
    </row>
    <row r="490" spans="2:3" hidden="1" x14ac:dyDescent="0.25">
      <c r="B490" s="873" t="s">
        <v>1260</v>
      </c>
      <c r="C490" s="876">
        <v>20800</v>
      </c>
    </row>
    <row r="491" spans="2:3" hidden="1" x14ac:dyDescent="0.25">
      <c r="B491" s="873" t="s">
        <v>1233</v>
      </c>
      <c r="C491" s="876">
        <v>11310</v>
      </c>
    </row>
    <row r="492" spans="2:3" hidden="1" x14ac:dyDescent="0.25">
      <c r="B492" s="873" t="s">
        <v>1249</v>
      </c>
      <c r="C492" s="876">
        <v>18690</v>
      </c>
    </row>
    <row r="493" spans="2:3" hidden="1" x14ac:dyDescent="0.25">
      <c r="B493" s="873" t="s">
        <v>1231</v>
      </c>
      <c r="C493" s="876">
        <v>10950</v>
      </c>
    </row>
    <row r="494" spans="2:3" hidden="1" x14ac:dyDescent="0.25">
      <c r="B494" s="873" t="s">
        <v>1255</v>
      </c>
      <c r="C494" s="876">
        <v>20200</v>
      </c>
    </row>
    <row r="495" spans="2:3" ht="26.25" hidden="1" x14ac:dyDescent="0.25">
      <c r="B495" s="873" t="s">
        <v>1251</v>
      </c>
      <c r="C495" s="876">
        <v>18780</v>
      </c>
    </row>
    <row r="496" spans="2:3" hidden="1" x14ac:dyDescent="0.25">
      <c r="B496" s="873" t="s">
        <v>1263</v>
      </c>
      <c r="C496" s="876">
        <v>21300</v>
      </c>
    </row>
    <row r="497" spans="2:3" hidden="1" x14ac:dyDescent="0.25">
      <c r="B497" s="873" t="s">
        <v>1168</v>
      </c>
      <c r="C497" s="876">
        <v>37001</v>
      </c>
    </row>
    <row r="498" spans="2:3" hidden="1" x14ac:dyDescent="0.25">
      <c r="B498" s="873" t="s">
        <v>1336</v>
      </c>
      <c r="C498" s="876">
        <v>33001</v>
      </c>
    </row>
    <row r="499" spans="2:3" hidden="1" x14ac:dyDescent="0.25">
      <c r="B499" s="873" t="s">
        <v>1422</v>
      </c>
      <c r="C499" s="876">
        <v>36405</v>
      </c>
    </row>
    <row r="500" spans="2:3" hidden="1" x14ac:dyDescent="0.25">
      <c r="B500" s="873" t="s">
        <v>1421</v>
      </c>
      <c r="C500" s="876">
        <v>36400</v>
      </c>
    </row>
    <row r="501" spans="2:3" hidden="1" x14ac:dyDescent="0.25">
      <c r="B501" s="873" t="s">
        <v>1509</v>
      </c>
      <c r="C501" s="876">
        <v>51000.1</v>
      </c>
    </row>
    <row r="502" spans="2:3" hidden="1" x14ac:dyDescent="0.25">
      <c r="B502" s="873" t="s">
        <v>1510</v>
      </c>
      <c r="C502" s="876">
        <v>51000.2</v>
      </c>
    </row>
    <row r="503" spans="2:3" hidden="1" x14ac:dyDescent="0.25">
      <c r="B503" s="873" t="s">
        <v>1387</v>
      </c>
      <c r="C503" s="876">
        <v>35106</v>
      </c>
    </row>
    <row r="504" spans="2:3" hidden="1" x14ac:dyDescent="0.25">
      <c r="B504" s="873" t="s">
        <v>1324</v>
      </c>
      <c r="C504" s="876">
        <v>32500</v>
      </c>
    </row>
    <row r="505" spans="2:3" hidden="1" x14ac:dyDescent="0.25">
      <c r="B505" s="873" t="s">
        <v>1423</v>
      </c>
      <c r="C505" s="876">
        <v>36500</v>
      </c>
    </row>
    <row r="506" spans="2:3" hidden="1" x14ac:dyDescent="0.25">
      <c r="B506" s="873" t="s">
        <v>1313</v>
      </c>
      <c r="C506" s="876">
        <v>31820</v>
      </c>
    </row>
    <row r="507" spans="2:3" hidden="1" x14ac:dyDescent="0.25">
      <c r="B507" s="873" t="s">
        <v>1221</v>
      </c>
      <c r="C507" s="876">
        <v>10200</v>
      </c>
    </row>
    <row r="508" spans="2:3" hidden="1" x14ac:dyDescent="0.25">
      <c r="B508" s="873" t="s">
        <v>1427</v>
      </c>
      <c r="C508" s="876">
        <v>36600</v>
      </c>
    </row>
    <row r="509" spans="2:3" hidden="1" x14ac:dyDescent="0.25">
      <c r="B509" s="873" t="s">
        <v>1226</v>
      </c>
      <c r="C509" s="876">
        <v>10850</v>
      </c>
    </row>
    <row r="510" spans="2:3" hidden="1" x14ac:dyDescent="0.25">
      <c r="B510" s="873" t="s">
        <v>1228</v>
      </c>
      <c r="C510" s="876">
        <v>10910</v>
      </c>
    </row>
    <row r="511" spans="2:3" hidden="1" x14ac:dyDescent="0.25">
      <c r="B511" s="873" t="s">
        <v>1230</v>
      </c>
      <c r="C511" s="876">
        <v>10940</v>
      </c>
    </row>
    <row r="512" spans="2:3" hidden="1" x14ac:dyDescent="0.25">
      <c r="B512" s="873" t="s">
        <v>1429</v>
      </c>
      <c r="C512" s="876">
        <v>36700</v>
      </c>
    </row>
    <row r="513" spans="2:3" hidden="1" x14ac:dyDescent="0.25">
      <c r="B513" s="873" t="s">
        <v>1433</v>
      </c>
      <c r="C513" s="876">
        <v>36802</v>
      </c>
    </row>
    <row r="514" spans="2:3" hidden="1" x14ac:dyDescent="0.25">
      <c r="B514" s="873" t="s">
        <v>1432</v>
      </c>
      <c r="C514" s="876">
        <v>36800</v>
      </c>
    </row>
    <row r="515" spans="2:3" hidden="1" x14ac:dyDescent="0.25">
      <c r="B515" s="873" t="s">
        <v>1437</v>
      </c>
      <c r="C515" s="876">
        <v>36905</v>
      </c>
    </row>
    <row r="516" spans="2:3" hidden="1" x14ac:dyDescent="0.25">
      <c r="B516" s="873" t="s">
        <v>1435</v>
      </c>
      <c r="C516" s="876">
        <v>36900</v>
      </c>
    </row>
    <row r="517" spans="2:3" hidden="1" x14ac:dyDescent="0.25">
      <c r="B517" s="873" t="s">
        <v>1440</v>
      </c>
      <c r="C517" s="876">
        <v>37100</v>
      </c>
    </row>
    <row r="518" spans="2:3" hidden="1" x14ac:dyDescent="0.25">
      <c r="B518" s="873" t="s">
        <v>1441</v>
      </c>
      <c r="C518" s="876">
        <v>37200</v>
      </c>
    </row>
    <row r="519" spans="2:3" hidden="1" x14ac:dyDescent="0.25">
      <c r="B519" s="873" t="s">
        <v>1442</v>
      </c>
      <c r="C519" s="876">
        <v>37300</v>
      </c>
    </row>
    <row r="520" spans="2:3" hidden="1" x14ac:dyDescent="0.25">
      <c r="B520" s="873" t="s">
        <v>1444</v>
      </c>
      <c r="C520" s="876">
        <v>37305</v>
      </c>
    </row>
    <row r="521" spans="2:3" hidden="1" x14ac:dyDescent="0.25">
      <c r="B521" s="873" t="s">
        <v>1409</v>
      </c>
      <c r="C521" s="876">
        <v>36008</v>
      </c>
    </row>
    <row r="522" spans="2:3" hidden="1" x14ac:dyDescent="0.25">
      <c r="B522" s="873" t="s">
        <v>1502</v>
      </c>
      <c r="C522" s="876">
        <v>39703</v>
      </c>
    </row>
    <row r="523" spans="2:3" hidden="1" x14ac:dyDescent="0.25">
      <c r="B523" s="873" t="s">
        <v>1348</v>
      </c>
      <c r="C523" s="876">
        <v>33209</v>
      </c>
    </row>
    <row r="524" spans="2:3" hidden="1" x14ac:dyDescent="0.25">
      <c r="B524" s="873" t="s">
        <v>1446</v>
      </c>
      <c r="C524" s="876">
        <v>37405</v>
      </c>
    </row>
    <row r="525" spans="2:3" hidden="1" x14ac:dyDescent="0.25">
      <c r="B525" s="873" t="s">
        <v>1445</v>
      </c>
      <c r="C525" s="876">
        <v>37400</v>
      </c>
    </row>
    <row r="526" spans="2:3" hidden="1" x14ac:dyDescent="0.25">
      <c r="B526" s="873" t="s">
        <v>1447</v>
      </c>
      <c r="C526" s="876">
        <v>37500</v>
      </c>
    </row>
    <row r="527" spans="2:3" hidden="1" x14ac:dyDescent="0.25">
      <c r="B527" s="873" t="s">
        <v>1450</v>
      </c>
      <c r="C527" s="876">
        <v>37605</v>
      </c>
    </row>
    <row r="528" spans="2:3" hidden="1" x14ac:dyDescent="0.25">
      <c r="B528" s="873" t="s">
        <v>1448</v>
      </c>
      <c r="C528" s="876">
        <v>37600</v>
      </c>
    </row>
    <row r="529" spans="2:3" hidden="1" x14ac:dyDescent="0.25">
      <c r="B529" s="873" t="s">
        <v>1243</v>
      </c>
      <c r="C529" s="876">
        <v>13500</v>
      </c>
    </row>
    <row r="530" spans="2:3" hidden="1" x14ac:dyDescent="0.25">
      <c r="B530" s="873" t="s">
        <v>1452</v>
      </c>
      <c r="C530" s="876">
        <v>37700</v>
      </c>
    </row>
    <row r="531" spans="2:3" hidden="1" x14ac:dyDescent="0.25">
      <c r="B531" s="873" t="s">
        <v>1453</v>
      </c>
      <c r="C531" s="876">
        <v>37705</v>
      </c>
    </row>
    <row r="532" spans="2:3" hidden="1" x14ac:dyDescent="0.25">
      <c r="B532" s="873" t="s">
        <v>1277</v>
      </c>
      <c r="C532" s="876">
        <v>30103</v>
      </c>
    </row>
    <row r="533" spans="2:3" hidden="1" x14ac:dyDescent="0.25">
      <c r="B533" s="873" t="s">
        <v>1366</v>
      </c>
      <c r="C533" s="876">
        <v>34220</v>
      </c>
    </row>
    <row r="534" spans="2:3" hidden="1" x14ac:dyDescent="0.25">
      <c r="B534" s="873" t="s">
        <v>1375</v>
      </c>
      <c r="C534" s="876">
        <v>34605</v>
      </c>
    </row>
    <row r="535" spans="2:3" hidden="1" x14ac:dyDescent="0.25">
      <c r="B535" s="873" t="s">
        <v>1456</v>
      </c>
      <c r="C535" s="876">
        <v>37805</v>
      </c>
    </row>
    <row r="536" spans="2:3" hidden="1" x14ac:dyDescent="0.25">
      <c r="B536" s="873" t="s">
        <v>1454</v>
      </c>
      <c r="C536" s="876">
        <v>37800</v>
      </c>
    </row>
    <row r="537" spans="2:3" hidden="1" x14ac:dyDescent="0.25">
      <c r="B537" s="873" t="s">
        <v>1459</v>
      </c>
      <c r="C537" s="876">
        <v>37905</v>
      </c>
    </row>
    <row r="538" spans="2:3" hidden="1" x14ac:dyDescent="0.25">
      <c r="B538" s="873" t="s">
        <v>1457</v>
      </c>
      <c r="C538" s="876">
        <v>37900</v>
      </c>
    </row>
    <row r="539" spans="2:3" hidden="1" x14ac:dyDescent="0.25">
      <c r="B539" s="873" t="s">
        <v>1461</v>
      </c>
      <c r="C539" s="876">
        <v>38005</v>
      </c>
    </row>
    <row r="540" spans="2:3" hidden="1" x14ac:dyDescent="0.25">
      <c r="B540" s="873" t="s">
        <v>1460</v>
      </c>
      <c r="C540" s="876">
        <v>38000</v>
      </c>
    </row>
    <row r="541" spans="2:3" hidden="1" x14ac:dyDescent="0.25">
      <c r="B541" s="873" t="s">
        <v>1443</v>
      </c>
      <c r="C541" s="876">
        <v>37301</v>
      </c>
    </row>
    <row r="542" spans="2:3" hidden="1" x14ac:dyDescent="0.25">
      <c r="B542" s="873" t="s">
        <v>1516</v>
      </c>
      <c r="C542" s="876">
        <v>98101</v>
      </c>
    </row>
    <row r="543" spans="2:3" hidden="1" x14ac:dyDescent="0.25">
      <c r="B543" s="873" t="s">
        <v>1462</v>
      </c>
      <c r="C543" s="876">
        <v>38100</v>
      </c>
    </row>
    <row r="544" spans="2:3" hidden="1" x14ac:dyDescent="0.25">
      <c r="B544" s="873" t="s">
        <v>1517</v>
      </c>
      <c r="C544" s="876">
        <v>98103</v>
      </c>
    </row>
    <row r="545" spans="2:3" hidden="1" x14ac:dyDescent="0.25">
      <c r="B545" s="873" t="s">
        <v>1465</v>
      </c>
      <c r="C545" s="876">
        <v>38205</v>
      </c>
    </row>
    <row r="546" spans="2:3" hidden="1" x14ac:dyDescent="0.25">
      <c r="B546" s="873" t="s">
        <v>1464</v>
      </c>
      <c r="C546" s="876">
        <v>38200</v>
      </c>
    </row>
    <row r="547" spans="2:3" hidden="1" x14ac:dyDescent="0.25">
      <c r="B547" s="873" t="s">
        <v>1419</v>
      </c>
      <c r="C547" s="876">
        <v>36305</v>
      </c>
    </row>
    <row r="548" spans="2:3" hidden="1" x14ac:dyDescent="0.25">
      <c r="B548" s="873" t="s">
        <v>1389</v>
      </c>
      <c r="C548" s="876">
        <v>35300</v>
      </c>
    </row>
    <row r="549" spans="2:3" hidden="1" x14ac:dyDescent="0.25">
      <c r="B549" s="873" t="s">
        <v>1467</v>
      </c>
      <c r="C549" s="876">
        <v>38300</v>
      </c>
    </row>
    <row r="550" spans="2:3" hidden="1" x14ac:dyDescent="0.25">
      <c r="B550" s="873" t="s">
        <v>1244</v>
      </c>
      <c r="C550" s="876">
        <v>13700</v>
      </c>
    </row>
    <row r="551" spans="2:3" hidden="1" x14ac:dyDescent="0.25">
      <c r="B551" s="873" t="s">
        <v>1408</v>
      </c>
      <c r="C551" s="876">
        <v>36007</v>
      </c>
    </row>
    <row r="552" spans="2:3" hidden="1" x14ac:dyDescent="0.25">
      <c r="B552" s="873" t="s">
        <v>1283</v>
      </c>
      <c r="C552" s="876">
        <v>30405</v>
      </c>
    </row>
    <row r="553" spans="2:3" hidden="1" x14ac:dyDescent="0.25">
      <c r="B553" s="873" t="s">
        <v>1455</v>
      </c>
      <c r="C553" s="876">
        <v>37801</v>
      </c>
    </row>
    <row r="554" spans="2:3" hidden="1" x14ac:dyDescent="0.25">
      <c r="B554" s="873" t="s">
        <v>1322</v>
      </c>
      <c r="C554" s="876">
        <v>32405</v>
      </c>
    </row>
    <row r="555" spans="2:3" hidden="1" x14ac:dyDescent="0.25">
      <c r="B555" s="873" t="s">
        <v>1489</v>
      </c>
      <c r="C555" s="876">
        <v>39204</v>
      </c>
    </row>
    <row r="556" spans="2:3" hidden="1" x14ac:dyDescent="0.25">
      <c r="B556" s="873" t="s">
        <v>1384</v>
      </c>
      <c r="C556" s="876">
        <v>35005</v>
      </c>
    </row>
    <row r="557" spans="2:3" hidden="1" x14ac:dyDescent="0.25">
      <c r="B557" s="873" t="s">
        <v>1470</v>
      </c>
      <c r="C557" s="876">
        <v>38405</v>
      </c>
    </row>
    <row r="558" spans="2:3" hidden="1" x14ac:dyDescent="0.25">
      <c r="B558" s="873" t="s">
        <v>1468</v>
      </c>
      <c r="C558" s="876">
        <v>38400</v>
      </c>
    </row>
    <row r="559" spans="2:3" hidden="1" x14ac:dyDescent="0.25">
      <c r="B559" s="873" t="s">
        <v>1418</v>
      </c>
      <c r="C559" s="876">
        <v>36302</v>
      </c>
    </row>
    <row r="560" spans="2:3" hidden="1" x14ac:dyDescent="0.25">
      <c r="B560" s="873" t="s">
        <v>1223</v>
      </c>
      <c r="C560" s="876">
        <v>10500</v>
      </c>
    </row>
    <row r="561" spans="2:3" hidden="1" x14ac:dyDescent="0.25">
      <c r="B561" s="873" t="s">
        <v>1235</v>
      </c>
      <c r="C561" s="876">
        <v>11900</v>
      </c>
    </row>
    <row r="562" spans="2:3" ht="26.25" hidden="1" x14ac:dyDescent="0.25">
      <c r="B562" s="873" t="s">
        <v>1265</v>
      </c>
      <c r="C562" s="876">
        <v>21525.1</v>
      </c>
    </row>
    <row r="563" spans="2:3" ht="26.25" hidden="1" x14ac:dyDescent="0.25">
      <c r="B563" s="873" t="s">
        <v>1246</v>
      </c>
      <c r="C563" s="876">
        <v>14300.1</v>
      </c>
    </row>
    <row r="564" spans="2:3" hidden="1" x14ac:dyDescent="0.25">
      <c r="B564" s="873" t="s">
        <v>1245</v>
      </c>
      <c r="C564" s="876">
        <v>14300</v>
      </c>
    </row>
    <row r="565" spans="2:3" hidden="1" x14ac:dyDescent="0.25">
      <c r="B565" s="873" t="s">
        <v>1471</v>
      </c>
      <c r="C565" s="876">
        <v>38500</v>
      </c>
    </row>
    <row r="566" spans="2:3" hidden="1" x14ac:dyDescent="0.25">
      <c r="B566" s="873" t="s">
        <v>1380</v>
      </c>
      <c r="C566" s="876">
        <v>34903</v>
      </c>
    </row>
    <row r="567" spans="2:3" hidden="1" x14ac:dyDescent="0.25">
      <c r="B567" s="873" t="s">
        <v>1475</v>
      </c>
      <c r="C567" s="876">
        <v>38605</v>
      </c>
    </row>
    <row r="568" spans="2:3" hidden="1" x14ac:dyDescent="0.25">
      <c r="B568" s="873" t="s">
        <v>1472</v>
      </c>
      <c r="C568" s="876">
        <v>38600</v>
      </c>
    </row>
    <row r="569" spans="2:3" hidden="1" x14ac:dyDescent="0.25">
      <c r="B569" s="873" t="s">
        <v>1478</v>
      </c>
      <c r="C569" s="876">
        <v>38700</v>
      </c>
    </row>
    <row r="570" spans="2:3" hidden="1" x14ac:dyDescent="0.25">
      <c r="B570" s="873" t="s">
        <v>1278</v>
      </c>
      <c r="C570" s="876">
        <v>30104</v>
      </c>
    </row>
    <row r="571" spans="2:3" hidden="1" x14ac:dyDescent="0.25">
      <c r="B571" s="873" t="s">
        <v>1334</v>
      </c>
      <c r="C571" s="876">
        <v>32920</v>
      </c>
    </row>
    <row r="572" spans="2:3" hidden="1" x14ac:dyDescent="0.25">
      <c r="B572" s="873" t="s">
        <v>1702</v>
      </c>
      <c r="C572" s="876">
        <v>91111</v>
      </c>
    </row>
    <row r="573" spans="2:3" hidden="1" x14ac:dyDescent="0.25">
      <c r="B573" s="873" t="s">
        <v>1707</v>
      </c>
      <c r="C573" s="876">
        <v>99831</v>
      </c>
    </row>
    <row r="574" spans="2:3" hidden="1" x14ac:dyDescent="0.25">
      <c r="B574" s="873" t="s">
        <v>1703</v>
      </c>
      <c r="C574" s="876">
        <v>91151</v>
      </c>
    </row>
    <row r="575" spans="2:3" hidden="1" x14ac:dyDescent="0.25">
      <c r="B575" s="873" t="s">
        <v>1706</v>
      </c>
      <c r="C575" s="876">
        <v>99521</v>
      </c>
    </row>
    <row r="576" spans="2:3" hidden="1" x14ac:dyDescent="0.25">
      <c r="B576" s="873" t="s">
        <v>1704</v>
      </c>
      <c r="C576" s="876">
        <v>98111</v>
      </c>
    </row>
    <row r="577" spans="2:3" hidden="1" x14ac:dyDescent="0.25">
      <c r="B577" s="873" t="s">
        <v>1705</v>
      </c>
      <c r="C577" s="876">
        <v>98131</v>
      </c>
    </row>
    <row r="578" spans="2:3" hidden="1" x14ac:dyDescent="0.25">
      <c r="B578" s="873" t="s">
        <v>1701</v>
      </c>
      <c r="C578" s="876">
        <v>91041</v>
      </c>
    </row>
    <row r="579" spans="2:3" hidden="1" x14ac:dyDescent="0.25">
      <c r="B579" s="873" t="s">
        <v>1480</v>
      </c>
      <c r="C579" s="876">
        <v>38800</v>
      </c>
    </row>
    <row r="580" spans="2:3" hidden="1" x14ac:dyDescent="0.25">
      <c r="B580" s="873" t="s">
        <v>1316</v>
      </c>
      <c r="C580" s="876">
        <v>32005</v>
      </c>
    </row>
    <row r="581" spans="2:3" hidden="1" x14ac:dyDescent="0.25">
      <c r="B581" s="873" t="s">
        <v>1498</v>
      </c>
      <c r="C581" s="876">
        <v>39501</v>
      </c>
    </row>
    <row r="582" spans="2:3" hidden="1" x14ac:dyDescent="0.25">
      <c r="B582" s="873" t="s">
        <v>1482</v>
      </c>
      <c r="C582" s="876">
        <v>38900</v>
      </c>
    </row>
    <row r="583" spans="2:3" hidden="1" x14ac:dyDescent="0.25">
      <c r="B583" s="873" t="s">
        <v>1262</v>
      </c>
      <c r="C583" s="876">
        <v>21200</v>
      </c>
    </row>
    <row r="584" spans="2:3" hidden="1" x14ac:dyDescent="0.25">
      <c r="B584" s="873" t="s">
        <v>1266</v>
      </c>
      <c r="C584" s="876">
        <v>21550</v>
      </c>
    </row>
    <row r="585" spans="2:3" hidden="1" x14ac:dyDescent="0.25">
      <c r="B585" s="873" t="s">
        <v>836</v>
      </c>
      <c r="C585" s="876">
        <v>21520</v>
      </c>
    </row>
    <row r="586" spans="2:3" hidden="1" x14ac:dyDescent="0.25">
      <c r="B586" s="873" t="s">
        <v>1264</v>
      </c>
      <c r="C586" s="876">
        <v>21525</v>
      </c>
    </row>
    <row r="587" spans="2:3" hidden="1" x14ac:dyDescent="0.25">
      <c r="B587" s="873" t="s">
        <v>1483</v>
      </c>
      <c r="C587" s="876">
        <v>39000</v>
      </c>
    </row>
    <row r="588" spans="2:3" hidden="1" x14ac:dyDescent="0.25">
      <c r="B588" s="873" t="s">
        <v>1271</v>
      </c>
      <c r="C588" s="876">
        <v>23000</v>
      </c>
    </row>
    <row r="589" spans="2:3" hidden="1" x14ac:dyDescent="0.25">
      <c r="B589" s="873" t="s">
        <v>1272</v>
      </c>
      <c r="C589" s="876">
        <v>23100</v>
      </c>
    </row>
    <row r="590" spans="2:3" hidden="1" x14ac:dyDescent="0.25">
      <c r="B590" s="873" t="s">
        <v>1261</v>
      </c>
      <c r="C590" s="876">
        <v>20900</v>
      </c>
    </row>
    <row r="591" spans="2:3" hidden="1" x14ac:dyDescent="0.25">
      <c r="B591" s="873" t="s">
        <v>1273</v>
      </c>
      <c r="C591" s="876">
        <v>23200</v>
      </c>
    </row>
    <row r="592" spans="2:3" hidden="1" x14ac:dyDescent="0.25">
      <c r="B592" s="873" t="s">
        <v>1267</v>
      </c>
      <c r="C592" s="876">
        <v>21570</v>
      </c>
    </row>
    <row r="593" spans="2:3" hidden="1" x14ac:dyDescent="0.25">
      <c r="B593" s="873" t="s">
        <v>1449</v>
      </c>
      <c r="C593" s="876">
        <v>37601</v>
      </c>
    </row>
    <row r="594" spans="2:3" hidden="1" x14ac:dyDescent="0.25">
      <c r="B594" s="873" t="s">
        <v>1485</v>
      </c>
      <c r="C594" s="876">
        <v>39101</v>
      </c>
    </row>
    <row r="595" spans="2:3" hidden="1" x14ac:dyDescent="0.25">
      <c r="B595" s="873" t="s">
        <v>1484</v>
      </c>
      <c r="C595" s="876">
        <v>39100</v>
      </c>
    </row>
    <row r="596" spans="2:3" hidden="1" x14ac:dyDescent="0.25">
      <c r="B596" s="873" t="s">
        <v>1486</v>
      </c>
      <c r="C596" s="876">
        <v>39105</v>
      </c>
    </row>
    <row r="597" spans="2:3" hidden="1" x14ac:dyDescent="0.25">
      <c r="B597" s="873" t="s">
        <v>1343</v>
      </c>
      <c r="C597" s="876">
        <v>33204</v>
      </c>
    </row>
    <row r="598" spans="2:3" hidden="1" x14ac:dyDescent="0.25">
      <c r="B598" s="873" t="s">
        <v>1487</v>
      </c>
      <c r="C598" s="876">
        <v>39200</v>
      </c>
    </row>
    <row r="599" spans="2:3" hidden="1" x14ac:dyDescent="0.25">
      <c r="B599" s="873" t="s">
        <v>1490</v>
      </c>
      <c r="C599" s="876">
        <v>39205</v>
      </c>
    </row>
    <row r="600" spans="2:3" hidden="1" x14ac:dyDescent="0.25">
      <c r="B600" s="873" t="s">
        <v>1493</v>
      </c>
      <c r="C600" s="876">
        <v>39300</v>
      </c>
    </row>
    <row r="601" spans="2:3" hidden="1" x14ac:dyDescent="0.25">
      <c r="B601" s="873" t="s">
        <v>1520</v>
      </c>
      <c r="C601" s="876">
        <v>99401</v>
      </c>
    </row>
    <row r="602" spans="2:3" hidden="1" x14ac:dyDescent="0.25">
      <c r="B602" s="873" t="s">
        <v>1495</v>
      </c>
      <c r="C602" s="876">
        <v>39400</v>
      </c>
    </row>
    <row r="603" spans="2:3" hidden="1" x14ac:dyDescent="0.25">
      <c r="B603" s="873" t="s">
        <v>1497</v>
      </c>
      <c r="C603" s="876">
        <v>39500</v>
      </c>
    </row>
    <row r="604" spans="2:3" hidden="1" x14ac:dyDescent="0.25">
      <c r="B604" s="873" t="s">
        <v>1500</v>
      </c>
      <c r="C604" s="876">
        <v>39605</v>
      </c>
    </row>
    <row r="605" spans="2:3" hidden="1" x14ac:dyDescent="0.25">
      <c r="B605" s="873" t="s">
        <v>1499</v>
      </c>
      <c r="C605" s="876">
        <v>39600</v>
      </c>
    </row>
    <row r="606" spans="2:3" hidden="1" x14ac:dyDescent="0.25">
      <c r="B606" s="873" t="s">
        <v>1367</v>
      </c>
      <c r="C606" s="876">
        <v>34230</v>
      </c>
    </row>
    <row r="607" spans="2:3" hidden="1" x14ac:dyDescent="0.25">
      <c r="B607" s="873" t="s">
        <v>1268</v>
      </c>
      <c r="C607" s="876">
        <v>21800</v>
      </c>
    </row>
    <row r="608" spans="2:3" hidden="1" x14ac:dyDescent="0.25">
      <c r="B608" s="873" t="s">
        <v>1300</v>
      </c>
      <c r="C608" s="876">
        <v>31205</v>
      </c>
    </row>
    <row r="609" spans="2:3" hidden="1" x14ac:dyDescent="0.25">
      <c r="B609" s="873" t="s">
        <v>1323</v>
      </c>
      <c r="C609" s="876">
        <v>32410</v>
      </c>
    </row>
    <row r="610" spans="2:3" hidden="1" x14ac:dyDescent="0.25">
      <c r="B610" s="873" t="s">
        <v>1234</v>
      </c>
      <c r="C610" s="876">
        <v>11600</v>
      </c>
    </row>
    <row r="611" spans="2:3" hidden="1" x14ac:dyDescent="0.25">
      <c r="B611" s="873" t="s">
        <v>1503</v>
      </c>
      <c r="C611" s="876">
        <v>39705</v>
      </c>
    </row>
    <row r="612" spans="2:3" hidden="1" x14ac:dyDescent="0.25">
      <c r="B612" s="873" t="s">
        <v>1501</v>
      </c>
      <c r="C612" s="876">
        <v>39700</v>
      </c>
    </row>
    <row r="613" spans="2:3" hidden="1" x14ac:dyDescent="0.25">
      <c r="B613" s="873" t="s">
        <v>1425</v>
      </c>
      <c r="C613" s="876">
        <v>36502</v>
      </c>
    </row>
    <row r="614" spans="2:3" hidden="1" x14ac:dyDescent="0.25">
      <c r="B614" s="873" t="s">
        <v>1505</v>
      </c>
      <c r="C614" s="876">
        <v>39805</v>
      </c>
    </row>
    <row r="615" spans="2:3" hidden="1" x14ac:dyDescent="0.25">
      <c r="B615" s="873" t="s">
        <v>1504</v>
      </c>
      <c r="C615" s="876">
        <v>39800</v>
      </c>
    </row>
    <row r="616" spans="2:3" hidden="1" x14ac:dyDescent="0.25">
      <c r="B616" s="873" t="s">
        <v>1269</v>
      </c>
      <c r="C616" s="876">
        <v>21900</v>
      </c>
    </row>
    <row r="617" spans="2:3" hidden="1" x14ac:dyDescent="0.25">
      <c r="B617" s="873" t="s">
        <v>1351</v>
      </c>
      <c r="C617" s="876">
        <v>33400</v>
      </c>
    </row>
    <row r="618" spans="2:3" hidden="1" x14ac:dyDescent="0.25">
      <c r="B618" s="873" t="s">
        <v>1506</v>
      </c>
      <c r="C618" s="876">
        <v>39900</v>
      </c>
    </row>
    <row r="619" spans="2:3" hidden="1" x14ac:dyDescent="0.25">
      <c r="B619" s="873" t="s">
        <v>1274</v>
      </c>
      <c r="C619" s="876">
        <v>30000</v>
      </c>
    </row>
    <row r="620" spans="2:3" hidden="1" x14ac:dyDescent="0.25">
      <c r="B620" s="873" t="s">
        <v>1430</v>
      </c>
      <c r="C620" s="876">
        <v>36701</v>
      </c>
    </row>
    <row r="621" spans="2:3" hidden="1" x14ac:dyDescent="0.25"/>
    <row r="622" spans="2:3" hidden="1" x14ac:dyDescent="0.25"/>
    <row r="623" spans="2:3" hidden="1" x14ac:dyDescent="0.25"/>
  </sheetData>
  <mergeCells count="3">
    <mergeCell ref="E3:I3"/>
    <mergeCell ref="K3:O3"/>
    <mergeCell ref="Q3:S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2" max="16383" man="1"/>
  </rowBreaks>
  <colBreaks count="1" manualBreakCount="1">
    <brk id="7"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3A97A-B1F4-4A6C-92BB-64A0DBBE46D6}">
  <sheetPr>
    <pageSetUpPr fitToPage="1"/>
  </sheetPr>
  <dimension ref="A1:AI623"/>
  <sheetViews>
    <sheetView workbookViewId="0">
      <selection sqref="A1:B2"/>
    </sheetView>
  </sheetViews>
  <sheetFormatPr defaultColWidth="9.140625" defaultRowHeight="15.75" x14ac:dyDescent="0.25"/>
  <cols>
    <col min="1" max="1" width="14.28515625" style="887" customWidth="1"/>
    <col min="2" max="2" width="34.5703125" style="856" customWidth="1"/>
    <col min="3" max="3" width="17.5703125" style="856" customWidth="1"/>
    <col min="4" max="4" width="17.28515625" style="857" customWidth="1"/>
    <col min="5" max="5" width="15" style="856" customWidth="1"/>
    <col min="6" max="6" width="14.7109375" style="857" customWidth="1"/>
    <col min="7" max="7" width="12" style="857" customWidth="1"/>
    <col min="8" max="8" width="17.5703125" style="857" customWidth="1"/>
    <col min="9" max="9" width="17" style="857" customWidth="1"/>
    <col min="10" max="10" width="2.85546875" style="857" customWidth="1"/>
    <col min="11" max="13" width="17" style="857" customWidth="1"/>
    <col min="14" max="14" width="19.140625" style="857" customWidth="1"/>
    <col min="15" max="15" width="17" style="857" customWidth="1"/>
    <col min="16" max="16" width="3.140625" style="857" customWidth="1"/>
    <col min="17" max="17" width="20" style="857" customWidth="1"/>
    <col min="18" max="18" width="22.85546875" style="857" customWidth="1"/>
    <col min="19" max="19" width="15.28515625" style="857" customWidth="1"/>
    <col min="20" max="27" width="16.42578125" style="857" customWidth="1"/>
    <col min="28" max="28" width="12.42578125" style="857" customWidth="1"/>
    <col min="29" max="29" width="12.7109375" style="857" bestFit="1" customWidth="1"/>
    <col min="30" max="16384" width="9.140625" style="857"/>
  </cols>
  <sheetData>
    <row r="1" spans="1:35" x14ac:dyDescent="0.25">
      <c r="A1" s="855" t="s">
        <v>1699</v>
      </c>
    </row>
    <row r="2" spans="1:35" ht="18" customHeight="1" x14ac:dyDescent="0.25">
      <c r="A2" s="855" t="s">
        <v>1700</v>
      </c>
      <c r="B2" s="858"/>
      <c r="C2" s="859"/>
      <c r="D2" s="859"/>
      <c r="E2" s="857"/>
      <c r="H2" s="860"/>
      <c r="R2" s="859"/>
      <c r="S2" s="859"/>
    </row>
    <row r="3" spans="1:35" s="867" customFormat="1" ht="14.25" customHeight="1" x14ac:dyDescent="0.2">
      <c r="A3" s="861"/>
      <c r="B3" s="862"/>
      <c r="C3" s="862"/>
      <c r="D3" s="863"/>
      <c r="E3" s="1256" t="s">
        <v>1089</v>
      </c>
      <c r="F3" s="1256"/>
      <c r="G3" s="1256"/>
      <c r="H3" s="1256"/>
      <c r="I3" s="1256"/>
      <c r="J3" s="864"/>
      <c r="K3" s="1256" t="s">
        <v>745</v>
      </c>
      <c r="L3" s="1256"/>
      <c r="M3" s="1256"/>
      <c r="N3" s="1256"/>
      <c r="O3" s="1256"/>
      <c r="P3" s="864"/>
      <c r="Q3" s="1256" t="s">
        <v>1206</v>
      </c>
      <c r="R3" s="1256"/>
      <c r="S3" s="1256"/>
      <c r="T3" s="865"/>
      <c r="U3" s="866"/>
      <c r="V3" s="865"/>
      <c r="W3" s="865"/>
      <c r="X3" s="865"/>
      <c r="Y3" s="865"/>
      <c r="Z3" s="865"/>
      <c r="AA3" s="865"/>
    </row>
    <row r="4" spans="1:35" s="867" customFormat="1" ht="109.5" customHeight="1" x14ac:dyDescent="0.2">
      <c r="A4" s="868" t="s">
        <v>1207</v>
      </c>
      <c r="B4" s="869" t="s">
        <v>1208</v>
      </c>
      <c r="C4" s="870" t="s">
        <v>1209</v>
      </c>
      <c r="D4" s="871" t="s">
        <v>1210</v>
      </c>
      <c r="E4" s="870" t="s">
        <v>1211</v>
      </c>
      <c r="F4" s="870" t="s">
        <v>1212</v>
      </c>
      <c r="G4" s="870" t="s">
        <v>1213</v>
      </c>
      <c r="H4" s="870" t="s">
        <v>1214</v>
      </c>
      <c r="I4" s="870" t="s">
        <v>1215</v>
      </c>
      <c r="J4" s="870"/>
      <c r="K4" s="870" t="s">
        <v>1211</v>
      </c>
      <c r="L4" s="870" t="s">
        <v>1212</v>
      </c>
      <c r="M4" s="870" t="s">
        <v>1213</v>
      </c>
      <c r="N4" s="870" t="s">
        <v>1214</v>
      </c>
      <c r="O4" s="870" t="s">
        <v>1216</v>
      </c>
      <c r="P4" s="870"/>
      <c r="Q4" s="870" t="s">
        <v>1217</v>
      </c>
      <c r="R4" s="870" t="s">
        <v>1218</v>
      </c>
      <c r="S4" s="870" t="s">
        <v>1219</v>
      </c>
      <c r="T4" s="870"/>
      <c r="U4" s="870"/>
      <c r="V4" s="870"/>
      <c r="W4" s="870"/>
      <c r="X4" s="870"/>
      <c r="Y4" s="870"/>
      <c r="Z4" s="870"/>
      <c r="AA4" s="870"/>
    </row>
    <row r="5" spans="1:35" ht="12.75" customHeight="1" x14ac:dyDescent="0.25">
      <c r="A5" s="872" t="s">
        <v>533</v>
      </c>
      <c r="B5" s="873" t="s">
        <v>1220</v>
      </c>
      <c r="C5" s="874">
        <v>0</v>
      </c>
      <c r="D5" s="874">
        <v>0</v>
      </c>
      <c r="E5" s="874">
        <v>0</v>
      </c>
      <c r="F5" s="874">
        <v>0</v>
      </c>
      <c r="G5" s="874">
        <v>0</v>
      </c>
      <c r="H5" s="874">
        <v>0</v>
      </c>
      <c r="I5" s="874">
        <v>0</v>
      </c>
      <c r="J5" s="875"/>
      <c r="K5" s="874">
        <v>0</v>
      </c>
      <c r="L5" s="874">
        <v>0</v>
      </c>
      <c r="M5" s="874">
        <v>0</v>
      </c>
      <c r="N5" s="874">
        <v>0</v>
      </c>
      <c r="O5" s="874">
        <v>0</v>
      </c>
      <c r="P5" s="874"/>
      <c r="Q5" s="874">
        <v>0</v>
      </c>
      <c r="R5" s="874">
        <v>0</v>
      </c>
      <c r="S5" s="874">
        <v>0</v>
      </c>
      <c r="T5" s="875"/>
      <c r="U5" s="875"/>
      <c r="V5" s="875"/>
      <c r="W5" s="875"/>
      <c r="X5" s="875"/>
      <c r="Y5" s="875"/>
      <c r="Z5" s="875"/>
      <c r="AA5" s="875"/>
    </row>
    <row r="6" spans="1:35" x14ac:dyDescent="0.25">
      <c r="A6" s="876">
        <v>10200</v>
      </c>
      <c r="B6" s="873" t="s">
        <v>1221</v>
      </c>
      <c r="C6" s="873">
        <v>31701074</v>
      </c>
      <c r="D6" s="874">
        <v>26606143</v>
      </c>
      <c r="E6" s="874">
        <v>0</v>
      </c>
      <c r="F6" s="874">
        <v>2861</v>
      </c>
      <c r="G6" s="874">
        <v>0</v>
      </c>
      <c r="H6" s="874">
        <v>1025316</v>
      </c>
      <c r="I6" s="877">
        <f>SUM(E6:H6)</f>
        <v>1028177</v>
      </c>
      <c r="J6" s="874"/>
      <c r="K6" s="874">
        <v>1819445</v>
      </c>
      <c r="L6" s="874">
        <v>0</v>
      </c>
      <c r="M6" s="874">
        <v>11526395</v>
      </c>
      <c r="N6" s="874">
        <v>1213610</v>
      </c>
      <c r="O6" s="877">
        <f>SUM(K6:N6)</f>
        <v>14559450</v>
      </c>
      <c r="P6" s="874"/>
      <c r="Q6" s="877">
        <f>S6-R6</f>
        <v>-359908</v>
      </c>
      <c r="R6" s="874">
        <v>13611</v>
      </c>
      <c r="S6" s="874">
        <v>-346297</v>
      </c>
      <c r="T6" s="878"/>
      <c r="U6" s="878"/>
      <c r="V6" s="878"/>
      <c r="W6" s="878"/>
      <c r="X6" s="878"/>
      <c r="Y6" s="878"/>
      <c r="Z6" s="878"/>
      <c r="AA6" s="878"/>
      <c r="AB6" s="879"/>
      <c r="AC6" s="879"/>
      <c r="AD6" s="879"/>
      <c r="AE6" s="879"/>
      <c r="AF6" s="879"/>
      <c r="AG6" s="879"/>
      <c r="AH6" s="879"/>
      <c r="AI6" s="879"/>
    </row>
    <row r="7" spans="1:35" x14ac:dyDescent="0.25">
      <c r="A7" s="876">
        <v>10400</v>
      </c>
      <c r="B7" s="873" t="s">
        <v>1222</v>
      </c>
      <c r="C7" s="873">
        <v>93084903</v>
      </c>
      <c r="D7" s="874">
        <v>77929194</v>
      </c>
      <c r="E7" s="874">
        <v>0</v>
      </c>
      <c r="F7" s="874">
        <v>8381</v>
      </c>
      <c r="G7" s="874">
        <v>0</v>
      </c>
      <c r="H7" s="874">
        <v>3810204</v>
      </c>
      <c r="I7" s="877">
        <f t="shared" ref="I7:I70" si="0">SUM(E7:H7)</f>
        <v>3818585</v>
      </c>
      <c r="J7" s="874"/>
      <c r="K7" s="874">
        <v>5329142</v>
      </c>
      <c r="L7" s="874">
        <v>0</v>
      </c>
      <c r="M7" s="874">
        <v>33760726</v>
      </c>
      <c r="N7" s="874">
        <v>3710220</v>
      </c>
      <c r="O7" s="877">
        <f t="shared" ref="O7:O70" si="1">SUM(K7:N7)</f>
        <v>42800088</v>
      </c>
      <c r="P7" s="874"/>
      <c r="Q7" s="877">
        <f t="shared" ref="Q7:Q70" si="2">S7-R7</f>
        <v>-1054168</v>
      </c>
      <c r="R7" s="874">
        <v>210508</v>
      </c>
      <c r="S7" s="874">
        <v>-843660</v>
      </c>
      <c r="T7" s="878"/>
      <c r="U7" s="878"/>
      <c r="V7" s="878"/>
      <c r="W7" s="878"/>
      <c r="X7" s="878"/>
      <c r="Y7" s="878"/>
      <c r="Z7" s="878"/>
      <c r="AA7" s="878"/>
      <c r="AB7" s="879"/>
      <c r="AC7" s="879"/>
      <c r="AD7" s="879"/>
      <c r="AE7" s="879"/>
      <c r="AF7" s="879"/>
      <c r="AG7" s="879"/>
      <c r="AH7" s="879"/>
      <c r="AI7" s="879"/>
    </row>
    <row r="8" spans="1:35" x14ac:dyDescent="0.25">
      <c r="A8" s="876">
        <v>10500</v>
      </c>
      <c r="B8" s="873" t="s">
        <v>1223</v>
      </c>
      <c r="C8" s="873">
        <v>22756790</v>
      </c>
      <c r="D8" s="874">
        <v>19211855</v>
      </c>
      <c r="E8" s="874">
        <v>0</v>
      </c>
      <c r="F8" s="874">
        <v>2066</v>
      </c>
      <c r="G8" s="874">
        <v>0</v>
      </c>
      <c r="H8" s="874">
        <v>2356332</v>
      </c>
      <c r="I8" s="877">
        <f t="shared" si="0"/>
        <v>2358398</v>
      </c>
      <c r="J8" s="874"/>
      <c r="K8" s="874">
        <v>1313791</v>
      </c>
      <c r="L8" s="874">
        <v>0</v>
      </c>
      <c r="M8" s="874">
        <v>8323019</v>
      </c>
      <c r="N8" s="874">
        <v>734940</v>
      </c>
      <c r="O8" s="877">
        <f t="shared" si="1"/>
        <v>10371750</v>
      </c>
      <c r="P8" s="874"/>
      <c r="Q8" s="877">
        <f t="shared" si="2"/>
        <v>-259884</v>
      </c>
      <c r="R8" s="874">
        <v>442098</v>
      </c>
      <c r="S8" s="874">
        <v>182214</v>
      </c>
      <c r="T8" s="878"/>
      <c r="U8" s="878"/>
      <c r="V8" s="878"/>
      <c r="W8" s="878"/>
      <c r="X8" s="878"/>
      <c r="Y8" s="878"/>
      <c r="Z8" s="878"/>
      <c r="AA8" s="878"/>
      <c r="AB8" s="879"/>
      <c r="AC8" s="879"/>
      <c r="AD8" s="879"/>
      <c r="AE8" s="879"/>
      <c r="AF8" s="879"/>
      <c r="AG8" s="879"/>
      <c r="AH8" s="879"/>
      <c r="AI8" s="879"/>
    </row>
    <row r="9" spans="1:35" x14ac:dyDescent="0.25">
      <c r="A9" s="876">
        <v>10700</v>
      </c>
      <c r="B9" s="873" t="s">
        <v>1224</v>
      </c>
      <c r="C9" s="873">
        <v>132608146</v>
      </c>
      <c r="D9" s="874">
        <v>116913390</v>
      </c>
      <c r="E9" s="874">
        <v>0</v>
      </c>
      <c r="F9" s="874">
        <v>12573</v>
      </c>
      <c r="G9" s="874">
        <v>0</v>
      </c>
      <c r="H9" s="874">
        <v>12302051</v>
      </c>
      <c r="I9" s="877">
        <f t="shared" si="0"/>
        <v>12314624</v>
      </c>
      <c r="J9" s="874"/>
      <c r="K9" s="874">
        <v>7995053</v>
      </c>
      <c r="L9" s="874">
        <v>0</v>
      </c>
      <c r="M9" s="874">
        <v>50649580</v>
      </c>
      <c r="N9" s="874">
        <v>0</v>
      </c>
      <c r="O9" s="877">
        <f t="shared" si="1"/>
        <v>58644633</v>
      </c>
      <c r="P9" s="874"/>
      <c r="Q9" s="877">
        <f t="shared" si="2"/>
        <v>-1581517</v>
      </c>
      <c r="R9" s="874">
        <v>2943445</v>
      </c>
      <c r="S9" s="874">
        <v>1361928</v>
      </c>
      <c r="T9" s="878"/>
      <c r="U9" s="878"/>
      <c r="V9" s="878"/>
      <c r="W9" s="878"/>
      <c r="X9" s="878"/>
      <c r="Y9" s="878"/>
      <c r="Z9" s="878"/>
      <c r="AA9" s="878"/>
      <c r="AB9" s="879"/>
      <c r="AC9" s="879"/>
      <c r="AD9" s="879"/>
      <c r="AE9" s="879"/>
      <c r="AF9" s="879"/>
      <c r="AG9" s="879"/>
      <c r="AH9" s="879"/>
      <c r="AI9" s="879"/>
    </row>
    <row r="10" spans="1:35" x14ac:dyDescent="0.25">
      <c r="A10" s="876">
        <v>10800</v>
      </c>
      <c r="B10" s="873" t="s">
        <v>1225</v>
      </c>
      <c r="C10" s="873">
        <v>578237397</v>
      </c>
      <c r="D10" s="874">
        <v>508941807</v>
      </c>
      <c r="E10" s="874">
        <v>0</v>
      </c>
      <c r="F10" s="874">
        <v>54734</v>
      </c>
      <c r="G10" s="874">
        <v>0</v>
      </c>
      <c r="H10" s="874">
        <v>50045740</v>
      </c>
      <c r="I10" s="877">
        <f t="shared" si="0"/>
        <v>50100474</v>
      </c>
      <c r="J10" s="874"/>
      <c r="K10" s="874">
        <v>34803685</v>
      </c>
      <c r="L10" s="874">
        <v>0</v>
      </c>
      <c r="M10" s="874">
        <v>220485340</v>
      </c>
      <c r="N10" s="874">
        <v>0</v>
      </c>
      <c r="O10" s="877">
        <f t="shared" si="1"/>
        <v>255289025</v>
      </c>
      <c r="P10" s="874"/>
      <c r="Q10" s="877">
        <f t="shared" si="2"/>
        <v>-6884586</v>
      </c>
      <c r="R10" s="874">
        <v>12032667</v>
      </c>
      <c r="S10" s="874">
        <v>5148081</v>
      </c>
      <c r="T10" s="878"/>
      <c r="U10" s="878"/>
      <c r="V10" s="878"/>
      <c r="W10" s="878"/>
      <c r="X10" s="878"/>
      <c r="Y10" s="878"/>
      <c r="Z10" s="878"/>
      <c r="AA10" s="878"/>
      <c r="AB10" s="879"/>
      <c r="AC10" s="879"/>
      <c r="AD10" s="879"/>
      <c r="AE10" s="879"/>
      <c r="AF10" s="879"/>
      <c r="AG10" s="879"/>
      <c r="AH10" s="879"/>
      <c r="AI10" s="879"/>
    </row>
    <row r="11" spans="1:35" x14ac:dyDescent="0.25">
      <c r="A11" s="876">
        <v>10850</v>
      </c>
      <c r="B11" s="873" t="s">
        <v>1226</v>
      </c>
      <c r="C11" s="873">
        <v>4077013</v>
      </c>
      <c r="D11" s="874">
        <v>4335972</v>
      </c>
      <c r="E11" s="874">
        <v>0</v>
      </c>
      <c r="F11" s="874">
        <v>466</v>
      </c>
      <c r="G11" s="874">
        <v>0</v>
      </c>
      <c r="H11" s="874">
        <v>1368924</v>
      </c>
      <c r="I11" s="877">
        <f t="shared" si="0"/>
        <v>1369390</v>
      </c>
      <c r="J11" s="874"/>
      <c r="K11" s="874">
        <v>296513</v>
      </c>
      <c r="L11" s="874">
        <v>0</v>
      </c>
      <c r="M11" s="874">
        <v>1878443</v>
      </c>
      <c r="N11" s="874">
        <v>0</v>
      </c>
      <c r="O11" s="877">
        <f t="shared" si="1"/>
        <v>2174956</v>
      </c>
      <c r="P11" s="874"/>
      <c r="Q11" s="877">
        <f t="shared" si="2"/>
        <v>-58654</v>
      </c>
      <c r="R11" s="874">
        <v>288245</v>
      </c>
      <c r="S11" s="874">
        <v>229591</v>
      </c>
      <c r="T11" s="878"/>
      <c r="U11" s="878"/>
      <c r="V11" s="878"/>
      <c r="W11" s="878"/>
      <c r="X11" s="878"/>
      <c r="Y11" s="878"/>
      <c r="Z11" s="878"/>
      <c r="AA11" s="878"/>
      <c r="AB11" s="879"/>
      <c r="AC11" s="879"/>
      <c r="AD11" s="879"/>
      <c r="AE11" s="879"/>
      <c r="AF11" s="879"/>
      <c r="AG11" s="879"/>
      <c r="AH11" s="879"/>
      <c r="AI11" s="879"/>
    </row>
    <row r="12" spans="1:35" x14ac:dyDescent="0.25">
      <c r="A12" s="876">
        <v>10900</v>
      </c>
      <c r="B12" s="873" t="s">
        <v>1227</v>
      </c>
      <c r="C12" s="873">
        <v>50617538</v>
      </c>
      <c r="D12" s="874">
        <v>37555815</v>
      </c>
      <c r="E12" s="874">
        <v>0</v>
      </c>
      <c r="F12" s="874">
        <v>4039</v>
      </c>
      <c r="G12" s="874">
        <v>0</v>
      </c>
      <c r="H12" s="874">
        <v>0</v>
      </c>
      <c r="I12" s="877">
        <f t="shared" si="0"/>
        <v>4039</v>
      </c>
      <c r="J12" s="874"/>
      <c r="K12" s="874">
        <v>2568232</v>
      </c>
      <c r="L12" s="874">
        <v>0</v>
      </c>
      <c r="M12" s="874">
        <v>16270046</v>
      </c>
      <c r="N12" s="874">
        <v>8335885</v>
      </c>
      <c r="O12" s="877">
        <f t="shared" si="1"/>
        <v>27174163</v>
      </c>
      <c r="P12" s="874"/>
      <c r="Q12" s="877">
        <f t="shared" si="2"/>
        <v>-508027</v>
      </c>
      <c r="R12" s="874">
        <v>-1686313</v>
      </c>
      <c r="S12" s="874">
        <v>-2194340</v>
      </c>
      <c r="T12" s="878"/>
      <c r="U12" s="878"/>
      <c r="V12" s="878"/>
      <c r="W12" s="878"/>
      <c r="X12" s="878"/>
      <c r="Y12" s="878"/>
      <c r="Z12" s="878"/>
      <c r="AA12" s="878"/>
      <c r="AB12" s="879"/>
      <c r="AC12" s="879"/>
      <c r="AD12" s="879"/>
      <c r="AE12" s="879"/>
      <c r="AF12" s="879"/>
      <c r="AG12" s="879"/>
      <c r="AH12" s="879"/>
      <c r="AI12" s="879"/>
    </row>
    <row r="13" spans="1:35" x14ac:dyDescent="0.25">
      <c r="A13" s="876">
        <v>10910</v>
      </c>
      <c r="B13" s="873" t="s">
        <v>1228</v>
      </c>
      <c r="C13" s="873">
        <v>8324716</v>
      </c>
      <c r="D13" s="874">
        <v>7590436</v>
      </c>
      <c r="E13" s="874">
        <v>0</v>
      </c>
      <c r="F13" s="874">
        <v>816</v>
      </c>
      <c r="G13" s="874">
        <v>0</v>
      </c>
      <c r="H13" s="874">
        <v>987356</v>
      </c>
      <c r="I13" s="877">
        <f t="shared" si="0"/>
        <v>988172</v>
      </c>
      <c r="J13" s="874"/>
      <c r="K13" s="874">
        <v>519067</v>
      </c>
      <c r="L13" s="874">
        <v>0</v>
      </c>
      <c r="M13" s="874">
        <v>3288352</v>
      </c>
      <c r="N13" s="874">
        <v>0</v>
      </c>
      <c r="O13" s="877">
        <f t="shared" si="1"/>
        <v>3807419</v>
      </c>
      <c r="P13" s="874"/>
      <c r="Q13" s="877">
        <f t="shared" si="2"/>
        <v>-102678</v>
      </c>
      <c r="R13" s="874">
        <v>223606</v>
      </c>
      <c r="S13" s="874">
        <v>120928</v>
      </c>
      <c r="T13" s="878"/>
      <c r="U13" s="878"/>
      <c r="V13" s="878"/>
      <c r="W13" s="878"/>
      <c r="X13" s="878"/>
      <c r="Y13" s="878"/>
      <c r="Z13" s="878"/>
      <c r="AA13" s="878"/>
      <c r="AB13" s="879"/>
      <c r="AC13" s="879"/>
      <c r="AD13" s="879"/>
      <c r="AE13" s="879"/>
      <c r="AF13" s="879"/>
      <c r="AG13" s="879"/>
      <c r="AH13" s="879"/>
      <c r="AI13" s="879"/>
    </row>
    <row r="14" spans="1:35" x14ac:dyDescent="0.25">
      <c r="A14" s="876">
        <v>10930</v>
      </c>
      <c r="B14" s="873" t="s">
        <v>1229</v>
      </c>
      <c r="C14" s="873">
        <v>78559570</v>
      </c>
      <c r="D14" s="874">
        <v>64657042</v>
      </c>
      <c r="E14" s="874">
        <v>0</v>
      </c>
      <c r="F14" s="874">
        <v>6954</v>
      </c>
      <c r="G14" s="874">
        <v>0</v>
      </c>
      <c r="H14" s="874">
        <v>9264636</v>
      </c>
      <c r="I14" s="877">
        <f t="shared" si="0"/>
        <v>9271590</v>
      </c>
      <c r="J14" s="874"/>
      <c r="K14" s="874">
        <v>4421534</v>
      </c>
      <c r="L14" s="874">
        <v>0</v>
      </c>
      <c r="M14" s="874">
        <v>28010924</v>
      </c>
      <c r="N14" s="874">
        <v>4136665</v>
      </c>
      <c r="O14" s="877">
        <f t="shared" si="1"/>
        <v>36569123</v>
      </c>
      <c r="P14" s="874"/>
      <c r="Q14" s="877">
        <f t="shared" si="2"/>
        <v>-874632</v>
      </c>
      <c r="R14" s="874">
        <v>1488827</v>
      </c>
      <c r="S14" s="874">
        <v>614195</v>
      </c>
      <c r="T14" s="878"/>
      <c r="U14" s="878"/>
      <c r="V14" s="878"/>
      <c r="W14" s="878"/>
      <c r="X14" s="878"/>
      <c r="Y14" s="878"/>
      <c r="Z14" s="878"/>
      <c r="AA14" s="878"/>
      <c r="AB14" s="879"/>
      <c r="AC14" s="879"/>
      <c r="AD14" s="879"/>
      <c r="AE14" s="879"/>
      <c r="AF14" s="879"/>
      <c r="AG14" s="879"/>
      <c r="AH14" s="879"/>
      <c r="AI14" s="879"/>
    </row>
    <row r="15" spans="1:35" x14ac:dyDescent="0.25">
      <c r="A15" s="876">
        <v>10940</v>
      </c>
      <c r="B15" s="873" t="s">
        <v>1230</v>
      </c>
      <c r="C15" s="873">
        <v>19846062</v>
      </c>
      <c r="D15" s="874">
        <v>17255916</v>
      </c>
      <c r="E15" s="874">
        <v>0</v>
      </c>
      <c r="F15" s="874">
        <v>1856</v>
      </c>
      <c r="G15" s="874">
        <v>0</v>
      </c>
      <c r="H15" s="874">
        <v>1122476</v>
      </c>
      <c r="I15" s="877">
        <f t="shared" si="0"/>
        <v>1124332</v>
      </c>
      <c r="J15" s="874"/>
      <c r="K15" s="874">
        <v>1180036</v>
      </c>
      <c r="L15" s="874">
        <v>0</v>
      </c>
      <c r="M15" s="874">
        <v>7475662</v>
      </c>
      <c r="N15" s="874">
        <v>0</v>
      </c>
      <c r="O15" s="877">
        <f t="shared" si="1"/>
        <v>8655698</v>
      </c>
      <c r="P15" s="874"/>
      <c r="Q15" s="877">
        <f t="shared" si="2"/>
        <v>-233425</v>
      </c>
      <c r="R15" s="874">
        <v>275467</v>
      </c>
      <c r="S15" s="874">
        <v>42042</v>
      </c>
      <c r="T15" s="878"/>
      <c r="U15" s="878"/>
      <c r="V15" s="878"/>
      <c r="W15" s="878"/>
      <c r="X15" s="878"/>
      <c r="Y15" s="878"/>
      <c r="Z15" s="878"/>
      <c r="AA15" s="878"/>
      <c r="AB15" s="879"/>
      <c r="AC15" s="879"/>
      <c r="AD15" s="879"/>
      <c r="AE15" s="879"/>
      <c r="AF15" s="879"/>
      <c r="AG15" s="879"/>
      <c r="AH15" s="879"/>
      <c r="AI15" s="879"/>
    </row>
    <row r="16" spans="1:35" x14ac:dyDescent="0.25">
      <c r="A16" s="876">
        <v>10950</v>
      </c>
      <c r="B16" s="873" t="s">
        <v>1231</v>
      </c>
      <c r="C16" s="873">
        <v>23690030</v>
      </c>
      <c r="D16" s="874">
        <v>20542189</v>
      </c>
      <c r="E16" s="874">
        <v>0</v>
      </c>
      <c r="F16" s="874">
        <v>2209</v>
      </c>
      <c r="G16" s="874">
        <v>0</v>
      </c>
      <c r="H16" s="874">
        <v>295</v>
      </c>
      <c r="I16" s="877">
        <f t="shared" si="0"/>
        <v>2504</v>
      </c>
      <c r="J16" s="874"/>
      <c r="K16" s="874">
        <v>1404765</v>
      </c>
      <c r="L16" s="874">
        <v>0</v>
      </c>
      <c r="M16" s="874">
        <v>8899351</v>
      </c>
      <c r="N16" s="874">
        <v>769488</v>
      </c>
      <c r="O16" s="877">
        <f t="shared" si="1"/>
        <v>11073604</v>
      </c>
      <c r="P16" s="874"/>
      <c r="Q16" s="877">
        <f t="shared" si="2"/>
        <v>-277879</v>
      </c>
      <c r="R16" s="874">
        <v>-192308</v>
      </c>
      <c r="S16" s="874">
        <v>-470187</v>
      </c>
      <c r="T16" s="878"/>
      <c r="U16" s="878"/>
      <c r="V16" s="878"/>
      <c r="W16" s="878"/>
      <c r="X16" s="878"/>
      <c r="Y16" s="878"/>
      <c r="Z16" s="878"/>
      <c r="AA16" s="878"/>
      <c r="AB16" s="879"/>
      <c r="AC16" s="879"/>
      <c r="AD16" s="879"/>
      <c r="AE16" s="879"/>
      <c r="AF16" s="879"/>
      <c r="AG16" s="879"/>
      <c r="AH16" s="879"/>
      <c r="AI16" s="879"/>
    </row>
    <row r="17" spans="1:35" x14ac:dyDescent="0.25">
      <c r="A17" s="876">
        <v>11300</v>
      </c>
      <c r="B17" s="873" t="s">
        <v>1232</v>
      </c>
      <c r="C17" s="873">
        <v>137563488</v>
      </c>
      <c r="D17" s="874">
        <v>116366752</v>
      </c>
      <c r="E17" s="874">
        <v>0</v>
      </c>
      <c r="F17" s="874">
        <v>12515</v>
      </c>
      <c r="G17" s="874">
        <v>0</v>
      </c>
      <c r="H17" s="874">
        <v>0</v>
      </c>
      <c r="I17" s="877">
        <f t="shared" si="0"/>
        <v>12515</v>
      </c>
      <c r="J17" s="874"/>
      <c r="K17" s="874">
        <v>7957672</v>
      </c>
      <c r="L17" s="874">
        <v>0</v>
      </c>
      <c r="M17" s="874">
        <v>50412764</v>
      </c>
      <c r="N17" s="874">
        <v>7708023</v>
      </c>
      <c r="O17" s="877">
        <f t="shared" si="1"/>
        <v>66078459</v>
      </c>
      <c r="P17" s="874"/>
      <c r="Q17" s="877">
        <f t="shared" si="2"/>
        <v>-1574123</v>
      </c>
      <c r="R17" s="874">
        <v>-1755107</v>
      </c>
      <c r="S17" s="874">
        <v>-3329230</v>
      </c>
      <c r="T17" s="878"/>
      <c r="U17" s="878"/>
      <c r="V17" s="878"/>
      <c r="W17" s="878"/>
      <c r="X17" s="878"/>
      <c r="Y17" s="878"/>
      <c r="Z17" s="878"/>
      <c r="AA17" s="878"/>
      <c r="AB17" s="879"/>
      <c r="AC17" s="879"/>
      <c r="AD17" s="879"/>
      <c r="AE17" s="879"/>
      <c r="AF17" s="879"/>
      <c r="AG17" s="879"/>
      <c r="AH17" s="879"/>
      <c r="AI17" s="879"/>
    </row>
    <row r="18" spans="1:35" x14ac:dyDescent="0.25">
      <c r="A18" s="876">
        <v>11310</v>
      </c>
      <c r="B18" s="873" t="s">
        <v>1233</v>
      </c>
      <c r="C18" s="873">
        <v>14467153</v>
      </c>
      <c r="D18" s="874">
        <v>13398205</v>
      </c>
      <c r="E18" s="874">
        <v>0</v>
      </c>
      <c r="F18" s="874">
        <v>1441</v>
      </c>
      <c r="G18" s="874">
        <v>0</v>
      </c>
      <c r="H18" s="874">
        <v>1792755</v>
      </c>
      <c r="I18" s="877">
        <f t="shared" si="0"/>
        <v>1794196</v>
      </c>
      <c r="J18" s="874"/>
      <c r="K18" s="874">
        <v>916228</v>
      </c>
      <c r="L18" s="874">
        <v>0</v>
      </c>
      <c r="M18" s="874">
        <v>5804412</v>
      </c>
      <c r="N18" s="874">
        <v>0</v>
      </c>
      <c r="O18" s="877">
        <f t="shared" si="1"/>
        <v>6720640</v>
      </c>
      <c r="P18" s="874"/>
      <c r="Q18" s="877">
        <f t="shared" si="2"/>
        <v>-181241</v>
      </c>
      <c r="R18" s="874">
        <v>392361</v>
      </c>
      <c r="S18" s="874">
        <v>211120</v>
      </c>
      <c r="T18" s="878"/>
      <c r="U18" s="878"/>
      <c r="V18" s="878"/>
      <c r="W18" s="878"/>
      <c r="X18" s="878"/>
      <c r="Y18" s="878"/>
      <c r="Z18" s="878"/>
      <c r="AA18" s="878"/>
      <c r="AB18" s="879"/>
      <c r="AC18" s="879"/>
      <c r="AD18" s="879"/>
      <c r="AE18" s="879"/>
      <c r="AF18" s="879"/>
      <c r="AG18" s="879"/>
      <c r="AH18" s="879"/>
      <c r="AI18" s="879"/>
    </row>
    <row r="19" spans="1:35" x14ac:dyDescent="0.25">
      <c r="A19" s="876">
        <v>11600</v>
      </c>
      <c r="B19" s="873" t="s">
        <v>1234</v>
      </c>
      <c r="C19" s="873">
        <v>62613997</v>
      </c>
      <c r="D19" s="874">
        <v>53771896</v>
      </c>
      <c r="E19" s="874">
        <v>0</v>
      </c>
      <c r="F19" s="874">
        <v>5783</v>
      </c>
      <c r="G19" s="874">
        <v>0</v>
      </c>
      <c r="H19" s="874">
        <v>3406216</v>
      </c>
      <c r="I19" s="877">
        <f t="shared" si="0"/>
        <v>3411999</v>
      </c>
      <c r="J19" s="874"/>
      <c r="K19" s="874">
        <v>3677159</v>
      </c>
      <c r="L19" s="874">
        <v>0</v>
      </c>
      <c r="M19" s="874">
        <v>23295227</v>
      </c>
      <c r="N19" s="874">
        <v>824975</v>
      </c>
      <c r="O19" s="877">
        <f t="shared" si="1"/>
        <v>27797361</v>
      </c>
      <c r="P19" s="874"/>
      <c r="Q19" s="877">
        <f t="shared" si="2"/>
        <v>-727386</v>
      </c>
      <c r="R19" s="874">
        <v>686560</v>
      </c>
      <c r="S19" s="874">
        <v>-40826</v>
      </c>
      <c r="T19" s="878"/>
      <c r="U19" s="878"/>
      <c r="V19" s="878"/>
      <c r="W19" s="878"/>
      <c r="X19" s="878"/>
      <c r="Y19" s="878"/>
      <c r="Z19" s="878"/>
      <c r="AA19" s="878"/>
      <c r="AB19" s="879"/>
      <c r="AC19" s="879"/>
      <c r="AD19" s="879"/>
      <c r="AE19" s="879"/>
      <c r="AF19" s="879"/>
      <c r="AG19" s="879"/>
      <c r="AH19" s="879"/>
      <c r="AI19" s="879"/>
    </row>
    <row r="20" spans="1:35" x14ac:dyDescent="0.25">
      <c r="A20" s="876">
        <v>11900</v>
      </c>
      <c r="B20" s="873" t="s">
        <v>1235</v>
      </c>
      <c r="C20" s="873">
        <v>6513734</v>
      </c>
      <c r="D20" s="874">
        <v>5441157</v>
      </c>
      <c r="E20" s="874">
        <v>0</v>
      </c>
      <c r="F20" s="874">
        <v>585</v>
      </c>
      <c r="G20" s="874">
        <v>0</v>
      </c>
      <c r="H20" s="874">
        <v>0</v>
      </c>
      <c r="I20" s="877">
        <f t="shared" si="0"/>
        <v>585</v>
      </c>
      <c r="J20" s="874"/>
      <c r="K20" s="874">
        <v>372090</v>
      </c>
      <c r="L20" s="874">
        <v>0</v>
      </c>
      <c r="M20" s="874">
        <v>2357235</v>
      </c>
      <c r="N20" s="874">
        <v>557564</v>
      </c>
      <c r="O20" s="877">
        <f t="shared" si="1"/>
        <v>3286889</v>
      </c>
      <c r="P20" s="874"/>
      <c r="Q20" s="877">
        <f t="shared" si="2"/>
        <v>-73604</v>
      </c>
      <c r="R20" s="874">
        <v>-125614</v>
      </c>
      <c r="S20" s="874">
        <v>-199218</v>
      </c>
      <c r="T20" s="878"/>
      <c r="U20" s="878"/>
      <c r="V20" s="878"/>
      <c r="W20" s="878"/>
      <c r="X20" s="878"/>
      <c r="Y20" s="878"/>
      <c r="Z20" s="878"/>
      <c r="AA20" s="878"/>
      <c r="AB20" s="879"/>
      <c r="AC20" s="879"/>
      <c r="AD20" s="879"/>
      <c r="AE20" s="879"/>
      <c r="AF20" s="879"/>
      <c r="AG20" s="879"/>
      <c r="AH20" s="879"/>
      <c r="AI20" s="879"/>
    </row>
    <row r="21" spans="1:35" x14ac:dyDescent="0.25">
      <c r="A21" s="876">
        <v>12100</v>
      </c>
      <c r="B21" s="873" t="s">
        <v>1236</v>
      </c>
      <c r="C21" s="873">
        <v>8085569</v>
      </c>
      <c r="D21" s="874">
        <v>6402079</v>
      </c>
      <c r="E21" s="874">
        <v>0</v>
      </c>
      <c r="F21" s="874">
        <v>689</v>
      </c>
      <c r="G21" s="874">
        <v>0</v>
      </c>
      <c r="H21" s="874">
        <v>25072</v>
      </c>
      <c r="I21" s="877">
        <f t="shared" si="0"/>
        <v>25761</v>
      </c>
      <c r="J21" s="874"/>
      <c r="K21" s="874">
        <v>437802</v>
      </c>
      <c r="L21" s="874">
        <v>0</v>
      </c>
      <c r="M21" s="874">
        <v>2773528</v>
      </c>
      <c r="N21" s="874">
        <v>798790</v>
      </c>
      <c r="O21" s="877">
        <f t="shared" si="1"/>
        <v>4010120</v>
      </c>
      <c r="P21" s="874"/>
      <c r="Q21" s="877">
        <f t="shared" si="2"/>
        <v>-86603</v>
      </c>
      <c r="R21" s="874">
        <v>-153487</v>
      </c>
      <c r="S21" s="874">
        <v>-240090</v>
      </c>
      <c r="T21" s="878"/>
      <c r="U21" s="878"/>
      <c r="V21" s="878"/>
      <c r="W21" s="878"/>
      <c r="X21" s="878"/>
      <c r="Y21" s="878"/>
      <c r="Z21" s="878"/>
      <c r="AA21" s="878"/>
      <c r="AB21" s="879"/>
      <c r="AC21" s="879"/>
      <c r="AD21" s="879"/>
      <c r="AE21" s="879"/>
      <c r="AF21" s="879"/>
      <c r="AG21" s="879"/>
      <c r="AH21" s="879"/>
      <c r="AI21" s="879"/>
    </row>
    <row r="22" spans="1:35" x14ac:dyDescent="0.25">
      <c r="A22" s="876">
        <v>12150</v>
      </c>
      <c r="B22" s="873" t="s">
        <v>1237</v>
      </c>
      <c r="C22" s="873">
        <v>1204359</v>
      </c>
      <c r="D22" s="874">
        <v>1093387</v>
      </c>
      <c r="E22" s="874">
        <v>0</v>
      </c>
      <c r="F22" s="874">
        <v>118</v>
      </c>
      <c r="G22" s="874">
        <v>0</v>
      </c>
      <c r="H22" s="874">
        <v>57630</v>
      </c>
      <c r="I22" s="877">
        <f t="shared" si="0"/>
        <v>57748</v>
      </c>
      <c r="J22" s="874"/>
      <c r="K22" s="874">
        <v>74771</v>
      </c>
      <c r="L22" s="874">
        <v>0</v>
      </c>
      <c r="M22" s="874">
        <v>473680</v>
      </c>
      <c r="N22" s="874">
        <v>4692</v>
      </c>
      <c r="O22" s="877">
        <f t="shared" si="1"/>
        <v>553143</v>
      </c>
      <c r="P22" s="874"/>
      <c r="Q22" s="877">
        <f t="shared" si="2"/>
        <v>-14791</v>
      </c>
      <c r="R22" s="874">
        <v>10357</v>
      </c>
      <c r="S22" s="874">
        <v>-4434</v>
      </c>
      <c r="T22" s="878"/>
      <c r="U22" s="878"/>
      <c r="V22" s="878"/>
      <c r="W22" s="878"/>
      <c r="X22" s="878"/>
      <c r="Y22" s="878"/>
      <c r="Z22" s="878"/>
      <c r="AA22" s="878"/>
      <c r="AB22" s="879"/>
      <c r="AC22" s="879"/>
      <c r="AD22" s="879"/>
      <c r="AE22" s="879"/>
      <c r="AF22" s="879"/>
      <c r="AG22" s="879"/>
      <c r="AH22" s="879"/>
      <c r="AI22" s="879"/>
    </row>
    <row r="23" spans="1:35" x14ac:dyDescent="0.25">
      <c r="A23" s="876">
        <v>12160</v>
      </c>
      <c r="B23" s="873" t="s">
        <v>1238</v>
      </c>
      <c r="C23" s="873">
        <v>53160533</v>
      </c>
      <c r="D23" s="874">
        <v>47335582</v>
      </c>
      <c r="E23" s="874">
        <v>0</v>
      </c>
      <c r="F23" s="874">
        <v>5091</v>
      </c>
      <c r="G23" s="874">
        <v>0</v>
      </c>
      <c r="H23" s="874">
        <v>2032790</v>
      </c>
      <c r="I23" s="877">
        <f t="shared" si="0"/>
        <v>2037881</v>
      </c>
      <c r="J23" s="874"/>
      <c r="K23" s="874">
        <v>3237016</v>
      </c>
      <c r="L23" s="874">
        <v>0</v>
      </c>
      <c r="M23" s="874">
        <v>20506867</v>
      </c>
      <c r="N23" s="874">
        <v>0</v>
      </c>
      <c r="O23" s="877">
        <f t="shared" si="1"/>
        <v>23743883</v>
      </c>
      <c r="P23" s="874"/>
      <c r="Q23" s="877">
        <f t="shared" si="2"/>
        <v>-640321</v>
      </c>
      <c r="R23" s="874">
        <v>425369</v>
      </c>
      <c r="S23" s="874">
        <v>-214952</v>
      </c>
      <c r="T23" s="878"/>
      <c r="U23" s="878"/>
      <c r="V23" s="878"/>
      <c r="W23" s="878"/>
      <c r="X23" s="878"/>
      <c r="Y23" s="878"/>
      <c r="Z23" s="878"/>
      <c r="AA23" s="878"/>
      <c r="AB23" s="879"/>
      <c r="AC23" s="879"/>
      <c r="AD23" s="879"/>
      <c r="AE23" s="879"/>
      <c r="AF23" s="879"/>
      <c r="AG23" s="879"/>
      <c r="AH23" s="879"/>
      <c r="AI23" s="879"/>
    </row>
    <row r="24" spans="1:35" x14ac:dyDescent="0.25">
      <c r="A24" s="876">
        <v>12220</v>
      </c>
      <c r="B24" s="873" t="s">
        <v>1239</v>
      </c>
      <c r="C24" s="873">
        <v>1361296816</v>
      </c>
      <c r="D24" s="874">
        <v>1184894614</v>
      </c>
      <c r="E24" s="874">
        <v>0</v>
      </c>
      <c r="F24" s="874">
        <v>127429</v>
      </c>
      <c r="G24" s="874">
        <v>0</v>
      </c>
      <c r="H24" s="874">
        <v>58960222</v>
      </c>
      <c r="I24" s="877">
        <f t="shared" si="0"/>
        <v>59087651</v>
      </c>
      <c r="J24" s="874"/>
      <c r="K24" s="874">
        <v>81028319</v>
      </c>
      <c r="L24" s="874">
        <v>0</v>
      </c>
      <c r="M24" s="874">
        <v>513323702</v>
      </c>
      <c r="N24" s="874">
        <v>0</v>
      </c>
      <c r="O24" s="877">
        <f t="shared" si="1"/>
        <v>594352021</v>
      </c>
      <c r="P24" s="874"/>
      <c r="Q24" s="877">
        <f t="shared" si="2"/>
        <v>-16028372</v>
      </c>
      <c r="R24" s="874">
        <v>14365164</v>
      </c>
      <c r="S24" s="874">
        <v>-1663208</v>
      </c>
      <c r="T24" s="878"/>
      <c r="U24" s="878"/>
      <c r="V24" s="878"/>
      <c r="W24" s="878"/>
      <c r="X24" s="878"/>
      <c r="Y24" s="878"/>
      <c r="Z24" s="878"/>
      <c r="AA24" s="878"/>
      <c r="AB24" s="879"/>
      <c r="AC24" s="879"/>
      <c r="AD24" s="879"/>
      <c r="AE24" s="879"/>
      <c r="AF24" s="879"/>
      <c r="AG24" s="879"/>
      <c r="AH24" s="879"/>
      <c r="AI24" s="879"/>
    </row>
    <row r="25" spans="1:35" x14ac:dyDescent="0.25">
      <c r="A25" s="876">
        <v>12510</v>
      </c>
      <c r="B25" s="873" t="s">
        <v>1240</v>
      </c>
      <c r="C25" s="873">
        <v>149194287</v>
      </c>
      <c r="D25" s="874">
        <v>111848082</v>
      </c>
      <c r="E25" s="874">
        <v>0</v>
      </c>
      <c r="F25" s="874">
        <v>12029</v>
      </c>
      <c r="G25" s="874">
        <v>0</v>
      </c>
      <c r="H25" s="874">
        <v>3149352</v>
      </c>
      <c r="I25" s="877">
        <f t="shared" si="0"/>
        <v>3161381</v>
      </c>
      <c r="J25" s="874"/>
      <c r="K25" s="874">
        <v>7648665</v>
      </c>
      <c r="L25" s="874">
        <v>0</v>
      </c>
      <c r="M25" s="874">
        <v>48455171</v>
      </c>
      <c r="N25" s="874">
        <v>21932335</v>
      </c>
      <c r="O25" s="877">
        <f t="shared" si="1"/>
        <v>78036171</v>
      </c>
      <c r="P25" s="874"/>
      <c r="Q25" s="877">
        <f t="shared" si="2"/>
        <v>-1512998</v>
      </c>
      <c r="R25" s="874">
        <v>-3599127</v>
      </c>
      <c r="S25" s="874">
        <v>-5112125</v>
      </c>
      <c r="T25" s="878"/>
      <c r="U25" s="878"/>
      <c r="V25" s="878"/>
      <c r="W25" s="878"/>
      <c r="X25" s="878"/>
      <c r="Y25" s="878"/>
      <c r="Z25" s="878"/>
      <c r="AA25" s="878"/>
      <c r="AB25" s="879"/>
      <c r="AC25" s="879"/>
      <c r="AD25" s="879"/>
      <c r="AE25" s="879"/>
      <c r="AF25" s="879"/>
      <c r="AG25" s="879"/>
      <c r="AH25" s="879"/>
      <c r="AI25" s="879"/>
    </row>
    <row r="26" spans="1:35" x14ac:dyDescent="0.25">
      <c r="A26" s="876">
        <v>12600</v>
      </c>
      <c r="B26" s="873" t="s">
        <v>1241</v>
      </c>
      <c r="C26" s="873">
        <v>40992712</v>
      </c>
      <c r="D26" s="874">
        <v>48403518</v>
      </c>
      <c r="E26" s="874">
        <v>0</v>
      </c>
      <c r="F26" s="874">
        <v>5206</v>
      </c>
      <c r="G26" s="874">
        <v>0</v>
      </c>
      <c r="H26" s="874">
        <v>18302695</v>
      </c>
      <c r="I26" s="877">
        <f t="shared" si="0"/>
        <v>18307901</v>
      </c>
      <c r="J26" s="874"/>
      <c r="K26" s="874">
        <v>3310046</v>
      </c>
      <c r="L26" s="874">
        <v>0</v>
      </c>
      <c r="M26" s="874">
        <v>20969521</v>
      </c>
      <c r="N26" s="874">
        <v>0</v>
      </c>
      <c r="O26" s="877">
        <f t="shared" si="1"/>
        <v>24279567</v>
      </c>
      <c r="P26" s="874"/>
      <c r="Q26" s="877">
        <f t="shared" si="2"/>
        <v>-654767</v>
      </c>
      <c r="R26" s="874">
        <v>3740957</v>
      </c>
      <c r="S26" s="874">
        <v>3086190</v>
      </c>
      <c r="T26" s="878"/>
      <c r="U26" s="878"/>
      <c r="V26" s="878"/>
      <c r="W26" s="878"/>
      <c r="X26" s="878"/>
      <c r="Y26" s="878"/>
      <c r="Z26" s="878"/>
      <c r="AA26" s="878"/>
      <c r="AB26" s="879"/>
      <c r="AC26" s="879"/>
      <c r="AD26" s="879"/>
      <c r="AE26" s="879"/>
      <c r="AF26" s="879"/>
      <c r="AG26" s="879"/>
      <c r="AH26" s="879"/>
      <c r="AI26" s="879"/>
    </row>
    <row r="27" spans="1:35" x14ac:dyDescent="0.25">
      <c r="A27" s="876">
        <v>12700</v>
      </c>
      <c r="B27" s="873" t="s">
        <v>1242</v>
      </c>
      <c r="C27" s="873">
        <v>31324741</v>
      </c>
      <c r="D27" s="874">
        <v>28274430</v>
      </c>
      <c r="E27" s="874">
        <v>0</v>
      </c>
      <c r="F27" s="874">
        <v>3041</v>
      </c>
      <c r="G27" s="874">
        <v>0</v>
      </c>
      <c r="H27" s="874">
        <v>1842165</v>
      </c>
      <c r="I27" s="877">
        <f t="shared" si="0"/>
        <v>1845206</v>
      </c>
      <c r="J27" s="874"/>
      <c r="K27" s="874">
        <v>1933530</v>
      </c>
      <c r="L27" s="874">
        <v>0</v>
      </c>
      <c r="M27" s="874">
        <v>12249136</v>
      </c>
      <c r="N27" s="874">
        <v>0</v>
      </c>
      <c r="O27" s="877">
        <f t="shared" si="1"/>
        <v>14182666</v>
      </c>
      <c r="P27" s="874"/>
      <c r="Q27" s="877">
        <f t="shared" si="2"/>
        <v>-382475</v>
      </c>
      <c r="R27" s="874">
        <v>383377</v>
      </c>
      <c r="S27" s="874">
        <v>902</v>
      </c>
      <c r="T27" s="878"/>
      <c r="U27" s="878"/>
      <c r="V27" s="878"/>
      <c r="W27" s="878"/>
      <c r="X27" s="878"/>
      <c r="Y27" s="878"/>
      <c r="Z27" s="878"/>
      <c r="AA27" s="878"/>
      <c r="AB27" s="879"/>
      <c r="AC27" s="879"/>
      <c r="AD27" s="879"/>
      <c r="AE27" s="879"/>
      <c r="AF27" s="879"/>
      <c r="AG27" s="879"/>
      <c r="AH27" s="879"/>
      <c r="AI27" s="879"/>
    </row>
    <row r="28" spans="1:35" x14ac:dyDescent="0.25">
      <c r="A28" s="876">
        <v>13500</v>
      </c>
      <c r="B28" s="873" t="s">
        <v>1243</v>
      </c>
      <c r="C28" s="873">
        <v>128196901</v>
      </c>
      <c r="D28" s="874">
        <v>110863666</v>
      </c>
      <c r="E28" s="874">
        <v>0</v>
      </c>
      <c r="F28" s="874">
        <v>11923</v>
      </c>
      <c r="G28" s="874">
        <v>0</v>
      </c>
      <c r="H28" s="874">
        <v>11087124</v>
      </c>
      <c r="I28" s="877">
        <f t="shared" si="0"/>
        <v>11099047</v>
      </c>
      <c r="J28" s="874"/>
      <c r="K28" s="874">
        <v>7581346</v>
      </c>
      <c r="L28" s="874">
        <v>0</v>
      </c>
      <c r="M28" s="874">
        <v>48028699</v>
      </c>
      <c r="N28" s="874">
        <v>344530</v>
      </c>
      <c r="O28" s="877">
        <f t="shared" si="1"/>
        <v>55954575</v>
      </c>
      <c r="P28" s="874"/>
      <c r="Q28" s="877">
        <f t="shared" si="2"/>
        <v>-1499681</v>
      </c>
      <c r="R28" s="874">
        <v>2702879</v>
      </c>
      <c r="S28" s="874">
        <v>1203198</v>
      </c>
      <c r="T28" s="878"/>
      <c r="U28" s="878"/>
      <c r="V28" s="878"/>
      <c r="W28" s="878"/>
      <c r="X28" s="878"/>
      <c r="Y28" s="878"/>
      <c r="Z28" s="878"/>
      <c r="AA28" s="878"/>
      <c r="AB28" s="879"/>
      <c r="AC28" s="879"/>
      <c r="AD28" s="879"/>
      <c r="AE28" s="879"/>
      <c r="AF28" s="879"/>
      <c r="AG28" s="879"/>
      <c r="AH28" s="879"/>
      <c r="AI28" s="879"/>
    </row>
    <row r="29" spans="1:35" x14ac:dyDescent="0.25">
      <c r="A29" s="876">
        <v>13700</v>
      </c>
      <c r="B29" s="873" t="s">
        <v>1244</v>
      </c>
      <c r="C29" s="873">
        <v>13588813</v>
      </c>
      <c r="D29" s="874">
        <v>11932272</v>
      </c>
      <c r="E29" s="874">
        <v>0</v>
      </c>
      <c r="F29" s="874">
        <v>1283</v>
      </c>
      <c r="G29" s="874">
        <v>0</v>
      </c>
      <c r="H29" s="874">
        <v>236860</v>
      </c>
      <c r="I29" s="877">
        <f t="shared" si="0"/>
        <v>238143</v>
      </c>
      <c r="J29" s="874"/>
      <c r="K29" s="874">
        <v>815981</v>
      </c>
      <c r="L29" s="874">
        <v>0</v>
      </c>
      <c r="M29" s="874">
        <v>5169336</v>
      </c>
      <c r="N29" s="874">
        <v>355580</v>
      </c>
      <c r="O29" s="877">
        <f t="shared" si="1"/>
        <v>6340897</v>
      </c>
      <c r="P29" s="874"/>
      <c r="Q29" s="877">
        <f t="shared" si="2"/>
        <v>-161411</v>
      </c>
      <c r="R29" s="874">
        <v>-41526</v>
      </c>
      <c r="S29" s="874">
        <v>-202937</v>
      </c>
      <c r="T29" s="878"/>
      <c r="U29" s="878"/>
      <c r="V29" s="878"/>
      <c r="W29" s="878"/>
      <c r="X29" s="878"/>
      <c r="Y29" s="878"/>
      <c r="Z29" s="878"/>
      <c r="AA29" s="878"/>
      <c r="AB29" s="879"/>
      <c r="AC29" s="879"/>
      <c r="AD29" s="879"/>
      <c r="AE29" s="879"/>
      <c r="AF29" s="879"/>
      <c r="AG29" s="879"/>
      <c r="AH29" s="879"/>
      <c r="AI29" s="879"/>
    </row>
    <row r="30" spans="1:35" x14ac:dyDescent="0.25">
      <c r="A30" s="876">
        <v>14300</v>
      </c>
      <c r="B30" s="873" t="s">
        <v>1245</v>
      </c>
      <c r="C30" s="873">
        <v>47058333</v>
      </c>
      <c r="D30" s="874">
        <v>39715891</v>
      </c>
      <c r="E30" s="874">
        <v>0</v>
      </c>
      <c r="F30" s="874">
        <v>4271</v>
      </c>
      <c r="G30" s="874">
        <v>0</v>
      </c>
      <c r="H30" s="874">
        <v>6259460</v>
      </c>
      <c r="I30" s="877">
        <f t="shared" si="0"/>
        <v>6263731</v>
      </c>
      <c r="J30" s="874"/>
      <c r="K30" s="874">
        <v>2715948</v>
      </c>
      <c r="L30" s="874">
        <v>0</v>
      </c>
      <c r="M30" s="874">
        <v>17205841</v>
      </c>
      <c r="N30" s="874">
        <v>1510190</v>
      </c>
      <c r="O30" s="877">
        <f t="shared" si="1"/>
        <v>21431979</v>
      </c>
      <c r="P30" s="874"/>
      <c r="Q30" s="877">
        <f t="shared" si="2"/>
        <v>-537247</v>
      </c>
      <c r="R30" s="874">
        <v>1262828</v>
      </c>
      <c r="S30" s="874">
        <v>725581</v>
      </c>
      <c r="T30" s="878"/>
      <c r="U30" s="878"/>
      <c r="V30" s="878"/>
      <c r="W30" s="878"/>
      <c r="X30" s="878"/>
      <c r="Y30" s="878"/>
      <c r="Z30" s="878"/>
      <c r="AA30" s="878"/>
      <c r="AB30" s="879"/>
      <c r="AC30" s="879"/>
      <c r="AD30" s="879"/>
      <c r="AE30" s="879"/>
      <c r="AF30" s="879"/>
      <c r="AG30" s="879"/>
      <c r="AH30" s="879"/>
      <c r="AI30" s="879"/>
    </row>
    <row r="31" spans="1:35" ht="26.25" x14ac:dyDescent="0.25">
      <c r="A31" s="876">
        <v>14300.1</v>
      </c>
      <c r="B31" s="873" t="s">
        <v>1246</v>
      </c>
      <c r="C31" s="873">
        <v>5541457</v>
      </c>
      <c r="D31" s="874">
        <v>4056735</v>
      </c>
      <c r="E31" s="874">
        <v>0</v>
      </c>
      <c r="F31" s="874">
        <v>436</v>
      </c>
      <c r="G31" s="874">
        <v>0</v>
      </c>
      <c r="H31" s="874">
        <v>1214400</v>
      </c>
      <c r="I31" s="877">
        <f t="shared" si="0"/>
        <v>1214836</v>
      </c>
      <c r="J31" s="874"/>
      <c r="K31" s="874">
        <v>277417</v>
      </c>
      <c r="L31" s="874">
        <v>0</v>
      </c>
      <c r="M31" s="874">
        <v>1757472</v>
      </c>
      <c r="N31" s="874">
        <v>958145</v>
      </c>
      <c r="O31" s="877">
        <f t="shared" si="1"/>
        <v>2993034</v>
      </c>
      <c r="P31" s="874"/>
      <c r="Q31" s="877">
        <f t="shared" si="2"/>
        <v>-54876</v>
      </c>
      <c r="R31" s="874">
        <v>111973</v>
      </c>
      <c r="S31" s="874">
        <v>57097</v>
      </c>
      <c r="T31" s="878"/>
      <c r="U31" s="878"/>
      <c r="V31" s="878"/>
      <c r="W31" s="878"/>
      <c r="X31" s="878"/>
      <c r="Y31" s="878"/>
      <c r="Z31" s="878"/>
      <c r="AA31" s="878"/>
      <c r="AB31" s="879"/>
      <c r="AC31" s="879"/>
      <c r="AD31" s="879"/>
      <c r="AE31" s="879"/>
      <c r="AF31" s="879"/>
      <c r="AG31" s="879"/>
      <c r="AH31" s="879"/>
      <c r="AI31" s="879"/>
    </row>
    <row r="32" spans="1:35" x14ac:dyDescent="0.25">
      <c r="A32" s="876">
        <v>18400</v>
      </c>
      <c r="B32" s="873" t="s">
        <v>1247</v>
      </c>
      <c r="C32" s="873">
        <v>159857963</v>
      </c>
      <c r="D32" s="874">
        <v>138005723</v>
      </c>
      <c r="E32" s="874">
        <v>0</v>
      </c>
      <c r="F32" s="874">
        <v>14842</v>
      </c>
      <c r="G32" s="874">
        <v>0</v>
      </c>
      <c r="H32" s="874">
        <v>6222464</v>
      </c>
      <c r="I32" s="877">
        <f t="shared" si="0"/>
        <v>6237306</v>
      </c>
      <c r="J32" s="874"/>
      <c r="K32" s="874">
        <v>9437440</v>
      </c>
      <c r="L32" s="874">
        <v>0</v>
      </c>
      <c r="M32" s="874">
        <v>59787265</v>
      </c>
      <c r="N32" s="874">
        <v>716065</v>
      </c>
      <c r="O32" s="877">
        <f t="shared" si="1"/>
        <v>69940770</v>
      </c>
      <c r="P32" s="874"/>
      <c r="Q32" s="877">
        <f t="shared" si="2"/>
        <v>-1866839</v>
      </c>
      <c r="R32" s="874">
        <v>1412402</v>
      </c>
      <c r="S32" s="874">
        <v>-454437</v>
      </c>
      <c r="T32" s="878"/>
      <c r="U32" s="878"/>
      <c r="V32" s="878"/>
      <c r="W32" s="878"/>
      <c r="X32" s="878"/>
      <c r="Y32" s="878"/>
      <c r="Z32" s="878"/>
      <c r="AA32" s="878"/>
      <c r="AB32" s="879"/>
      <c r="AC32" s="879"/>
      <c r="AD32" s="879"/>
      <c r="AE32" s="879"/>
      <c r="AF32" s="879"/>
      <c r="AG32" s="879"/>
      <c r="AH32" s="879"/>
      <c r="AI32" s="879"/>
    </row>
    <row r="33" spans="1:35" x14ac:dyDescent="0.25">
      <c r="A33" s="876">
        <v>18600</v>
      </c>
      <c r="B33" s="873" t="s">
        <v>1248</v>
      </c>
      <c r="C33" s="873">
        <v>478866</v>
      </c>
      <c r="D33" s="874">
        <v>387347</v>
      </c>
      <c r="E33" s="874">
        <v>0</v>
      </c>
      <c r="F33" s="874">
        <v>42</v>
      </c>
      <c r="G33" s="874">
        <v>0</v>
      </c>
      <c r="H33" s="874">
        <v>0</v>
      </c>
      <c r="I33" s="877">
        <f t="shared" si="0"/>
        <v>42</v>
      </c>
      <c r="J33" s="874"/>
      <c r="K33" s="874">
        <v>26488</v>
      </c>
      <c r="L33" s="874">
        <v>0</v>
      </c>
      <c r="M33" s="874">
        <v>167807</v>
      </c>
      <c r="N33" s="874">
        <v>182494</v>
      </c>
      <c r="O33" s="877">
        <f t="shared" si="1"/>
        <v>376789</v>
      </c>
      <c r="P33" s="874"/>
      <c r="Q33" s="877">
        <f t="shared" si="2"/>
        <v>-5240</v>
      </c>
      <c r="R33" s="874">
        <v>-43844</v>
      </c>
      <c r="S33" s="874">
        <v>-49084</v>
      </c>
      <c r="T33" s="878"/>
      <c r="U33" s="878"/>
      <c r="V33" s="878"/>
      <c r="W33" s="878"/>
      <c r="X33" s="878"/>
      <c r="Y33" s="878"/>
      <c r="Z33" s="878"/>
      <c r="AA33" s="878"/>
      <c r="AB33" s="879"/>
      <c r="AC33" s="879"/>
      <c r="AD33" s="879"/>
      <c r="AE33" s="879"/>
      <c r="AF33" s="879"/>
      <c r="AG33" s="879"/>
      <c r="AH33" s="879"/>
      <c r="AI33" s="879"/>
    </row>
    <row r="34" spans="1:35" x14ac:dyDescent="0.25">
      <c r="A34" s="876">
        <v>18690</v>
      </c>
      <c r="B34" s="873" t="s">
        <v>1249</v>
      </c>
      <c r="C34" s="873">
        <v>0</v>
      </c>
      <c r="D34" s="874">
        <v>0</v>
      </c>
      <c r="E34" s="874">
        <v>0</v>
      </c>
      <c r="F34" s="874">
        <v>0</v>
      </c>
      <c r="G34" s="874">
        <v>0</v>
      </c>
      <c r="H34" s="874">
        <v>0</v>
      </c>
      <c r="I34" s="877">
        <f t="shared" si="0"/>
        <v>0</v>
      </c>
      <c r="J34" s="874"/>
      <c r="K34" s="874">
        <v>0</v>
      </c>
      <c r="L34" s="874">
        <v>0</v>
      </c>
      <c r="M34" s="874">
        <v>0</v>
      </c>
      <c r="N34" s="874">
        <v>118144</v>
      </c>
      <c r="O34" s="877">
        <f t="shared" si="1"/>
        <v>118144</v>
      </c>
      <c r="P34" s="874"/>
      <c r="Q34" s="877">
        <f t="shared" si="2"/>
        <v>0</v>
      </c>
      <c r="R34" s="874">
        <v>-29536</v>
      </c>
      <c r="S34" s="874">
        <v>-29536</v>
      </c>
      <c r="T34" s="878"/>
      <c r="U34" s="878"/>
      <c r="V34" s="878"/>
      <c r="W34" s="878"/>
      <c r="X34" s="878"/>
      <c r="Y34" s="878"/>
      <c r="Z34" s="878"/>
      <c r="AA34" s="878"/>
      <c r="AB34" s="879"/>
      <c r="AC34" s="879"/>
      <c r="AD34" s="879"/>
      <c r="AE34" s="879"/>
      <c r="AF34" s="879"/>
      <c r="AG34" s="879"/>
      <c r="AH34" s="879"/>
      <c r="AI34" s="879"/>
    </row>
    <row r="35" spans="1:35" x14ac:dyDescent="0.25">
      <c r="A35" s="876">
        <v>18740</v>
      </c>
      <c r="B35" s="873" t="s">
        <v>1250</v>
      </c>
      <c r="C35" s="873">
        <v>221627</v>
      </c>
      <c r="D35" s="874">
        <v>189156</v>
      </c>
      <c r="E35" s="874">
        <v>0</v>
      </c>
      <c r="F35" s="874">
        <v>20</v>
      </c>
      <c r="G35" s="874">
        <v>0</v>
      </c>
      <c r="H35" s="874">
        <v>24364</v>
      </c>
      <c r="I35" s="877">
        <f t="shared" si="0"/>
        <v>24384</v>
      </c>
      <c r="J35" s="874"/>
      <c r="K35" s="874">
        <v>12935</v>
      </c>
      <c r="L35" s="874">
        <v>0</v>
      </c>
      <c r="M35" s="874">
        <v>81947</v>
      </c>
      <c r="N35" s="874">
        <v>3330</v>
      </c>
      <c r="O35" s="877">
        <f t="shared" si="1"/>
        <v>98212</v>
      </c>
      <c r="P35" s="874"/>
      <c r="Q35" s="877">
        <f t="shared" si="2"/>
        <v>-2559</v>
      </c>
      <c r="R35" s="874">
        <v>5426</v>
      </c>
      <c r="S35" s="874">
        <v>2867</v>
      </c>
      <c r="T35" s="878"/>
      <c r="U35" s="878"/>
      <c r="V35" s="878"/>
      <c r="W35" s="878"/>
      <c r="X35" s="878"/>
      <c r="Y35" s="878"/>
      <c r="Z35" s="878"/>
      <c r="AA35" s="878"/>
      <c r="AB35" s="879"/>
      <c r="AC35" s="879"/>
      <c r="AD35" s="879"/>
      <c r="AE35" s="879"/>
      <c r="AF35" s="879"/>
      <c r="AG35" s="879"/>
      <c r="AH35" s="879"/>
      <c r="AI35" s="879"/>
    </row>
    <row r="36" spans="1:35" ht="26.25" x14ac:dyDescent="0.25">
      <c r="A36" s="876">
        <v>18780</v>
      </c>
      <c r="B36" s="873" t="s">
        <v>1251</v>
      </c>
      <c r="C36" s="873">
        <v>389219</v>
      </c>
      <c r="D36" s="874">
        <v>496917</v>
      </c>
      <c r="E36" s="874">
        <v>0</v>
      </c>
      <c r="F36" s="874">
        <v>53</v>
      </c>
      <c r="G36" s="874">
        <v>0</v>
      </c>
      <c r="H36" s="874">
        <v>204762</v>
      </c>
      <c r="I36" s="877">
        <f t="shared" si="0"/>
        <v>204815</v>
      </c>
      <c r="J36" s="874"/>
      <c r="K36" s="874">
        <v>33981</v>
      </c>
      <c r="L36" s="874">
        <v>0</v>
      </c>
      <c r="M36" s="874">
        <v>215276</v>
      </c>
      <c r="N36" s="874">
        <v>0</v>
      </c>
      <c r="O36" s="877">
        <f t="shared" si="1"/>
        <v>249257</v>
      </c>
      <c r="P36" s="874"/>
      <c r="Q36" s="877">
        <f t="shared" si="2"/>
        <v>-6722</v>
      </c>
      <c r="R36" s="874">
        <v>40962</v>
      </c>
      <c r="S36" s="874">
        <v>34240</v>
      </c>
      <c r="T36" s="878"/>
      <c r="U36" s="878"/>
      <c r="V36" s="878"/>
      <c r="W36" s="878"/>
      <c r="X36" s="878"/>
      <c r="Y36" s="878"/>
      <c r="Z36" s="878"/>
      <c r="AA36" s="878"/>
      <c r="AB36" s="879"/>
      <c r="AC36" s="879"/>
      <c r="AD36" s="879"/>
      <c r="AE36" s="879"/>
      <c r="AF36" s="879"/>
      <c r="AG36" s="879"/>
      <c r="AH36" s="879"/>
      <c r="AI36" s="879"/>
    </row>
    <row r="37" spans="1:35" x14ac:dyDescent="0.25">
      <c r="A37" s="876">
        <v>19005</v>
      </c>
      <c r="B37" s="873" t="s">
        <v>1252</v>
      </c>
      <c r="C37" s="873">
        <v>21847962</v>
      </c>
      <c r="D37" s="874">
        <v>19483824</v>
      </c>
      <c r="E37" s="874">
        <v>0</v>
      </c>
      <c r="F37" s="874">
        <v>2095</v>
      </c>
      <c r="G37" s="874">
        <v>0</v>
      </c>
      <c r="H37" s="874">
        <v>1586666</v>
      </c>
      <c r="I37" s="877">
        <f t="shared" si="0"/>
        <v>1588761</v>
      </c>
      <c r="J37" s="874"/>
      <c r="K37" s="874">
        <v>1332390</v>
      </c>
      <c r="L37" s="874">
        <v>0</v>
      </c>
      <c r="M37" s="874">
        <v>8440842</v>
      </c>
      <c r="N37" s="874">
        <v>0</v>
      </c>
      <c r="O37" s="877">
        <f t="shared" si="1"/>
        <v>9773232</v>
      </c>
      <c r="P37" s="874"/>
      <c r="Q37" s="877">
        <f t="shared" si="2"/>
        <v>-263563</v>
      </c>
      <c r="R37" s="874">
        <v>356853</v>
      </c>
      <c r="S37" s="874">
        <v>93290</v>
      </c>
      <c r="T37" s="878"/>
      <c r="U37" s="878"/>
      <c r="V37" s="878"/>
      <c r="W37" s="878"/>
      <c r="X37" s="878"/>
      <c r="Y37" s="878"/>
      <c r="Z37" s="878"/>
      <c r="AA37" s="878"/>
      <c r="AB37" s="879"/>
      <c r="AC37" s="879"/>
      <c r="AD37" s="879"/>
      <c r="AE37" s="879"/>
      <c r="AF37" s="879"/>
      <c r="AG37" s="879"/>
      <c r="AH37" s="879"/>
      <c r="AI37" s="879"/>
    </row>
    <row r="38" spans="1:35" x14ac:dyDescent="0.25">
      <c r="A38" s="876">
        <v>19100</v>
      </c>
      <c r="B38" s="873" t="s">
        <v>1253</v>
      </c>
      <c r="C38" s="873">
        <v>1997326196</v>
      </c>
      <c r="D38" s="874">
        <v>1741346405</v>
      </c>
      <c r="E38" s="874">
        <v>0</v>
      </c>
      <c r="F38" s="874">
        <v>187273</v>
      </c>
      <c r="G38" s="874">
        <v>0</v>
      </c>
      <c r="H38" s="874">
        <v>123147283</v>
      </c>
      <c r="I38" s="877">
        <f t="shared" si="0"/>
        <v>123334556</v>
      </c>
      <c r="J38" s="874"/>
      <c r="K38" s="874">
        <v>119080946</v>
      </c>
      <c r="L38" s="874">
        <v>0</v>
      </c>
      <c r="M38" s="874">
        <v>754391464</v>
      </c>
      <c r="N38" s="874">
        <v>0</v>
      </c>
      <c r="O38" s="877">
        <f t="shared" si="1"/>
        <v>873472410</v>
      </c>
      <c r="P38" s="874"/>
      <c r="Q38" s="877">
        <f t="shared" si="2"/>
        <v>-23555637</v>
      </c>
      <c r="R38" s="874">
        <v>30282440</v>
      </c>
      <c r="S38" s="874">
        <v>6726803</v>
      </c>
      <c r="T38" s="878"/>
      <c r="U38" s="878"/>
      <c r="V38" s="878"/>
      <c r="W38" s="878"/>
      <c r="X38" s="878"/>
      <c r="Y38" s="878"/>
      <c r="Z38" s="878"/>
      <c r="AA38" s="878"/>
      <c r="AB38" s="879"/>
      <c r="AC38" s="879"/>
      <c r="AD38" s="879"/>
      <c r="AE38" s="879"/>
      <c r="AF38" s="879"/>
      <c r="AG38" s="879"/>
      <c r="AH38" s="879"/>
      <c r="AI38" s="879"/>
    </row>
    <row r="39" spans="1:35" x14ac:dyDescent="0.25">
      <c r="A39" s="876">
        <v>20100</v>
      </c>
      <c r="B39" s="873" t="s">
        <v>1254</v>
      </c>
      <c r="C39" s="873">
        <v>316660087</v>
      </c>
      <c r="D39" s="874">
        <v>287017119</v>
      </c>
      <c r="E39" s="874">
        <v>0</v>
      </c>
      <c r="F39" s="874">
        <v>30867</v>
      </c>
      <c r="G39" s="874">
        <v>0</v>
      </c>
      <c r="H39" s="874">
        <v>15813105</v>
      </c>
      <c r="I39" s="877">
        <f t="shared" si="0"/>
        <v>15843972</v>
      </c>
      <c r="J39" s="874"/>
      <c r="K39" s="874">
        <v>19627496</v>
      </c>
      <c r="L39" s="874">
        <v>0</v>
      </c>
      <c r="M39" s="874">
        <v>124342442</v>
      </c>
      <c r="N39" s="874">
        <v>32618580</v>
      </c>
      <c r="O39" s="877">
        <f t="shared" si="1"/>
        <v>176588518</v>
      </c>
      <c r="P39" s="874"/>
      <c r="Q39" s="877">
        <f t="shared" si="2"/>
        <v>-3882554</v>
      </c>
      <c r="R39" s="874">
        <v>-4992020</v>
      </c>
      <c r="S39" s="874">
        <v>-8874574</v>
      </c>
      <c r="T39" s="878"/>
      <c r="U39" s="878"/>
      <c r="V39" s="878"/>
      <c r="W39" s="878"/>
      <c r="X39" s="878"/>
      <c r="Y39" s="878"/>
      <c r="Z39" s="878"/>
      <c r="AA39" s="878"/>
      <c r="AB39" s="879"/>
      <c r="AC39" s="879"/>
      <c r="AD39" s="879"/>
      <c r="AE39" s="879"/>
      <c r="AF39" s="879"/>
      <c r="AG39" s="879"/>
      <c r="AH39" s="879"/>
      <c r="AI39" s="879"/>
    </row>
    <row r="40" spans="1:35" x14ac:dyDescent="0.25">
      <c r="A40" s="876">
        <v>20200</v>
      </c>
      <c r="B40" s="873" t="s">
        <v>1255</v>
      </c>
      <c r="C40" s="873">
        <v>44537750</v>
      </c>
      <c r="D40" s="874">
        <v>41551270</v>
      </c>
      <c r="E40" s="874">
        <v>0</v>
      </c>
      <c r="F40" s="874">
        <v>4469</v>
      </c>
      <c r="G40" s="874">
        <v>0</v>
      </c>
      <c r="H40" s="874">
        <v>3863305</v>
      </c>
      <c r="I40" s="877">
        <f t="shared" si="0"/>
        <v>3867774</v>
      </c>
      <c r="J40" s="874"/>
      <c r="K40" s="874">
        <v>2841459</v>
      </c>
      <c r="L40" s="874">
        <v>0</v>
      </c>
      <c r="M40" s="874">
        <v>18000969</v>
      </c>
      <c r="N40" s="874">
        <v>978272</v>
      </c>
      <c r="O40" s="877">
        <f t="shared" si="1"/>
        <v>21820700</v>
      </c>
      <c r="P40" s="874"/>
      <c r="Q40" s="877">
        <f t="shared" si="2"/>
        <v>-562075</v>
      </c>
      <c r="R40" s="874">
        <v>528091</v>
      </c>
      <c r="S40" s="874">
        <v>-33984</v>
      </c>
      <c r="T40" s="878"/>
      <c r="U40" s="878"/>
      <c r="V40" s="878"/>
      <c r="W40" s="878"/>
      <c r="X40" s="878"/>
      <c r="Y40" s="878"/>
      <c r="Z40" s="878"/>
      <c r="AA40" s="878"/>
      <c r="AB40" s="879"/>
      <c r="AC40" s="879"/>
      <c r="AD40" s="879"/>
      <c r="AE40" s="879"/>
      <c r="AF40" s="879"/>
      <c r="AG40" s="879"/>
      <c r="AH40" s="879"/>
      <c r="AI40" s="879"/>
    </row>
    <row r="41" spans="1:35" x14ac:dyDescent="0.25">
      <c r="A41" s="876">
        <v>20300</v>
      </c>
      <c r="B41" s="873" t="s">
        <v>1256</v>
      </c>
      <c r="C41" s="873">
        <v>747188074</v>
      </c>
      <c r="D41" s="874">
        <v>690547382</v>
      </c>
      <c r="E41" s="874">
        <v>0</v>
      </c>
      <c r="F41" s="874">
        <v>74265</v>
      </c>
      <c r="G41" s="874">
        <v>0</v>
      </c>
      <c r="H41" s="874">
        <v>53747255</v>
      </c>
      <c r="I41" s="877">
        <f t="shared" si="0"/>
        <v>53821520</v>
      </c>
      <c r="J41" s="874"/>
      <c r="K41" s="874">
        <v>47222675</v>
      </c>
      <c r="L41" s="874">
        <v>0</v>
      </c>
      <c r="M41" s="874">
        <v>299161068</v>
      </c>
      <c r="N41" s="874">
        <v>96042656</v>
      </c>
      <c r="O41" s="877">
        <f t="shared" si="1"/>
        <v>442426399</v>
      </c>
      <c r="P41" s="874"/>
      <c r="Q41" s="877">
        <f t="shared" si="2"/>
        <v>-9341211</v>
      </c>
      <c r="R41" s="874">
        <v>-13261215</v>
      </c>
      <c r="S41" s="874">
        <v>-22602426</v>
      </c>
      <c r="T41" s="878"/>
      <c r="U41" s="878"/>
      <c r="V41" s="878"/>
      <c r="W41" s="878"/>
      <c r="X41" s="878"/>
      <c r="Y41" s="878"/>
      <c r="Z41" s="878"/>
      <c r="AA41" s="878"/>
      <c r="AB41" s="879"/>
      <c r="AC41" s="879"/>
      <c r="AD41" s="879"/>
      <c r="AE41" s="879"/>
      <c r="AF41" s="879"/>
      <c r="AG41" s="879"/>
      <c r="AH41" s="879"/>
      <c r="AI41" s="879"/>
    </row>
    <row r="42" spans="1:35" x14ac:dyDescent="0.25">
      <c r="A42" s="876">
        <v>20400</v>
      </c>
      <c r="B42" s="873" t="s">
        <v>1257</v>
      </c>
      <c r="C42" s="873">
        <v>36078513</v>
      </c>
      <c r="D42" s="874">
        <v>32134939</v>
      </c>
      <c r="E42" s="874">
        <v>0</v>
      </c>
      <c r="F42" s="874">
        <v>3456</v>
      </c>
      <c r="G42" s="874">
        <v>0</v>
      </c>
      <c r="H42" s="874">
        <v>1119370</v>
      </c>
      <c r="I42" s="877">
        <f t="shared" si="0"/>
        <v>1122826</v>
      </c>
      <c r="J42" s="874"/>
      <c r="K42" s="874">
        <v>2197529</v>
      </c>
      <c r="L42" s="874">
        <v>0</v>
      </c>
      <c r="M42" s="874">
        <v>13921597</v>
      </c>
      <c r="N42" s="874">
        <v>4877913</v>
      </c>
      <c r="O42" s="877">
        <f t="shared" si="1"/>
        <v>20997039</v>
      </c>
      <c r="P42" s="874"/>
      <c r="Q42" s="877">
        <f t="shared" si="2"/>
        <v>-434698</v>
      </c>
      <c r="R42" s="874">
        <v>-995604</v>
      </c>
      <c r="S42" s="874">
        <v>-1430302</v>
      </c>
      <c r="T42" s="878"/>
      <c r="U42" s="878"/>
      <c r="V42" s="878"/>
      <c r="W42" s="878"/>
      <c r="X42" s="878"/>
      <c r="Y42" s="878"/>
      <c r="Z42" s="878"/>
      <c r="AA42" s="878"/>
      <c r="AB42" s="879"/>
      <c r="AC42" s="879"/>
      <c r="AD42" s="879"/>
      <c r="AE42" s="879"/>
      <c r="AF42" s="879"/>
      <c r="AG42" s="879"/>
      <c r="AH42" s="879"/>
      <c r="AI42" s="879"/>
    </row>
    <row r="43" spans="1:35" x14ac:dyDescent="0.25">
      <c r="A43" s="876">
        <v>20600</v>
      </c>
      <c r="B43" s="873" t="s">
        <v>1258</v>
      </c>
      <c r="C43" s="873">
        <v>85022391</v>
      </c>
      <c r="D43" s="874">
        <v>81198354</v>
      </c>
      <c r="E43" s="874">
        <v>0</v>
      </c>
      <c r="F43" s="874">
        <v>8732</v>
      </c>
      <c r="G43" s="874">
        <v>0</v>
      </c>
      <c r="H43" s="874">
        <v>9713295</v>
      </c>
      <c r="I43" s="877">
        <f t="shared" si="0"/>
        <v>9722027</v>
      </c>
      <c r="J43" s="874"/>
      <c r="K43" s="874">
        <v>5552701</v>
      </c>
      <c r="L43" s="874">
        <v>0</v>
      </c>
      <c r="M43" s="874">
        <v>35177001</v>
      </c>
      <c r="N43" s="874">
        <v>6791904</v>
      </c>
      <c r="O43" s="877">
        <f t="shared" si="1"/>
        <v>47521606</v>
      </c>
      <c r="P43" s="874"/>
      <c r="Q43" s="877">
        <f t="shared" si="2"/>
        <v>-1098391</v>
      </c>
      <c r="R43" s="874">
        <v>244685</v>
      </c>
      <c r="S43" s="874">
        <v>-853706</v>
      </c>
      <c r="T43" s="878"/>
      <c r="U43" s="878"/>
      <c r="V43" s="878"/>
      <c r="W43" s="878"/>
      <c r="X43" s="878"/>
      <c r="Y43" s="878"/>
      <c r="Z43" s="878"/>
      <c r="AA43" s="878"/>
      <c r="AB43" s="879"/>
      <c r="AC43" s="879"/>
      <c r="AD43" s="879"/>
      <c r="AE43" s="879"/>
      <c r="AF43" s="879"/>
      <c r="AG43" s="879"/>
      <c r="AH43" s="879"/>
      <c r="AI43" s="879"/>
    </row>
    <row r="44" spans="1:35" x14ac:dyDescent="0.25">
      <c r="A44" s="876">
        <v>20700</v>
      </c>
      <c r="B44" s="873" t="s">
        <v>1259</v>
      </c>
      <c r="C44" s="873">
        <v>178919711</v>
      </c>
      <c r="D44" s="874">
        <v>164837738</v>
      </c>
      <c r="E44" s="874">
        <v>0</v>
      </c>
      <c r="F44" s="874">
        <v>17727</v>
      </c>
      <c r="G44" s="874">
        <v>0</v>
      </c>
      <c r="H44" s="874">
        <v>12737745</v>
      </c>
      <c r="I44" s="877">
        <f t="shared" si="0"/>
        <v>12755472</v>
      </c>
      <c r="J44" s="874"/>
      <c r="K44" s="874">
        <v>11272331</v>
      </c>
      <c r="L44" s="874">
        <v>0</v>
      </c>
      <c r="M44" s="874">
        <v>71411513</v>
      </c>
      <c r="N44" s="874">
        <v>21929196</v>
      </c>
      <c r="O44" s="877">
        <f t="shared" si="1"/>
        <v>104613040</v>
      </c>
      <c r="P44" s="874"/>
      <c r="Q44" s="877">
        <f t="shared" si="2"/>
        <v>-2229802</v>
      </c>
      <c r="R44" s="874">
        <v>-2934748</v>
      </c>
      <c r="S44" s="874">
        <v>-5164550</v>
      </c>
      <c r="T44" s="878"/>
      <c r="U44" s="878"/>
      <c r="V44" s="878"/>
      <c r="W44" s="878"/>
      <c r="X44" s="878"/>
      <c r="Y44" s="878"/>
      <c r="Z44" s="878"/>
      <c r="AA44" s="878"/>
      <c r="AB44" s="879"/>
      <c r="AC44" s="879"/>
      <c r="AD44" s="879"/>
      <c r="AE44" s="879"/>
      <c r="AF44" s="879"/>
      <c r="AG44" s="879"/>
      <c r="AH44" s="879"/>
      <c r="AI44" s="879"/>
    </row>
    <row r="45" spans="1:35" x14ac:dyDescent="0.25">
      <c r="A45" s="876">
        <v>20800</v>
      </c>
      <c r="B45" s="873" t="s">
        <v>1260</v>
      </c>
      <c r="C45" s="873">
        <v>143564788</v>
      </c>
      <c r="D45" s="874">
        <v>127899991</v>
      </c>
      <c r="E45" s="874">
        <v>0</v>
      </c>
      <c r="F45" s="874">
        <v>13755</v>
      </c>
      <c r="G45" s="874">
        <v>0</v>
      </c>
      <c r="H45" s="874">
        <v>4458985</v>
      </c>
      <c r="I45" s="877">
        <f t="shared" si="0"/>
        <v>4472740</v>
      </c>
      <c r="J45" s="874"/>
      <c r="K45" s="874">
        <v>8746365</v>
      </c>
      <c r="L45" s="874">
        <v>0</v>
      </c>
      <c r="M45" s="874">
        <v>55409229</v>
      </c>
      <c r="N45" s="874">
        <v>15346620</v>
      </c>
      <c r="O45" s="877">
        <f t="shared" si="1"/>
        <v>79502214</v>
      </c>
      <c r="P45" s="874"/>
      <c r="Q45" s="877">
        <f t="shared" si="2"/>
        <v>-1730136</v>
      </c>
      <c r="R45" s="874">
        <v>-2944858</v>
      </c>
      <c r="S45" s="874">
        <v>-4674994</v>
      </c>
      <c r="T45" s="878"/>
      <c r="U45" s="878"/>
      <c r="V45" s="878"/>
      <c r="W45" s="878"/>
      <c r="X45" s="878"/>
      <c r="Y45" s="878"/>
      <c r="Z45" s="878"/>
      <c r="AA45" s="878"/>
      <c r="AB45" s="879"/>
      <c r="AC45" s="879"/>
      <c r="AD45" s="879"/>
      <c r="AE45" s="879"/>
      <c r="AF45" s="879"/>
      <c r="AG45" s="879"/>
      <c r="AH45" s="879"/>
      <c r="AI45" s="879"/>
    </row>
    <row r="46" spans="1:35" ht="26.25" x14ac:dyDescent="0.25">
      <c r="A46" s="876">
        <v>20900</v>
      </c>
      <c r="B46" s="873" t="s">
        <v>1261</v>
      </c>
      <c r="C46" s="873">
        <v>293363921</v>
      </c>
      <c r="D46" s="874">
        <v>270258283</v>
      </c>
      <c r="E46" s="874">
        <v>0</v>
      </c>
      <c r="F46" s="874">
        <v>29065</v>
      </c>
      <c r="G46" s="874">
        <v>0</v>
      </c>
      <c r="H46" s="874">
        <v>20618970</v>
      </c>
      <c r="I46" s="877">
        <f t="shared" si="0"/>
        <v>20648035</v>
      </c>
      <c r="J46" s="874"/>
      <c r="K46" s="874">
        <v>18481453</v>
      </c>
      <c r="L46" s="874">
        <v>0</v>
      </c>
      <c r="M46" s="874">
        <v>117082127</v>
      </c>
      <c r="N46" s="874">
        <v>33822696</v>
      </c>
      <c r="O46" s="877">
        <f t="shared" si="1"/>
        <v>169386276</v>
      </c>
      <c r="P46" s="874"/>
      <c r="Q46" s="877">
        <f t="shared" si="2"/>
        <v>-3655853</v>
      </c>
      <c r="R46" s="874">
        <v>-4331879</v>
      </c>
      <c r="S46" s="874">
        <v>-7987732</v>
      </c>
      <c r="T46" s="878"/>
      <c r="U46" s="878"/>
      <c r="V46" s="878"/>
      <c r="W46" s="878"/>
      <c r="X46" s="878"/>
      <c r="Y46" s="878"/>
      <c r="Z46" s="878"/>
      <c r="AA46" s="878"/>
      <c r="AB46" s="879"/>
      <c r="AC46" s="879"/>
      <c r="AD46" s="879"/>
      <c r="AE46" s="879"/>
      <c r="AF46" s="879"/>
      <c r="AG46" s="879"/>
      <c r="AH46" s="879"/>
      <c r="AI46" s="879"/>
    </row>
    <row r="47" spans="1:35" x14ac:dyDescent="0.25">
      <c r="A47" s="876">
        <v>21200</v>
      </c>
      <c r="B47" s="873" t="s">
        <v>1262</v>
      </c>
      <c r="C47" s="873">
        <v>93510444</v>
      </c>
      <c r="D47" s="874">
        <v>85496262</v>
      </c>
      <c r="E47" s="874">
        <v>0</v>
      </c>
      <c r="F47" s="874">
        <v>9195</v>
      </c>
      <c r="G47" s="874">
        <v>0</v>
      </c>
      <c r="H47" s="874">
        <v>5517770</v>
      </c>
      <c r="I47" s="877">
        <f t="shared" si="0"/>
        <v>5526965</v>
      </c>
      <c r="J47" s="874"/>
      <c r="K47" s="874">
        <v>5846611</v>
      </c>
      <c r="L47" s="874">
        <v>0</v>
      </c>
      <c r="M47" s="874">
        <v>37038955</v>
      </c>
      <c r="N47" s="874">
        <v>13474292</v>
      </c>
      <c r="O47" s="877">
        <f t="shared" si="1"/>
        <v>56359858</v>
      </c>
      <c r="P47" s="874"/>
      <c r="Q47" s="877">
        <f t="shared" si="2"/>
        <v>-1156530</v>
      </c>
      <c r="R47" s="874">
        <v>-2265018</v>
      </c>
      <c r="S47" s="874">
        <v>-3421548</v>
      </c>
      <c r="T47" s="878"/>
      <c r="U47" s="878"/>
      <c r="V47" s="878"/>
      <c r="W47" s="878"/>
      <c r="X47" s="878"/>
      <c r="Y47" s="878"/>
      <c r="Z47" s="878"/>
      <c r="AA47" s="878"/>
      <c r="AB47" s="879"/>
      <c r="AC47" s="879"/>
      <c r="AD47" s="879"/>
      <c r="AE47" s="879"/>
      <c r="AF47" s="879"/>
      <c r="AG47" s="879"/>
      <c r="AH47" s="879"/>
      <c r="AI47" s="879"/>
    </row>
    <row r="48" spans="1:35" x14ac:dyDescent="0.25">
      <c r="A48" s="876">
        <v>21300</v>
      </c>
      <c r="B48" s="873" t="s">
        <v>1263</v>
      </c>
      <c r="C48" s="873">
        <v>1161399772</v>
      </c>
      <c r="D48" s="874">
        <v>1093258395</v>
      </c>
      <c r="E48" s="874">
        <v>0</v>
      </c>
      <c r="F48" s="874">
        <v>117574</v>
      </c>
      <c r="G48" s="874">
        <v>0</v>
      </c>
      <c r="H48" s="874">
        <v>108513655</v>
      </c>
      <c r="I48" s="877">
        <f t="shared" si="0"/>
        <v>108631229</v>
      </c>
      <c r="J48" s="874"/>
      <c r="K48" s="874">
        <v>74761830</v>
      </c>
      <c r="L48" s="874">
        <v>0</v>
      </c>
      <c r="M48" s="874">
        <v>473624775</v>
      </c>
      <c r="N48" s="874">
        <v>124242400</v>
      </c>
      <c r="O48" s="877">
        <f t="shared" si="1"/>
        <v>672629005</v>
      </c>
      <c r="P48" s="874"/>
      <c r="Q48" s="877">
        <f t="shared" si="2"/>
        <v>-14788785</v>
      </c>
      <c r="R48" s="874">
        <v>-9357868</v>
      </c>
      <c r="S48" s="874">
        <v>-24146653</v>
      </c>
      <c r="T48" s="878"/>
      <c r="U48" s="878"/>
      <c r="V48" s="878"/>
      <c r="W48" s="878"/>
      <c r="X48" s="878"/>
      <c r="Y48" s="878"/>
      <c r="Z48" s="878"/>
      <c r="AA48" s="878"/>
      <c r="AB48" s="879"/>
      <c r="AC48" s="879"/>
      <c r="AD48" s="879"/>
      <c r="AE48" s="879"/>
      <c r="AF48" s="879"/>
      <c r="AG48" s="879"/>
      <c r="AH48" s="879"/>
      <c r="AI48" s="879"/>
    </row>
    <row r="49" spans="1:35" x14ac:dyDescent="0.25">
      <c r="A49" s="876">
        <v>21520</v>
      </c>
      <c r="B49" s="873" t="s">
        <v>836</v>
      </c>
      <c r="C49" s="873">
        <v>2085455588</v>
      </c>
      <c r="D49" s="874">
        <v>1926872329</v>
      </c>
      <c r="E49" s="874">
        <v>0</v>
      </c>
      <c r="F49" s="874">
        <v>207225</v>
      </c>
      <c r="G49" s="874">
        <v>0</v>
      </c>
      <c r="H49" s="874">
        <v>148642645</v>
      </c>
      <c r="I49" s="877">
        <f t="shared" si="0"/>
        <v>148849870</v>
      </c>
      <c r="J49" s="874"/>
      <c r="K49" s="874">
        <v>131768027</v>
      </c>
      <c r="L49" s="874">
        <v>0</v>
      </c>
      <c r="M49" s="874">
        <v>834765577</v>
      </c>
      <c r="N49" s="874">
        <v>254816836</v>
      </c>
      <c r="O49" s="877">
        <f t="shared" si="1"/>
        <v>1221350440</v>
      </c>
      <c r="P49" s="874"/>
      <c r="Q49" s="877">
        <f t="shared" si="2"/>
        <v>-26065294</v>
      </c>
      <c r="R49" s="874">
        <v>-33975684</v>
      </c>
      <c r="S49" s="874">
        <v>-60040978</v>
      </c>
      <c r="T49" s="878"/>
      <c r="U49" s="878"/>
      <c r="V49" s="878"/>
      <c r="W49" s="878"/>
      <c r="X49" s="878"/>
      <c r="Y49" s="878"/>
      <c r="Z49" s="878"/>
      <c r="AA49" s="878"/>
      <c r="AB49" s="879"/>
      <c r="AC49" s="879"/>
      <c r="AD49" s="879"/>
      <c r="AE49" s="879"/>
      <c r="AF49" s="879"/>
      <c r="AG49" s="879"/>
      <c r="AH49" s="879"/>
      <c r="AI49" s="879"/>
    </row>
    <row r="50" spans="1:35" x14ac:dyDescent="0.25">
      <c r="A50" s="876">
        <v>21525</v>
      </c>
      <c r="B50" s="873" t="s">
        <v>1264</v>
      </c>
      <c r="C50" s="873">
        <v>54765104</v>
      </c>
      <c r="D50" s="874">
        <v>44915965</v>
      </c>
      <c r="E50" s="874">
        <v>0</v>
      </c>
      <c r="F50" s="874">
        <v>4830</v>
      </c>
      <c r="G50" s="874">
        <v>0</v>
      </c>
      <c r="H50" s="874">
        <v>0</v>
      </c>
      <c r="I50" s="877">
        <f t="shared" si="0"/>
        <v>4830</v>
      </c>
      <c r="J50" s="874"/>
      <c r="K50" s="874">
        <v>3071552</v>
      </c>
      <c r="L50" s="874">
        <v>0</v>
      </c>
      <c r="M50" s="874">
        <v>19458633</v>
      </c>
      <c r="N50" s="874">
        <v>5760193</v>
      </c>
      <c r="O50" s="877">
        <f t="shared" si="1"/>
        <v>28290378</v>
      </c>
      <c r="P50" s="874"/>
      <c r="Q50" s="877">
        <f t="shared" si="2"/>
        <v>-607590</v>
      </c>
      <c r="R50" s="874">
        <v>-1272472</v>
      </c>
      <c r="S50" s="874">
        <v>-1880062</v>
      </c>
      <c r="T50" s="878"/>
      <c r="U50" s="878"/>
      <c r="V50" s="878"/>
      <c r="W50" s="878"/>
      <c r="X50" s="878"/>
      <c r="Y50" s="878"/>
      <c r="Z50" s="878"/>
      <c r="AA50" s="878"/>
      <c r="AB50" s="879"/>
      <c r="AC50" s="879"/>
      <c r="AD50" s="879"/>
      <c r="AE50" s="879"/>
      <c r="AF50" s="879"/>
      <c r="AG50" s="879"/>
      <c r="AH50" s="879"/>
      <c r="AI50" s="879"/>
    </row>
    <row r="51" spans="1:35" ht="15.75" customHeight="1" x14ac:dyDescent="0.25">
      <c r="A51" s="876">
        <v>21525.1</v>
      </c>
      <c r="B51" s="873" t="s">
        <v>1265</v>
      </c>
      <c r="C51" s="873">
        <v>3829724</v>
      </c>
      <c r="D51" s="874">
        <v>4392925</v>
      </c>
      <c r="E51" s="874">
        <v>0</v>
      </c>
      <c r="F51" s="874">
        <v>472</v>
      </c>
      <c r="G51" s="874">
        <v>0</v>
      </c>
      <c r="H51" s="874">
        <v>2044017</v>
      </c>
      <c r="I51" s="877">
        <f t="shared" si="0"/>
        <v>2044489</v>
      </c>
      <c r="J51" s="874"/>
      <c r="K51" s="874">
        <v>300408</v>
      </c>
      <c r="L51" s="874">
        <v>0</v>
      </c>
      <c r="M51" s="874">
        <v>1903117</v>
      </c>
      <c r="N51" s="874">
        <v>0</v>
      </c>
      <c r="O51" s="877">
        <f t="shared" si="1"/>
        <v>2203525</v>
      </c>
      <c r="P51" s="874"/>
      <c r="Q51" s="877">
        <f t="shared" si="2"/>
        <v>-59424</v>
      </c>
      <c r="R51" s="874">
        <v>440190</v>
      </c>
      <c r="S51" s="874">
        <v>380766</v>
      </c>
      <c r="T51" s="878"/>
      <c r="U51" s="878"/>
      <c r="V51" s="878"/>
      <c r="W51" s="878"/>
      <c r="X51" s="878"/>
      <c r="Y51" s="878"/>
      <c r="Z51" s="878"/>
      <c r="AA51" s="878"/>
      <c r="AB51" s="879"/>
      <c r="AC51" s="879"/>
      <c r="AD51" s="879"/>
      <c r="AE51" s="879"/>
      <c r="AF51" s="879"/>
      <c r="AG51" s="879"/>
      <c r="AH51" s="879"/>
      <c r="AI51" s="879"/>
    </row>
    <row r="52" spans="1:35" x14ac:dyDescent="0.25">
      <c r="A52" s="876">
        <v>21550</v>
      </c>
      <c r="B52" s="873" t="s">
        <v>1266</v>
      </c>
      <c r="C52" s="873">
        <v>1267142058</v>
      </c>
      <c r="D52" s="874">
        <v>1108129361</v>
      </c>
      <c r="E52" s="874">
        <v>0</v>
      </c>
      <c r="F52" s="874">
        <v>119174</v>
      </c>
      <c r="G52" s="874">
        <v>0</v>
      </c>
      <c r="H52" s="874">
        <v>9328150</v>
      </c>
      <c r="I52" s="877">
        <f t="shared" si="0"/>
        <v>9447324</v>
      </c>
      <c r="J52" s="874"/>
      <c r="K52" s="874">
        <v>75778772</v>
      </c>
      <c r="L52" s="874">
        <v>0</v>
      </c>
      <c r="M52" s="874">
        <v>480067222</v>
      </c>
      <c r="N52" s="874">
        <v>16110708</v>
      </c>
      <c r="O52" s="877">
        <f t="shared" si="1"/>
        <v>571956702</v>
      </c>
      <c r="P52" s="874"/>
      <c r="Q52" s="877">
        <f t="shared" si="2"/>
        <v>-14989949</v>
      </c>
      <c r="R52" s="874">
        <v>-2162048</v>
      </c>
      <c r="S52" s="874">
        <v>-17151997</v>
      </c>
      <c r="T52" s="878"/>
      <c r="U52" s="878"/>
      <c r="V52" s="878"/>
      <c r="W52" s="878"/>
      <c r="X52" s="878"/>
      <c r="Y52" s="878"/>
      <c r="Z52" s="878"/>
      <c r="AA52" s="878"/>
      <c r="AB52" s="879"/>
      <c r="AC52" s="879"/>
      <c r="AD52" s="879"/>
      <c r="AE52" s="879"/>
      <c r="AF52" s="879"/>
      <c r="AG52" s="879"/>
      <c r="AH52" s="879"/>
      <c r="AI52" s="879"/>
    </row>
    <row r="53" spans="1:35" x14ac:dyDescent="0.25">
      <c r="A53" s="876">
        <v>21570</v>
      </c>
      <c r="B53" s="873" t="s">
        <v>1267</v>
      </c>
      <c r="C53" s="873">
        <v>5376185</v>
      </c>
      <c r="D53" s="874">
        <v>4622772</v>
      </c>
      <c r="E53" s="874">
        <v>0</v>
      </c>
      <c r="F53" s="874">
        <v>497</v>
      </c>
      <c r="G53" s="874">
        <v>0</v>
      </c>
      <c r="H53" s="874">
        <v>208268</v>
      </c>
      <c r="I53" s="877">
        <f t="shared" si="0"/>
        <v>208765</v>
      </c>
      <c r="J53" s="874"/>
      <c r="K53" s="874">
        <v>316126</v>
      </c>
      <c r="L53" s="874">
        <v>0</v>
      </c>
      <c r="M53" s="874">
        <v>2002691</v>
      </c>
      <c r="N53" s="874">
        <v>34100</v>
      </c>
      <c r="O53" s="877">
        <f t="shared" si="1"/>
        <v>2352917</v>
      </c>
      <c r="P53" s="874"/>
      <c r="Q53" s="877">
        <f t="shared" si="2"/>
        <v>-62533</v>
      </c>
      <c r="R53" s="874">
        <v>45246</v>
      </c>
      <c r="S53" s="874">
        <v>-17287</v>
      </c>
      <c r="T53" s="878"/>
      <c r="U53" s="878"/>
      <c r="V53" s="878"/>
      <c r="W53" s="878"/>
      <c r="X53" s="878"/>
      <c r="Y53" s="878"/>
      <c r="Z53" s="878"/>
      <c r="AA53" s="878"/>
      <c r="AB53" s="879"/>
      <c r="AC53" s="879"/>
      <c r="AD53" s="879"/>
      <c r="AE53" s="879"/>
      <c r="AF53" s="879"/>
      <c r="AG53" s="879"/>
      <c r="AH53" s="879"/>
      <c r="AI53" s="879"/>
    </row>
    <row r="54" spans="1:35" x14ac:dyDescent="0.25">
      <c r="A54" s="876">
        <v>21800</v>
      </c>
      <c r="B54" s="873" t="s">
        <v>1268</v>
      </c>
      <c r="C54" s="873">
        <v>170592206</v>
      </c>
      <c r="D54" s="874">
        <v>160022367</v>
      </c>
      <c r="E54" s="874">
        <v>0</v>
      </c>
      <c r="F54" s="874">
        <v>17210</v>
      </c>
      <c r="G54" s="874">
        <v>0</v>
      </c>
      <c r="H54" s="874">
        <v>15239770</v>
      </c>
      <c r="I54" s="877">
        <f t="shared" si="0"/>
        <v>15256980</v>
      </c>
      <c r="J54" s="874"/>
      <c r="K54" s="874">
        <v>10943035</v>
      </c>
      <c r="L54" s="874">
        <v>0</v>
      </c>
      <c r="M54" s="874">
        <v>69325384</v>
      </c>
      <c r="N54" s="874">
        <v>18846068</v>
      </c>
      <c r="O54" s="877">
        <f t="shared" si="1"/>
        <v>99114487</v>
      </c>
      <c r="P54" s="874"/>
      <c r="Q54" s="877">
        <f t="shared" si="2"/>
        <v>-2164663</v>
      </c>
      <c r="R54" s="874">
        <v>-1663563</v>
      </c>
      <c r="S54" s="874">
        <v>-3828226</v>
      </c>
      <c r="T54" s="878"/>
      <c r="U54" s="878"/>
      <c r="V54" s="878"/>
      <c r="W54" s="878"/>
      <c r="X54" s="878"/>
      <c r="Y54" s="878"/>
      <c r="Z54" s="878"/>
      <c r="AA54" s="878"/>
      <c r="AB54" s="879"/>
      <c r="AC54" s="879"/>
      <c r="AD54" s="879"/>
      <c r="AE54" s="879"/>
      <c r="AF54" s="879"/>
      <c r="AG54" s="879"/>
      <c r="AH54" s="879"/>
      <c r="AI54" s="879"/>
    </row>
    <row r="55" spans="1:35" x14ac:dyDescent="0.25">
      <c r="A55" s="876">
        <v>21900</v>
      </c>
      <c r="B55" s="873" t="s">
        <v>1269</v>
      </c>
      <c r="C55" s="873">
        <v>99363488</v>
      </c>
      <c r="D55" s="874">
        <v>89322133</v>
      </c>
      <c r="E55" s="874">
        <v>0</v>
      </c>
      <c r="F55" s="874">
        <v>9606</v>
      </c>
      <c r="G55" s="874">
        <v>0</v>
      </c>
      <c r="H55" s="874">
        <v>4094130</v>
      </c>
      <c r="I55" s="877">
        <f t="shared" si="0"/>
        <v>4103736</v>
      </c>
      <c r="J55" s="874"/>
      <c r="K55" s="874">
        <v>6108241</v>
      </c>
      <c r="L55" s="874">
        <v>0</v>
      </c>
      <c r="M55" s="874">
        <v>38696411</v>
      </c>
      <c r="N55" s="874">
        <v>9757660</v>
      </c>
      <c r="O55" s="877">
        <f t="shared" si="1"/>
        <v>54562312</v>
      </c>
      <c r="P55" s="874"/>
      <c r="Q55" s="877">
        <f t="shared" si="2"/>
        <v>-1208283</v>
      </c>
      <c r="R55" s="874">
        <v>-1620585</v>
      </c>
      <c r="S55" s="874">
        <v>-2828868</v>
      </c>
      <c r="T55" s="878"/>
      <c r="U55" s="878"/>
      <c r="V55" s="878"/>
      <c r="W55" s="878"/>
      <c r="X55" s="878"/>
      <c r="Y55" s="878"/>
      <c r="Z55" s="878"/>
      <c r="AA55" s="878"/>
      <c r="AB55" s="879"/>
      <c r="AC55" s="879"/>
      <c r="AD55" s="879"/>
      <c r="AE55" s="879"/>
      <c r="AF55" s="879"/>
      <c r="AG55" s="879"/>
      <c r="AH55" s="879"/>
      <c r="AI55" s="879"/>
    </row>
    <row r="56" spans="1:35" x14ac:dyDescent="0.25">
      <c r="A56" s="876">
        <v>22000</v>
      </c>
      <c r="B56" s="873" t="s">
        <v>1270</v>
      </c>
      <c r="C56" s="873">
        <v>106617885</v>
      </c>
      <c r="D56" s="874">
        <v>89378398</v>
      </c>
      <c r="E56" s="874">
        <v>0</v>
      </c>
      <c r="F56" s="874">
        <v>9612</v>
      </c>
      <c r="G56" s="874">
        <v>0</v>
      </c>
      <c r="H56" s="874">
        <v>0</v>
      </c>
      <c r="I56" s="877">
        <f t="shared" si="0"/>
        <v>9612</v>
      </c>
      <c r="J56" s="874"/>
      <c r="K56" s="874">
        <v>6112089</v>
      </c>
      <c r="L56" s="874">
        <v>0</v>
      </c>
      <c r="M56" s="874">
        <v>38720785</v>
      </c>
      <c r="N56" s="874">
        <v>5168784</v>
      </c>
      <c r="O56" s="877">
        <f t="shared" si="1"/>
        <v>50001658</v>
      </c>
      <c r="P56" s="874"/>
      <c r="Q56" s="877">
        <f t="shared" si="2"/>
        <v>-1209044</v>
      </c>
      <c r="R56" s="874">
        <v>-1106445</v>
      </c>
      <c r="S56" s="874">
        <v>-2315489</v>
      </c>
      <c r="T56" s="878"/>
      <c r="U56" s="878"/>
      <c r="V56" s="878"/>
      <c r="W56" s="878"/>
      <c r="X56" s="878"/>
      <c r="Y56" s="878"/>
      <c r="Z56" s="878"/>
      <c r="AA56" s="878"/>
      <c r="AB56" s="879"/>
      <c r="AC56" s="879"/>
      <c r="AD56" s="879"/>
      <c r="AE56" s="879"/>
      <c r="AF56" s="879"/>
      <c r="AG56" s="879"/>
      <c r="AH56" s="879"/>
      <c r="AI56" s="879"/>
    </row>
    <row r="57" spans="1:35" x14ac:dyDescent="0.25">
      <c r="A57" s="876">
        <v>23000</v>
      </c>
      <c r="B57" s="873" t="s">
        <v>1271</v>
      </c>
      <c r="C57" s="873">
        <v>77954552</v>
      </c>
      <c r="D57" s="874">
        <v>71717146</v>
      </c>
      <c r="E57" s="874">
        <v>0</v>
      </c>
      <c r="F57" s="874">
        <v>7713</v>
      </c>
      <c r="G57" s="874">
        <v>0</v>
      </c>
      <c r="H57" s="874">
        <v>5169435</v>
      </c>
      <c r="I57" s="877">
        <f t="shared" si="0"/>
        <v>5177148</v>
      </c>
      <c r="J57" s="874"/>
      <c r="K57" s="874">
        <v>4904335</v>
      </c>
      <c r="L57" s="874">
        <v>0</v>
      </c>
      <c r="M57" s="874">
        <v>31069523</v>
      </c>
      <c r="N57" s="874">
        <v>4904908</v>
      </c>
      <c r="O57" s="877">
        <f t="shared" si="1"/>
        <v>40878766</v>
      </c>
      <c r="P57" s="874"/>
      <c r="Q57" s="877">
        <f t="shared" si="2"/>
        <v>-970136</v>
      </c>
      <c r="R57" s="874">
        <v>-192340</v>
      </c>
      <c r="S57" s="874">
        <v>-1162476</v>
      </c>
      <c r="T57" s="878"/>
      <c r="U57" s="878"/>
      <c r="V57" s="878"/>
      <c r="W57" s="878"/>
      <c r="X57" s="878"/>
      <c r="Y57" s="878"/>
      <c r="Z57" s="878"/>
      <c r="AA57" s="878"/>
      <c r="AB57" s="879"/>
      <c r="AC57" s="879"/>
      <c r="AD57" s="879"/>
      <c r="AE57" s="879"/>
      <c r="AF57" s="879"/>
      <c r="AG57" s="879"/>
      <c r="AH57" s="879"/>
      <c r="AI57" s="879"/>
    </row>
    <row r="58" spans="1:35" x14ac:dyDescent="0.25">
      <c r="A58" s="876">
        <v>23100</v>
      </c>
      <c r="B58" s="873" t="s">
        <v>1272</v>
      </c>
      <c r="C58" s="873">
        <v>451110687</v>
      </c>
      <c r="D58" s="874">
        <v>416554876</v>
      </c>
      <c r="E58" s="874">
        <v>0</v>
      </c>
      <c r="F58" s="874">
        <v>44798</v>
      </c>
      <c r="G58" s="874">
        <v>0</v>
      </c>
      <c r="H58" s="874">
        <v>32233245</v>
      </c>
      <c r="I58" s="877">
        <f t="shared" si="0"/>
        <v>32278043</v>
      </c>
      <c r="J58" s="874"/>
      <c r="K58" s="874">
        <v>28485859</v>
      </c>
      <c r="L58" s="874">
        <v>0</v>
      </c>
      <c r="M58" s="874">
        <v>180461189</v>
      </c>
      <c r="N58" s="874">
        <v>29093848</v>
      </c>
      <c r="O58" s="877">
        <f t="shared" si="1"/>
        <v>238040896</v>
      </c>
      <c r="P58" s="874"/>
      <c r="Q58" s="877">
        <f t="shared" si="2"/>
        <v>-5634844</v>
      </c>
      <c r="R58" s="874">
        <v>-826811</v>
      </c>
      <c r="S58" s="874">
        <v>-6461655</v>
      </c>
      <c r="T58" s="878"/>
      <c r="U58" s="878"/>
      <c r="V58" s="878"/>
      <c r="W58" s="878"/>
      <c r="X58" s="878"/>
      <c r="Y58" s="878"/>
      <c r="Z58" s="878"/>
      <c r="AA58" s="878"/>
      <c r="AB58" s="879"/>
      <c r="AC58" s="879"/>
      <c r="AD58" s="879"/>
      <c r="AE58" s="879"/>
      <c r="AF58" s="879"/>
      <c r="AG58" s="879"/>
      <c r="AH58" s="879"/>
      <c r="AI58" s="879"/>
    </row>
    <row r="59" spans="1:35" ht="26.25" x14ac:dyDescent="0.25">
      <c r="A59" s="876">
        <v>23200</v>
      </c>
      <c r="B59" s="873" t="s">
        <v>1273</v>
      </c>
      <c r="C59" s="873">
        <v>230381927</v>
      </c>
      <c r="D59" s="874">
        <v>211944551</v>
      </c>
      <c r="E59" s="874">
        <v>0</v>
      </c>
      <c r="F59" s="874">
        <v>22794</v>
      </c>
      <c r="G59" s="874">
        <v>0</v>
      </c>
      <c r="H59" s="874">
        <v>15727220</v>
      </c>
      <c r="I59" s="877">
        <f t="shared" si="0"/>
        <v>15750014</v>
      </c>
      <c r="J59" s="874"/>
      <c r="K59" s="874">
        <v>14493703</v>
      </c>
      <c r="L59" s="874">
        <v>0</v>
      </c>
      <c r="M59" s="874">
        <v>91819273</v>
      </c>
      <c r="N59" s="874">
        <v>22401024</v>
      </c>
      <c r="O59" s="877">
        <f t="shared" si="1"/>
        <v>128714000</v>
      </c>
      <c r="P59" s="874"/>
      <c r="Q59" s="877">
        <f t="shared" si="2"/>
        <v>-2867028</v>
      </c>
      <c r="R59" s="874">
        <v>-2454813</v>
      </c>
      <c r="S59" s="874">
        <v>-5321841</v>
      </c>
      <c r="T59" s="878"/>
      <c r="U59" s="878"/>
      <c r="V59" s="878"/>
      <c r="W59" s="878"/>
      <c r="X59" s="878"/>
      <c r="Y59" s="878"/>
      <c r="Z59" s="878"/>
      <c r="AA59" s="878"/>
      <c r="AB59" s="879"/>
      <c r="AC59" s="879"/>
      <c r="AD59" s="879"/>
      <c r="AE59" s="879"/>
      <c r="AF59" s="879"/>
      <c r="AG59" s="879"/>
      <c r="AH59" s="879"/>
      <c r="AI59" s="879"/>
    </row>
    <row r="60" spans="1:35" x14ac:dyDescent="0.25">
      <c r="A60" s="876">
        <v>30000</v>
      </c>
      <c r="B60" s="873" t="s">
        <v>1274</v>
      </c>
      <c r="C60" s="873">
        <v>29604942</v>
      </c>
      <c r="D60" s="874">
        <v>24475794</v>
      </c>
      <c r="E60" s="874">
        <v>0</v>
      </c>
      <c r="F60" s="874">
        <v>2632</v>
      </c>
      <c r="G60" s="874">
        <v>0</v>
      </c>
      <c r="H60" s="874">
        <v>801628</v>
      </c>
      <c r="I60" s="877">
        <f t="shared" si="0"/>
        <v>804260</v>
      </c>
      <c r="J60" s="874"/>
      <c r="K60" s="874">
        <v>1673763</v>
      </c>
      <c r="L60" s="874">
        <v>0</v>
      </c>
      <c r="M60" s="874">
        <v>10603479</v>
      </c>
      <c r="N60" s="874">
        <v>1645825</v>
      </c>
      <c r="O60" s="877">
        <f t="shared" si="1"/>
        <v>13923067</v>
      </c>
      <c r="P60" s="874"/>
      <c r="Q60" s="877">
        <f t="shared" si="2"/>
        <v>-331090</v>
      </c>
      <c r="R60" s="874">
        <v>-128757</v>
      </c>
      <c r="S60" s="874">
        <v>-459847</v>
      </c>
      <c r="T60" s="878"/>
      <c r="U60" s="878"/>
      <c r="V60" s="878"/>
      <c r="W60" s="878"/>
      <c r="X60" s="878"/>
      <c r="Y60" s="878"/>
      <c r="Z60" s="878"/>
      <c r="AA60" s="878"/>
      <c r="AB60" s="879"/>
      <c r="AC60" s="879"/>
      <c r="AD60" s="879"/>
      <c r="AE60" s="879"/>
      <c r="AF60" s="879"/>
      <c r="AG60" s="879"/>
      <c r="AH60" s="879"/>
      <c r="AI60" s="879"/>
    </row>
    <row r="61" spans="1:35" x14ac:dyDescent="0.25">
      <c r="A61" s="876">
        <v>30100</v>
      </c>
      <c r="B61" s="873" t="s">
        <v>1275</v>
      </c>
      <c r="C61" s="873">
        <v>257905302</v>
      </c>
      <c r="D61" s="874">
        <v>215029271</v>
      </c>
      <c r="E61" s="874">
        <v>0</v>
      </c>
      <c r="F61" s="874">
        <v>23125</v>
      </c>
      <c r="G61" s="874">
        <v>0</v>
      </c>
      <c r="H61" s="874">
        <v>3475336</v>
      </c>
      <c r="I61" s="877">
        <f t="shared" si="0"/>
        <v>3498461</v>
      </c>
      <c r="J61" s="874"/>
      <c r="K61" s="874">
        <v>14704650</v>
      </c>
      <c r="L61" s="874">
        <v>0</v>
      </c>
      <c r="M61" s="874">
        <v>93155645</v>
      </c>
      <c r="N61" s="874">
        <v>12220975</v>
      </c>
      <c r="O61" s="877">
        <f t="shared" si="1"/>
        <v>120081270</v>
      </c>
      <c r="P61" s="874"/>
      <c r="Q61" s="877">
        <f t="shared" si="2"/>
        <v>-2908756</v>
      </c>
      <c r="R61" s="874">
        <v>-1575365</v>
      </c>
      <c r="S61" s="874">
        <v>-4484121</v>
      </c>
      <c r="T61" s="878"/>
      <c r="U61" s="878"/>
      <c r="V61" s="878"/>
      <c r="W61" s="878"/>
      <c r="X61" s="878"/>
      <c r="Y61" s="878"/>
      <c r="Z61" s="878"/>
      <c r="AA61" s="878"/>
      <c r="AB61" s="879"/>
      <c r="AC61" s="879"/>
      <c r="AD61" s="879"/>
      <c r="AE61" s="879"/>
      <c r="AF61" s="879"/>
      <c r="AG61" s="879"/>
      <c r="AH61" s="879"/>
      <c r="AI61" s="879"/>
    </row>
    <row r="62" spans="1:35" x14ac:dyDescent="0.25">
      <c r="A62" s="876">
        <v>30102</v>
      </c>
      <c r="B62" s="873" t="s">
        <v>1276</v>
      </c>
      <c r="C62" s="873">
        <v>4797110</v>
      </c>
      <c r="D62" s="874">
        <v>4228205</v>
      </c>
      <c r="E62" s="874">
        <v>0</v>
      </c>
      <c r="F62" s="874">
        <v>455</v>
      </c>
      <c r="G62" s="874">
        <v>0</v>
      </c>
      <c r="H62" s="874">
        <v>105931</v>
      </c>
      <c r="I62" s="877">
        <f t="shared" si="0"/>
        <v>106386</v>
      </c>
      <c r="J62" s="874"/>
      <c r="K62" s="874">
        <v>289143</v>
      </c>
      <c r="L62" s="874">
        <v>0</v>
      </c>
      <c r="M62" s="874">
        <v>1831756</v>
      </c>
      <c r="N62" s="874">
        <v>0</v>
      </c>
      <c r="O62" s="877">
        <f t="shared" si="1"/>
        <v>2120899</v>
      </c>
      <c r="P62" s="874"/>
      <c r="Q62" s="877">
        <f t="shared" si="2"/>
        <v>-57196</v>
      </c>
      <c r="R62" s="874">
        <v>23488</v>
      </c>
      <c r="S62" s="874">
        <v>-33708</v>
      </c>
      <c r="T62" s="878"/>
      <c r="U62" s="878"/>
      <c r="V62" s="878"/>
      <c r="W62" s="878"/>
      <c r="X62" s="878"/>
      <c r="Y62" s="878"/>
      <c r="Z62" s="878"/>
      <c r="AA62" s="878"/>
      <c r="AB62" s="879"/>
      <c r="AC62" s="879"/>
      <c r="AD62" s="879"/>
      <c r="AE62" s="879"/>
      <c r="AF62" s="879"/>
      <c r="AG62" s="879"/>
      <c r="AH62" s="879"/>
      <c r="AI62" s="879"/>
    </row>
    <row r="63" spans="1:35" x14ac:dyDescent="0.25">
      <c r="A63" s="876">
        <v>30103</v>
      </c>
      <c r="B63" s="873" t="s">
        <v>1277</v>
      </c>
      <c r="C63" s="873">
        <v>6459441</v>
      </c>
      <c r="D63" s="874">
        <v>5372824</v>
      </c>
      <c r="E63" s="874">
        <v>0</v>
      </c>
      <c r="F63" s="874">
        <v>578</v>
      </c>
      <c r="G63" s="874">
        <v>0</v>
      </c>
      <c r="H63" s="874">
        <v>907208</v>
      </c>
      <c r="I63" s="877">
        <f t="shared" si="0"/>
        <v>907786</v>
      </c>
      <c r="J63" s="874"/>
      <c r="K63" s="874">
        <v>367417</v>
      </c>
      <c r="L63" s="874">
        <v>0</v>
      </c>
      <c r="M63" s="874">
        <v>2327632</v>
      </c>
      <c r="N63" s="874">
        <v>329385</v>
      </c>
      <c r="O63" s="877">
        <f t="shared" si="1"/>
        <v>3024434</v>
      </c>
      <c r="P63" s="874"/>
      <c r="Q63" s="877">
        <f t="shared" si="2"/>
        <v>-72680</v>
      </c>
      <c r="R63" s="874">
        <v>160929</v>
      </c>
      <c r="S63" s="874">
        <v>88249</v>
      </c>
      <c r="T63" s="878"/>
      <c r="U63" s="878"/>
      <c r="V63" s="878"/>
      <c r="W63" s="878"/>
      <c r="X63" s="878"/>
      <c r="Y63" s="878"/>
      <c r="Z63" s="878"/>
      <c r="AA63" s="878"/>
      <c r="AB63" s="879"/>
      <c r="AC63" s="879"/>
      <c r="AD63" s="879"/>
      <c r="AE63" s="879"/>
      <c r="AF63" s="879"/>
      <c r="AG63" s="879"/>
      <c r="AH63" s="879"/>
      <c r="AI63" s="879"/>
    </row>
    <row r="64" spans="1:35" x14ac:dyDescent="0.25">
      <c r="A64" s="876">
        <v>30104</v>
      </c>
      <c r="B64" s="873" t="s">
        <v>1278</v>
      </c>
      <c r="C64" s="873">
        <v>3834837</v>
      </c>
      <c r="D64" s="874">
        <v>3485485</v>
      </c>
      <c r="E64" s="874">
        <v>0</v>
      </c>
      <c r="F64" s="874">
        <v>375</v>
      </c>
      <c r="G64" s="874">
        <v>0</v>
      </c>
      <c r="H64" s="874">
        <v>487093</v>
      </c>
      <c r="I64" s="877">
        <f t="shared" si="0"/>
        <v>487468</v>
      </c>
      <c r="J64" s="874"/>
      <c r="K64" s="874">
        <v>238353</v>
      </c>
      <c r="L64" s="874">
        <v>0</v>
      </c>
      <c r="M64" s="874">
        <v>1509993</v>
      </c>
      <c r="N64" s="874">
        <v>0</v>
      </c>
      <c r="O64" s="877">
        <f t="shared" si="1"/>
        <v>1748346</v>
      </c>
      <c r="P64" s="874"/>
      <c r="Q64" s="877">
        <f t="shared" si="2"/>
        <v>-47149</v>
      </c>
      <c r="R64" s="874">
        <v>113402</v>
      </c>
      <c r="S64" s="874">
        <v>66253</v>
      </c>
      <c r="T64" s="878"/>
      <c r="U64" s="878"/>
      <c r="V64" s="878"/>
      <c r="W64" s="878"/>
      <c r="X64" s="878"/>
      <c r="Y64" s="878"/>
      <c r="Z64" s="878"/>
      <c r="AA64" s="878"/>
      <c r="AB64" s="879"/>
      <c r="AC64" s="879"/>
      <c r="AD64" s="879"/>
      <c r="AE64" s="879"/>
      <c r="AF64" s="879"/>
      <c r="AG64" s="879"/>
      <c r="AH64" s="879"/>
      <c r="AI64" s="879"/>
    </row>
    <row r="65" spans="1:35" x14ac:dyDescent="0.25">
      <c r="A65" s="876">
        <v>30105</v>
      </c>
      <c r="B65" s="873" t="s">
        <v>1279</v>
      </c>
      <c r="C65" s="873">
        <v>23973545</v>
      </c>
      <c r="D65" s="874">
        <v>22069831</v>
      </c>
      <c r="E65" s="874">
        <v>0</v>
      </c>
      <c r="F65" s="874">
        <v>2373</v>
      </c>
      <c r="G65" s="874">
        <v>0</v>
      </c>
      <c r="H65" s="874">
        <v>2142568</v>
      </c>
      <c r="I65" s="877">
        <f t="shared" si="0"/>
        <v>2144941</v>
      </c>
      <c r="J65" s="874"/>
      <c r="K65" s="874">
        <v>1509232</v>
      </c>
      <c r="L65" s="874">
        <v>0</v>
      </c>
      <c r="M65" s="874">
        <v>9561160</v>
      </c>
      <c r="N65" s="874">
        <v>0</v>
      </c>
      <c r="O65" s="877">
        <f t="shared" si="1"/>
        <v>11070392</v>
      </c>
      <c r="P65" s="874"/>
      <c r="Q65" s="877">
        <f t="shared" si="2"/>
        <v>-298544</v>
      </c>
      <c r="R65" s="874">
        <v>453070</v>
      </c>
      <c r="S65" s="874">
        <v>154526</v>
      </c>
      <c r="T65" s="878"/>
      <c r="U65" s="878"/>
      <c r="V65" s="878"/>
      <c r="W65" s="878"/>
      <c r="X65" s="878"/>
      <c r="Y65" s="878"/>
      <c r="Z65" s="878"/>
      <c r="AA65" s="878"/>
      <c r="AB65" s="879"/>
      <c r="AC65" s="879"/>
      <c r="AD65" s="879"/>
      <c r="AE65" s="879"/>
      <c r="AF65" s="879"/>
      <c r="AG65" s="879"/>
      <c r="AH65" s="879"/>
      <c r="AI65" s="879"/>
    </row>
    <row r="66" spans="1:35" x14ac:dyDescent="0.25">
      <c r="A66" s="876">
        <v>30200</v>
      </c>
      <c r="B66" s="873" t="s">
        <v>1280</v>
      </c>
      <c r="C66" s="873">
        <v>58993316</v>
      </c>
      <c r="D66" s="874">
        <v>49605482</v>
      </c>
      <c r="E66" s="874">
        <v>0</v>
      </c>
      <c r="F66" s="874">
        <v>5335</v>
      </c>
      <c r="G66" s="874">
        <v>0</v>
      </c>
      <c r="H66" s="874">
        <v>2847124</v>
      </c>
      <c r="I66" s="877">
        <f t="shared" si="0"/>
        <v>2852459</v>
      </c>
      <c r="J66" s="874"/>
      <c r="K66" s="874">
        <v>3392242</v>
      </c>
      <c r="L66" s="874">
        <v>0</v>
      </c>
      <c r="M66" s="874">
        <v>21490240</v>
      </c>
      <c r="N66" s="874">
        <v>2195270</v>
      </c>
      <c r="O66" s="877">
        <f t="shared" si="1"/>
        <v>27077752</v>
      </c>
      <c r="P66" s="874"/>
      <c r="Q66" s="877">
        <f t="shared" si="2"/>
        <v>-671026</v>
      </c>
      <c r="R66" s="874">
        <v>272730</v>
      </c>
      <c r="S66" s="874">
        <v>-398296</v>
      </c>
      <c r="T66" s="878"/>
      <c r="U66" s="878"/>
      <c r="V66" s="878"/>
      <c r="W66" s="878"/>
      <c r="X66" s="878"/>
      <c r="Y66" s="878"/>
      <c r="Z66" s="878"/>
      <c r="AA66" s="878"/>
      <c r="AB66" s="879"/>
      <c r="AC66" s="879"/>
      <c r="AD66" s="879"/>
      <c r="AE66" s="879"/>
      <c r="AF66" s="879"/>
      <c r="AG66" s="879"/>
      <c r="AH66" s="879"/>
      <c r="AI66" s="879"/>
    </row>
    <row r="67" spans="1:35" x14ac:dyDescent="0.25">
      <c r="A67" s="876">
        <v>30300</v>
      </c>
      <c r="B67" s="873" t="s">
        <v>1281</v>
      </c>
      <c r="C67" s="873">
        <v>18666048</v>
      </c>
      <c r="D67" s="874">
        <v>15680491</v>
      </c>
      <c r="E67" s="874">
        <v>0</v>
      </c>
      <c r="F67" s="874">
        <v>1686</v>
      </c>
      <c r="G67" s="874">
        <v>0</v>
      </c>
      <c r="H67" s="874">
        <v>0</v>
      </c>
      <c r="I67" s="877">
        <f t="shared" si="0"/>
        <v>1686</v>
      </c>
      <c r="J67" s="874"/>
      <c r="K67" s="874">
        <v>1072301</v>
      </c>
      <c r="L67" s="874">
        <v>0</v>
      </c>
      <c r="M67" s="874">
        <v>6793151</v>
      </c>
      <c r="N67" s="874">
        <v>1078205</v>
      </c>
      <c r="O67" s="877">
        <f t="shared" si="1"/>
        <v>8943657</v>
      </c>
      <c r="P67" s="874"/>
      <c r="Q67" s="877">
        <f t="shared" si="2"/>
        <v>-212114</v>
      </c>
      <c r="R67" s="874">
        <v>-234636</v>
      </c>
      <c r="S67" s="874">
        <v>-446750</v>
      </c>
      <c r="T67" s="878"/>
      <c r="U67" s="878"/>
      <c r="V67" s="878"/>
      <c r="W67" s="878"/>
      <c r="X67" s="878"/>
      <c r="Y67" s="878"/>
      <c r="Z67" s="878"/>
      <c r="AA67" s="878"/>
      <c r="AB67" s="879"/>
      <c r="AC67" s="879"/>
      <c r="AD67" s="879"/>
      <c r="AE67" s="879"/>
      <c r="AF67" s="879"/>
      <c r="AG67" s="879"/>
      <c r="AH67" s="879"/>
      <c r="AI67" s="879"/>
    </row>
    <row r="68" spans="1:35" x14ac:dyDescent="0.25">
      <c r="A68" s="876">
        <v>30400</v>
      </c>
      <c r="B68" s="873" t="s">
        <v>1282</v>
      </c>
      <c r="C68" s="873">
        <v>35396207</v>
      </c>
      <c r="D68" s="874">
        <v>29474551</v>
      </c>
      <c r="E68" s="874">
        <v>0</v>
      </c>
      <c r="F68" s="874">
        <v>3170</v>
      </c>
      <c r="G68" s="874">
        <v>0</v>
      </c>
      <c r="H68" s="874">
        <v>251788</v>
      </c>
      <c r="I68" s="877">
        <f t="shared" si="0"/>
        <v>254958</v>
      </c>
      <c r="J68" s="874"/>
      <c r="K68" s="874">
        <v>2015600</v>
      </c>
      <c r="L68" s="874">
        <v>0</v>
      </c>
      <c r="M68" s="874">
        <v>12769056</v>
      </c>
      <c r="N68" s="874">
        <v>1604825</v>
      </c>
      <c r="O68" s="877">
        <f t="shared" si="1"/>
        <v>16389481</v>
      </c>
      <c r="P68" s="874"/>
      <c r="Q68" s="877">
        <f t="shared" si="2"/>
        <v>-398710</v>
      </c>
      <c r="R68" s="874">
        <v>-258018</v>
      </c>
      <c r="S68" s="874">
        <v>-656728</v>
      </c>
      <c r="T68" s="878"/>
      <c r="U68" s="878"/>
      <c r="V68" s="878"/>
      <c r="W68" s="878"/>
      <c r="X68" s="878"/>
      <c r="Y68" s="878"/>
      <c r="Z68" s="878"/>
      <c r="AA68" s="878"/>
      <c r="AB68" s="879"/>
      <c r="AC68" s="879"/>
      <c r="AD68" s="879"/>
      <c r="AE68" s="879"/>
      <c r="AF68" s="879"/>
      <c r="AG68" s="879"/>
      <c r="AH68" s="879"/>
      <c r="AI68" s="879"/>
    </row>
    <row r="69" spans="1:35" x14ac:dyDescent="0.25">
      <c r="A69" s="876">
        <v>30405</v>
      </c>
      <c r="B69" s="873" t="s">
        <v>1283</v>
      </c>
      <c r="C69" s="873">
        <v>22715152</v>
      </c>
      <c r="D69" s="874">
        <v>19360309</v>
      </c>
      <c r="E69" s="874">
        <v>0</v>
      </c>
      <c r="F69" s="874">
        <v>2082</v>
      </c>
      <c r="G69" s="874">
        <v>0</v>
      </c>
      <c r="H69" s="874">
        <v>0</v>
      </c>
      <c r="I69" s="877">
        <f t="shared" si="0"/>
        <v>2082</v>
      </c>
      <c r="J69" s="874"/>
      <c r="K69" s="874">
        <v>1323943</v>
      </c>
      <c r="L69" s="874">
        <v>0</v>
      </c>
      <c r="M69" s="874">
        <v>8387333</v>
      </c>
      <c r="N69" s="874">
        <v>1984020</v>
      </c>
      <c r="O69" s="877">
        <f t="shared" si="1"/>
        <v>11695296</v>
      </c>
      <c r="P69" s="874"/>
      <c r="Q69" s="877">
        <f t="shared" si="2"/>
        <v>-261892</v>
      </c>
      <c r="R69" s="874">
        <v>-470211</v>
      </c>
      <c r="S69" s="874">
        <v>-732103</v>
      </c>
      <c r="T69" s="878"/>
      <c r="U69" s="878"/>
      <c r="V69" s="878"/>
      <c r="W69" s="878"/>
      <c r="X69" s="878"/>
      <c r="Y69" s="878"/>
      <c r="Z69" s="878"/>
      <c r="AA69" s="878"/>
      <c r="AB69" s="879"/>
      <c r="AC69" s="879"/>
      <c r="AD69" s="879"/>
      <c r="AE69" s="879"/>
      <c r="AF69" s="879"/>
      <c r="AG69" s="879"/>
      <c r="AH69" s="879"/>
      <c r="AI69" s="879"/>
    </row>
    <row r="70" spans="1:35" x14ac:dyDescent="0.25">
      <c r="A70" s="876">
        <v>30500</v>
      </c>
      <c r="B70" s="873" t="s">
        <v>1284</v>
      </c>
      <c r="C70" s="873">
        <v>38072097</v>
      </c>
      <c r="D70" s="874">
        <v>31808394</v>
      </c>
      <c r="E70" s="874">
        <v>0</v>
      </c>
      <c r="F70" s="874">
        <v>3421</v>
      </c>
      <c r="G70" s="874">
        <v>0</v>
      </c>
      <c r="H70" s="874">
        <v>865624</v>
      </c>
      <c r="I70" s="877">
        <f t="shared" si="0"/>
        <v>869045</v>
      </c>
      <c r="J70" s="874"/>
      <c r="K70" s="874">
        <v>2175198</v>
      </c>
      <c r="L70" s="874">
        <v>0</v>
      </c>
      <c r="M70" s="874">
        <v>13780131</v>
      </c>
      <c r="N70" s="874">
        <v>1661010</v>
      </c>
      <c r="O70" s="877">
        <f t="shared" si="1"/>
        <v>17616339</v>
      </c>
      <c r="P70" s="874"/>
      <c r="Q70" s="877">
        <f t="shared" si="2"/>
        <v>-430280</v>
      </c>
      <c r="R70" s="874">
        <v>-115796</v>
      </c>
      <c r="S70" s="874">
        <v>-546076</v>
      </c>
      <c r="T70" s="878"/>
      <c r="U70" s="878"/>
      <c r="V70" s="878"/>
      <c r="W70" s="878"/>
      <c r="X70" s="878"/>
      <c r="Y70" s="878"/>
      <c r="Z70" s="878"/>
      <c r="AA70" s="878"/>
      <c r="AB70" s="879"/>
      <c r="AC70" s="879"/>
      <c r="AD70" s="879"/>
      <c r="AE70" s="879"/>
      <c r="AF70" s="879"/>
      <c r="AG70" s="879"/>
      <c r="AH70" s="879"/>
      <c r="AI70" s="879"/>
    </row>
    <row r="71" spans="1:35" x14ac:dyDescent="0.25">
      <c r="A71" s="876">
        <v>30600</v>
      </c>
      <c r="B71" s="873" t="s">
        <v>1285</v>
      </c>
      <c r="C71" s="873">
        <v>29656746</v>
      </c>
      <c r="D71" s="874">
        <v>24164446</v>
      </c>
      <c r="E71" s="874">
        <v>0</v>
      </c>
      <c r="F71" s="874">
        <v>2599</v>
      </c>
      <c r="G71" s="874">
        <v>0</v>
      </c>
      <c r="H71" s="874">
        <v>672452</v>
      </c>
      <c r="I71" s="877">
        <f t="shared" ref="I71:I134" si="3">SUM(E71:H71)</f>
        <v>675051</v>
      </c>
      <c r="J71" s="874"/>
      <c r="K71" s="874">
        <v>1652471</v>
      </c>
      <c r="L71" s="874">
        <v>0</v>
      </c>
      <c r="M71" s="874">
        <v>10468596</v>
      </c>
      <c r="N71" s="874">
        <v>2089745</v>
      </c>
      <c r="O71" s="877">
        <f t="shared" ref="O71:O134" si="4">SUM(K71:N71)</f>
        <v>14210812</v>
      </c>
      <c r="P71" s="874"/>
      <c r="Q71" s="877">
        <f t="shared" ref="Q71:Q134" si="5">S71-R71</f>
        <v>-326879</v>
      </c>
      <c r="R71" s="874">
        <v>-249835</v>
      </c>
      <c r="S71" s="874">
        <v>-576714</v>
      </c>
      <c r="T71" s="878"/>
      <c r="U71" s="878"/>
      <c r="V71" s="878"/>
      <c r="W71" s="878"/>
      <c r="X71" s="878"/>
      <c r="Y71" s="878"/>
      <c r="Z71" s="878"/>
      <c r="AA71" s="878"/>
      <c r="AB71" s="879"/>
      <c r="AC71" s="879"/>
      <c r="AD71" s="879"/>
      <c r="AE71" s="879"/>
      <c r="AF71" s="879"/>
      <c r="AG71" s="879"/>
      <c r="AH71" s="879"/>
      <c r="AI71" s="879"/>
    </row>
    <row r="72" spans="1:35" x14ac:dyDescent="0.25">
      <c r="A72" s="876">
        <v>30601</v>
      </c>
      <c r="B72" s="873" t="s">
        <v>1286</v>
      </c>
      <c r="C72" s="873">
        <v>598900</v>
      </c>
      <c r="D72" s="874">
        <v>630570</v>
      </c>
      <c r="E72" s="874">
        <v>0</v>
      </c>
      <c r="F72" s="874">
        <v>68</v>
      </c>
      <c r="G72" s="874">
        <v>0</v>
      </c>
      <c r="H72" s="874">
        <v>139285</v>
      </c>
      <c r="I72" s="877">
        <f t="shared" si="3"/>
        <v>139353</v>
      </c>
      <c r="J72" s="874"/>
      <c r="K72" s="874">
        <v>43121</v>
      </c>
      <c r="L72" s="874">
        <v>0</v>
      </c>
      <c r="M72" s="874">
        <v>273178</v>
      </c>
      <c r="N72" s="874">
        <v>110024</v>
      </c>
      <c r="O72" s="877">
        <f t="shared" si="4"/>
        <v>426323</v>
      </c>
      <c r="P72" s="874"/>
      <c r="Q72" s="877">
        <f t="shared" si="5"/>
        <v>-8530</v>
      </c>
      <c r="R72" s="874">
        <v>351</v>
      </c>
      <c r="S72" s="874">
        <v>-8179</v>
      </c>
      <c r="T72" s="878"/>
      <c r="U72" s="878"/>
      <c r="V72" s="878"/>
      <c r="W72" s="878"/>
      <c r="X72" s="878"/>
      <c r="Y72" s="878"/>
      <c r="Z72" s="878"/>
      <c r="AA72" s="878"/>
      <c r="AB72" s="879"/>
      <c r="AC72" s="879"/>
      <c r="AD72" s="879"/>
      <c r="AE72" s="879"/>
      <c r="AF72" s="879"/>
      <c r="AG72" s="879"/>
      <c r="AH72" s="879"/>
      <c r="AI72" s="879"/>
    </row>
    <row r="73" spans="1:35" x14ac:dyDescent="0.25">
      <c r="A73" s="876">
        <v>30700</v>
      </c>
      <c r="B73" s="873" t="s">
        <v>1287</v>
      </c>
      <c r="C73" s="873">
        <v>76141522</v>
      </c>
      <c r="D73" s="874">
        <v>63482083</v>
      </c>
      <c r="E73" s="874">
        <v>0</v>
      </c>
      <c r="F73" s="874">
        <v>6827</v>
      </c>
      <c r="G73" s="874">
        <v>0</v>
      </c>
      <c r="H73" s="874">
        <v>1907328</v>
      </c>
      <c r="I73" s="877">
        <f t="shared" si="3"/>
        <v>1914155</v>
      </c>
      <c r="J73" s="874"/>
      <c r="K73" s="874">
        <v>4341185</v>
      </c>
      <c r="L73" s="874">
        <v>0</v>
      </c>
      <c r="M73" s="874">
        <v>27501904</v>
      </c>
      <c r="N73" s="874">
        <v>3476500</v>
      </c>
      <c r="O73" s="877">
        <f t="shared" si="4"/>
        <v>35319589</v>
      </c>
      <c r="P73" s="874"/>
      <c r="Q73" s="877">
        <f t="shared" si="5"/>
        <v>-858738</v>
      </c>
      <c r="R73" s="874">
        <v>-218471</v>
      </c>
      <c r="S73" s="874">
        <v>-1077209</v>
      </c>
      <c r="T73" s="878"/>
      <c r="U73" s="878"/>
      <c r="V73" s="878"/>
      <c r="W73" s="878"/>
      <c r="X73" s="878"/>
      <c r="Y73" s="878"/>
      <c r="Z73" s="878"/>
      <c r="AA73" s="878"/>
      <c r="AB73" s="879"/>
      <c r="AC73" s="879"/>
      <c r="AD73" s="879"/>
      <c r="AE73" s="879"/>
      <c r="AF73" s="879"/>
      <c r="AG73" s="879"/>
      <c r="AH73" s="879"/>
      <c r="AI73" s="879"/>
    </row>
    <row r="74" spans="1:35" x14ac:dyDescent="0.25">
      <c r="A74" s="876">
        <v>30705</v>
      </c>
      <c r="B74" s="873" t="s">
        <v>1288</v>
      </c>
      <c r="C74" s="873">
        <v>13460453</v>
      </c>
      <c r="D74" s="874">
        <v>11745821</v>
      </c>
      <c r="E74" s="874">
        <v>0</v>
      </c>
      <c r="F74" s="874">
        <v>1263</v>
      </c>
      <c r="G74" s="874">
        <v>0</v>
      </c>
      <c r="H74" s="874">
        <v>69050</v>
      </c>
      <c r="I74" s="877">
        <f t="shared" si="3"/>
        <v>70313</v>
      </c>
      <c r="J74" s="874"/>
      <c r="K74" s="874">
        <v>803231</v>
      </c>
      <c r="L74" s="874">
        <v>0</v>
      </c>
      <c r="M74" s="874">
        <v>5088561</v>
      </c>
      <c r="N74" s="874">
        <v>1074112</v>
      </c>
      <c r="O74" s="877">
        <f t="shared" si="4"/>
        <v>6965904</v>
      </c>
      <c r="P74" s="874"/>
      <c r="Q74" s="877">
        <f t="shared" si="5"/>
        <v>-158889</v>
      </c>
      <c r="R74" s="874">
        <v>-254717</v>
      </c>
      <c r="S74" s="874">
        <v>-413606</v>
      </c>
      <c r="T74" s="878"/>
      <c r="U74" s="878"/>
      <c r="V74" s="878"/>
      <c r="W74" s="878"/>
      <c r="X74" s="878"/>
      <c r="Y74" s="878"/>
      <c r="Z74" s="878"/>
      <c r="AA74" s="878"/>
      <c r="AB74" s="879"/>
      <c r="AC74" s="879"/>
      <c r="AD74" s="879"/>
      <c r="AE74" s="879"/>
      <c r="AF74" s="879"/>
      <c r="AG74" s="879"/>
      <c r="AH74" s="879"/>
      <c r="AI74" s="879"/>
    </row>
    <row r="75" spans="1:35" x14ac:dyDescent="0.25">
      <c r="A75" s="876">
        <v>30800</v>
      </c>
      <c r="B75" s="873" t="s">
        <v>1289</v>
      </c>
      <c r="C75" s="873">
        <v>28066714</v>
      </c>
      <c r="D75" s="874">
        <v>21088270</v>
      </c>
      <c r="E75" s="874">
        <v>0</v>
      </c>
      <c r="F75" s="874">
        <v>2268</v>
      </c>
      <c r="G75" s="874">
        <v>0</v>
      </c>
      <c r="H75" s="874">
        <v>0</v>
      </c>
      <c r="I75" s="877">
        <f t="shared" si="3"/>
        <v>2268</v>
      </c>
      <c r="J75" s="874"/>
      <c r="K75" s="874">
        <v>1442109</v>
      </c>
      <c r="L75" s="874">
        <v>0</v>
      </c>
      <c r="M75" s="874">
        <v>9135925</v>
      </c>
      <c r="N75" s="874">
        <v>4798280</v>
      </c>
      <c r="O75" s="877">
        <f t="shared" si="4"/>
        <v>15376314</v>
      </c>
      <c r="P75" s="874"/>
      <c r="Q75" s="877">
        <f t="shared" si="5"/>
        <v>-285266</v>
      </c>
      <c r="R75" s="874">
        <v>-988620</v>
      </c>
      <c r="S75" s="874">
        <v>-1273886</v>
      </c>
      <c r="T75" s="878"/>
      <c r="U75" s="878"/>
      <c r="V75" s="878"/>
      <c r="W75" s="878"/>
      <c r="X75" s="878"/>
      <c r="Y75" s="878"/>
      <c r="Z75" s="878"/>
      <c r="AA75" s="878"/>
      <c r="AB75" s="879"/>
      <c r="AC75" s="879"/>
      <c r="AD75" s="879"/>
      <c r="AE75" s="879"/>
      <c r="AF75" s="879"/>
      <c r="AG75" s="879"/>
      <c r="AH75" s="879"/>
      <c r="AI75" s="879"/>
    </row>
    <row r="76" spans="1:35" x14ac:dyDescent="0.25">
      <c r="A76" s="876">
        <v>30900</v>
      </c>
      <c r="B76" s="873" t="s">
        <v>1290</v>
      </c>
      <c r="C76" s="873">
        <v>47452186</v>
      </c>
      <c r="D76" s="874">
        <v>40393513</v>
      </c>
      <c r="E76" s="874">
        <v>0</v>
      </c>
      <c r="F76" s="874">
        <v>4344</v>
      </c>
      <c r="G76" s="874">
        <v>0</v>
      </c>
      <c r="H76" s="874">
        <v>0</v>
      </c>
      <c r="I76" s="877">
        <f t="shared" si="3"/>
        <v>4344</v>
      </c>
      <c r="J76" s="874"/>
      <c r="K76" s="874">
        <v>2762287</v>
      </c>
      <c r="L76" s="874">
        <v>0</v>
      </c>
      <c r="M76" s="874">
        <v>17499403</v>
      </c>
      <c r="N76" s="874">
        <v>1397763</v>
      </c>
      <c r="O76" s="877">
        <f t="shared" si="4"/>
        <v>21659453</v>
      </c>
      <c r="P76" s="874"/>
      <c r="Q76" s="877">
        <f t="shared" si="5"/>
        <v>-546413</v>
      </c>
      <c r="R76" s="874">
        <v>-299366</v>
      </c>
      <c r="S76" s="874">
        <v>-845779</v>
      </c>
      <c r="T76" s="878"/>
      <c r="U76" s="878"/>
      <c r="V76" s="878"/>
      <c r="W76" s="878"/>
      <c r="X76" s="878"/>
      <c r="Y76" s="878"/>
      <c r="Z76" s="878"/>
      <c r="AA76" s="878"/>
      <c r="AB76" s="879"/>
      <c r="AC76" s="879"/>
      <c r="AD76" s="879"/>
      <c r="AE76" s="879"/>
      <c r="AF76" s="879"/>
      <c r="AG76" s="879"/>
      <c r="AH76" s="879"/>
      <c r="AI76" s="879"/>
    </row>
    <row r="77" spans="1:35" x14ac:dyDescent="0.25">
      <c r="A77" s="876">
        <v>30905</v>
      </c>
      <c r="B77" s="873" t="s">
        <v>1291</v>
      </c>
      <c r="C77" s="873">
        <v>8493812</v>
      </c>
      <c r="D77" s="874">
        <v>7606819</v>
      </c>
      <c r="E77" s="874">
        <v>0</v>
      </c>
      <c r="F77" s="874">
        <v>818</v>
      </c>
      <c r="G77" s="874">
        <v>0</v>
      </c>
      <c r="H77" s="874">
        <v>366205</v>
      </c>
      <c r="I77" s="877">
        <f t="shared" si="3"/>
        <v>367023</v>
      </c>
      <c r="J77" s="874"/>
      <c r="K77" s="874">
        <v>520188</v>
      </c>
      <c r="L77" s="874">
        <v>0</v>
      </c>
      <c r="M77" s="874">
        <v>3295450</v>
      </c>
      <c r="N77" s="874">
        <v>1205188</v>
      </c>
      <c r="O77" s="877">
        <f t="shared" si="4"/>
        <v>5020826</v>
      </c>
      <c r="P77" s="874"/>
      <c r="Q77" s="877">
        <f t="shared" si="5"/>
        <v>-102899</v>
      </c>
      <c r="R77" s="874">
        <v>-228052</v>
      </c>
      <c r="S77" s="874">
        <v>-330951</v>
      </c>
      <c r="T77" s="878"/>
      <c r="U77" s="878"/>
      <c r="V77" s="878"/>
      <c r="W77" s="878"/>
      <c r="X77" s="878"/>
      <c r="Y77" s="878"/>
      <c r="Z77" s="878"/>
      <c r="AA77" s="878"/>
      <c r="AB77" s="879"/>
      <c r="AC77" s="879"/>
      <c r="AD77" s="879"/>
      <c r="AE77" s="879"/>
      <c r="AF77" s="879"/>
      <c r="AG77" s="879"/>
      <c r="AH77" s="879"/>
      <c r="AI77" s="879"/>
    </row>
    <row r="78" spans="1:35" x14ac:dyDescent="0.25">
      <c r="A78" s="876">
        <v>31000</v>
      </c>
      <c r="B78" s="873" t="s">
        <v>1292</v>
      </c>
      <c r="C78" s="873">
        <v>142961627</v>
      </c>
      <c r="D78" s="874">
        <v>122739879</v>
      </c>
      <c r="E78" s="874">
        <v>0</v>
      </c>
      <c r="F78" s="874">
        <v>13200</v>
      </c>
      <c r="G78" s="874">
        <v>0</v>
      </c>
      <c r="H78" s="874">
        <v>5500068</v>
      </c>
      <c r="I78" s="877">
        <f t="shared" si="3"/>
        <v>5513268</v>
      </c>
      <c r="J78" s="874"/>
      <c r="K78" s="874">
        <v>8393494</v>
      </c>
      <c r="L78" s="874">
        <v>0</v>
      </c>
      <c r="M78" s="874">
        <v>53173749</v>
      </c>
      <c r="N78" s="874">
        <v>1994065</v>
      </c>
      <c r="O78" s="877">
        <f t="shared" si="4"/>
        <v>63561308</v>
      </c>
      <c r="P78" s="874"/>
      <c r="Q78" s="877">
        <f t="shared" si="5"/>
        <v>-1660334</v>
      </c>
      <c r="R78" s="874">
        <v>976207</v>
      </c>
      <c r="S78" s="874">
        <v>-684127</v>
      </c>
      <c r="T78" s="878"/>
      <c r="U78" s="878"/>
      <c r="V78" s="878"/>
      <c r="W78" s="878"/>
      <c r="X78" s="878"/>
      <c r="Y78" s="878"/>
      <c r="Z78" s="878"/>
      <c r="AA78" s="878"/>
      <c r="AB78" s="879"/>
      <c r="AC78" s="879"/>
      <c r="AD78" s="879"/>
      <c r="AE78" s="879"/>
      <c r="AF78" s="879"/>
      <c r="AG78" s="879"/>
      <c r="AH78" s="879"/>
      <c r="AI78" s="879"/>
    </row>
    <row r="79" spans="1:35" x14ac:dyDescent="0.25">
      <c r="A79" s="876">
        <v>31005</v>
      </c>
      <c r="B79" s="873" t="s">
        <v>1293</v>
      </c>
      <c r="C79" s="873">
        <v>12665084</v>
      </c>
      <c r="D79" s="874">
        <v>10942600</v>
      </c>
      <c r="E79" s="874">
        <v>0</v>
      </c>
      <c r="F79" s="874">
        <v>1177</v>
      </c>
      <c r="G79" s="874">
        <v>0</v>
      </c>
      <c r="H79" s="874">
        <v>0</v>
      </c>
      <c r="I79" s="877">
        <f t="shared" si="3"/>
        <v>1177</v>
      </c>
      <c r="J79" s="874"/>
      <c r="K79" s="874">
        <v>748303</v>
      </c>
      <c r="L79" s="874">
        <v>0</v>
      </c>
      <c r="M79" s="874">
        <v>4740587</v>
      </c>
      <c r="N79" s="874">
        <v>778032</v>
      </c>
      <c r="O79" s="877">
        <f t="shared" si="4"/>
        <v>6266922</v>
      </c>
      <c r="P79" s="874"/>
      <c r="Q79" s="877">
        <f t="shared" si="5"/>
        <v>-148023</v>
      </c>
      <c r="R79" s="874">
        <v>-193356</v>
      </c>
      <c r="S79" s="874">
        <v>-341379</v>
      </c>
      <c r="T79" s="878"/>
      <c r="U79" s="878"/>
      <c r="V79" s="878"/>
      <c r="W79" s="878"/>
      <c r="X79" s="878"/>
      <c r="Y79" s="878"/>
      <c r="Z79" s="878"/>
      <c r="AA79" s="878"/>
      <c r="AB79" s="879"/>
      <c r="AC79" s="879"/>
      <c r="AD79" s="879"/>
      <c r="AE79" s="879"/>
      <c r="AF79" s="879"/>
      <c r="AG79" s="879"/>
      <c r="AH79" s="879"/>
      <c r="AI79" s="879"/>
    </row>
    <row r="80" spans="1:35" x14ac:dyDescent="0.25">
      <c r="A80" s="876">
        <v>31100</v>
      </c>
      <c r="B80" s="873" t="s">
        <v>1294</v>
      </c>
      <c r="C80" s="873">
        <v>296205576</v>
      </c>
      <c r="D80" s="874">
        <v>255809810</v>
      </c>
      <c r="E80" s="874">
        <v>0</v>
      </c>
      <c r="F80" s="874">
        <v>27511</v>
      </c>
      <c r="G80" s="874">
        <v>0</v>
      </c>
      <c r="H80" s="874">
        <v>9324004</v>
      </c>
      <c r="I80" s="877">
        <f t="shared" si="3"/>
        <v>9351515</v>
      </c>
      <c r="J80" s="874"/>
      <c r="K80" s="874">
        <v>17493403</v>
      </c>
      <c r="L80" s="874">
        <v>0</v>
      </c>
      <c r="M80" s="874">
        <v>110822715</v>
      </c>
      <c r="N80" s="874">
        <v>2354475</v>
      </c>
      <c r="O80" s="877">
        <f t="shared" si="4"/>
        <v>130670593</v>
      </c>
      <c r="P80" s="874"/>
      <c r="Q80" s="877">
        <f t="shared" si="5"/>
        <v>-3460405</v>
      </c>
      <c r="R80" s="874">
        <v>1860111</v>
      </c>
      <c r="S80" s="874">
        <v>-1600294</v>
      </c>
      <c r="T80" s="878"/>
      <c r="U80" s="878"/>
      <c r="V80" s="878"/>
      <c r="W80" s="878"/>
      <c r="X80" s="878"/>
      <c r="Y80" s="878"/>
      <c r="Z80" s="878"/>
      <c r="AA80" s="878"/>
      <c r="AB80" s="879"/>
      <c r="AC80" s="879"/>
      <c r="AD80" s="879"/>
      <c r="AE80" s="879"/>
      <c r="AF80" s="879"/>
      <c r="AG80" s="879"/>
      <c r="AH80" s="879"/>
      <c r="AI80" s="879"/>
    </row>
    <row r="81" spans="1:35" x14ac:dyDescent="0.25">
      <c r="A81" s="876">
        <v>31101</v>
      </c>
      <c r="B81" s="873" t="s">
        <v>1295</v>
      </c>
      <c r="C81" s="873">
        <v>2027785</v>
      </c>
      <c r="D81" s="874">
        <v>1712271</v>
      </c>
      <c r="E81" s="874">
        <v>0</v>
      </c>
      <c r="F81" s="874">
        <v>184</v>
      </c>
      <c r="G81" s="874">
        <v>0</v>
      </c>
      <c r="H81" s="874">
        <v>77740</v>
      </c>
      <c r="I81" s="877">
        <f t="shared" si="3"/>
        <v>77924</v>
      </c>
      <c r="J81" s="874"/>
      <c r="K81" s="874">
        <v>117093</v>
      </c>
      <c r="L81" s="874">
        <v>0</v>
      </c>
      <c r="M81" s="874">
        <v>741795</v>
      </c>
      <c r="N81" s="874">
        <v>74180</v>
      </c>
      <c r="O81" s="877">
        <f t="shared" si="4"/>
        <v>933068</v>
      </c>
      <c r="P81" s="874"/>
      <c r="Q81" s="877">
        <f t="shared" si="5"/>
        <v>-23162</v>
      </c>
      <c r="R81" s="874">
        <v>4596</v>
      </c>
      <c r="S81" s="874">
        <v>-18566</v>
      </c>
      <c r="T81" s="878"/>
      <c r="U81" s="878"/>
      <c r="V81" s="878"/>
      <c r="W81" s="878"/>
      <c r="X81" s="878"/>
      <c r="Y81" s="878"/>
      <c r="Z81" s="878"/>
      <c r="AA81" s="878"/>
      <c r="AB81" s="879"/>
      <c r="AC81" s="879"/>
      <c r="AD81" s="879"/>
      <c r="AE81" s="879"/>
      <c r="AF81" s="879"/>
      <c r="AG81" s="879"/>
      <c r="AH81" s="879"/>
      <c r="AI81" s="879"/>
    </row>
    <row r="82" spans="1:35" x14ac:dyDescent="0.25">
      <c r="A82" s="876">
        <v>31102</v>
      </c>
      <c r="B82" s="873" t="s">
        <v>1296</v>
      </c>
      <c r="C82" s="873">
        <v>5057412</v>
      </c>
      <c r="D82" s="874">
        <v>4492140</v>
      </c>
      <c r="E82" s="874">
        <v>0</v>
      </c>
      <c r="F82" s="874">
        <v>483</v>
      </c>
      <c r="G82" s="874">
        <v>0</v>
      </c>
      <c r="H82" s="874">
        <v>312648</v>
      </c>
      <c r="I82" s="877">
        <f t="shared" si="3"/>
        <v>313131</v>
      </c>
      <c r="J82" s="874"/>
      <c r="K82" s="874">
        <v>307192</v>
      </c>
      <c r="L82" s="874">
        <v>0</v>
      </c>
      <c r="M82" s="874">
        <v>1946099</v>
      </c>
      <c r="N82" s="874">
        <v>0</v>
      </c>
      <c r="O82" s="877">
        <f t="shared" si="4"/>
        <v>2253291</v>
      </c>
      <c r="P82" s="874"/>
      <c r="Q82" s="877">
        <f t="shared" si="5"/>
        <v>-60766</v>
      </c>
      <c r="R82" s="874">
        <v>73109</v>
      </c>
      <c r="S82" s="874">
        <v>12343</v>
      </c>
      <c r="T82" s="878"/>
      <c r="U82" s="878"/>
      <c r="V82" s="878"/>
      <c r="W82" s="878"/>
      <c r="X82" s="878"/>
      <c r="Y82" s="878"/>
      <c r="Z82" s="878"/>
      <c r="AA82" s="878"/>
      <c r="AB82" s="879"/>
      <c r="AC82" s="879"/>
      <c r="AD82" s="879"/>
      <c r="AE82" s="879"/>
      <c r="AF82" s="879"/>
      <c r="AG82" s="879"/>
      <c r="AH82" s="879"/>
      <c r="AI82" s="879"/>
    </row>
    <row r="83" spans="1:35" x14ac:dyDescent="0.25">
      <c r="A83" s="876">
        <v>31105</v>
      </c>
      <c r="B83" s="873" t="s">
        <v>1297</v>
      </c>
      <c r="C83" s="873">
        <v>42571274</v>
      </c>
      <c r="D83" s="874">
        <v>39235560</v>
      </c>
      <c r="E83" s="874">
        <v>0</v>
      </c>
      <c r="F83" s="874">
        <v>4220</v>
      </c>
      <c r="G83" s="874">
        <v>0</v>
      </c>
      <c r="H83" s="874">
        <v>2961995</v>
      </c>
      <c r="I83" s="877">
        <f t="shared" si="3"/>
        <v>2966215</v>
      </c>
      <c r="J83" s="874"/>
      <c r="K83" s="874">
        <v>2683101</v>
      </c>
      <c r="L83" s="874">
        <v>0</v>
      </c>
      <c r="M83" s="874">
        <v>16997750</v>
      </c>
      <c r="N83" s="874">
        <v>2566772</v>
      </c>
      <c r="O83" s="877">
        <f t="shared" si="4"/>
        <v>22247623</v>
      </c>
      <c r="P83" s="874"/>
      <c r="Q83" s="877">
        <f t="shared" si="5"/>
        <v>-530749</v>
      </c>
      <c r="R83" s="874">
        <v>-49294</v>
      </c>
      <c r="S83" s="874">
        <v>-580043</v>
      </c>
      <c r="T83" s="878"/>
      <c r="U83" s="878"/>
      <c r="V83" s="878"/>
      <c r="W83" s="878"/>
      <c r="X83" s="878"/>
      <c r="Y83" s="878"/>
      <c r="Z83" s="878"/>
      <c r="AA83" s="878"/>
      <c r="AB83" s="879"/>
      <c r="AC83" s="879"/>
      <c r="AD83" s="879"/>
      <c r="AE83" s="879"/>
      <c r="AF83" s="879"/>
      <c r="AG83" s="879"/>
      <c r="AH83" s="879"/>
      <c r="AI83" s="879"/>
    </row>
    <row r="84" spans="1:35" x14ac:dyDescent="0.25">
      <c r="A84" s="876">
        <v>31110</v>
      </c>
      <c r="B84" s="873" t="s">
        <v>1298</v>
      </c>
      <c r="C84" s="873">
        <v>68139813</v>
      </c>
      <c r="D84" s="874">
        <v>59740339</v>
      </c>
      <c r="E84" s="874">
        <v>0</v>
      </c>
      <c r="F84" s="874">
        <v>6425</v>
      </c>
      <c r="G84" s="874">
        <v>0</v>
      </c>
      <c r="H84" s="874">
        <v>2116097</v>
      </c>
      <c r="I84" s="877">
        <f t="shared" si="3"/>
        <v>2122522</v>
      </c>
      <c r="J84" s="874"/>
      <c r="K84" s="874">
        <v>4085308</v>
      </c>
      <c r="L84" s="874">
        <v>0</v>
      </c>
      <c r="M84" s="874">
        <v>25880894</v>
      </c>
      <c r="N84" s="874">
        <v>0</v>
      </c>
      <c r="O84" s="877">
        <f t="shared" si="4"/>
        <v>29966202</v>
      </c>
      <c r="P84" s="874"/>
      <c r="Q84" s="877">
        <f t="shared" si="5"/>
        <v>-808123</v>
      </c>
      <c r="R84" s="874">
        <v>501100</v>
      </c>
      <c r="S84" s="874">
        <v>-307023</v>
      </c>
      <c r="T84" s="878"/>
      <c r="U84" s="878"/>
      <c r="V84" s="878"/>
      <c r="W84" s="878"/>
      <c r="X84" s="878"/>
      <c r="Y84" s="878"/>
      <c r="Z84" s="878"/>
      <c r="AA84" s="878"/>
      <c r="AB84" s="879"/>
      <c r="AC84" s="879"/>
      <c r="AD84" s="879"/>
      <c r="AE84" s="879"/>
      <c r="AF84" s="879"/>
      <c r="AG84" s="879"/>
      <c r="AH84" s="879"/>
      <c r="AI84" s="879"/>
    </row>
    <row r="85" spans="1:35" x14ac:dyDescent="0.25">
      <c r="A85" s="876">
        <v>31200</v>
      </c>
      <c r="B85" s="873" t="s">
        <v>1299</v>
      </c>
      <c r="C85" s="873">
        <v>133536097</v>
      </c>
      <c r="D85" s="874">
        <v>110407996</v>
      </c>
      <c r="E85" s="874">
        <v>0</v>
      </c>
      <c r="F85" s="874">
        <v>11874</v>
      </c>
      <c r="G85" s="874">
        <v>0</v>
      </c>
      <c r="H85" s="874">
        <v>0</v>
      </c>
      <c r="I85" s="877">
        <f t="shared" si="3"/>
        <v>11874</v>
      </c>
      <c r="J85" s="874"/>
      <c r="K85" s="874">
        <v>7550186</v>
      </c>
      <c r="L85" s="874">
        <v>0</v>
      </c>
      <c r="M85" s="874">
        <v>47831293</v>
      </c>
      <c r="N85" s="874">
        <v>8630109</v>
      </c>
      <c r="O85" s="877">
        <f t="shared" si="4"/>
        <v>64011588</v>
      </c>
      <c r="P85" s="874"/>
      <c r="Q85" s="877">
        <f t="shared" si="5"/>
        <v>-1493517</v>
      </c>
      <c r="R85" s="874">
        <v>-1791120</v>
      </c>
      <c r="S85" s="874">
        <v>-3284637</v>
      </c>
      <c r="T85" s="878"/>
      <c r="U85" s="878"/>
      <c r="V85" s="878"/>
      <c r="W85" s="878"/>
      <c r="X85" s="878"/>
      <c r="Y85" s="878"/>
      <c r="Z85" s="878"/>
      <c r="AA85" s="878"/>
      <c r="AB85" s="879"/>
      <c r="AC85" s="879"/>
      <c r="AD85" s="879"/>
      <c r="AE85" s="879"/>
      <c r="AF85" s="879"/>
      <c r="AG85" s="879"/>
      <c r="AH85" s="879"/>
      <c r="AI85" s="879"/>
    </row>
    <row r="86" spans="1:35" x14ac:dyDescent="0.25">
      <c r="A86" s="876">
        <v>31205</v>
      </c>
      <c r="B86" s="873" t="s">
        <v>1300</v>
      </c>
      <c r="C86" s="873">
        <v>14820156</v>
      </c>
      <c r="D86" s="874">
        <v>12769016</v>
      </c>
      <c r="E86" s="874">
        <v>0</v>
      </c>
      <c r="F86" s="874">
        <v>1373</v>
      </c>
      <c r="G86" s="874">
        <v>0</v>
      </c>
      <c r="H86" s="874">
        <v>0</v>
      </c>
      <c r="I86" s="877">
        <f t="shared" si="3"/>
        <v>1373</v>
      </c>
      <c r="J86" s="874"/>
      <c r="K86" s="874">
        <v>873202</v>
      </c>
      <c r="L86" s="874">
        <v>0</v>
      </c>
      <c r="M86" s="874">
        <v>5531833</v>
      </c>
      <c r="N86" s="874">
        <v>1601867</v>
      </c>
      <c r="O86" s="877">
        <f t="shared" si="4"/>
        <v>8006902</v>
      </c>
      <c r="P86" s="874"/>
      <c r="Q86" s="877">
        <f t="shared" si="5"/>
        <v>-172730</v>
      </c>
      <c r="R86" s="874">
        <v>-396057</v>
      </c>
      <c r="S86" s="874">
        <v>-568787</v>
      </c>
      <c r="T86" s="878"/>
      <c r="U86" s="878"/>
      <c r="V86" s="878"/>
      <c r="W86" s="878"/>
      <c r="X86" s="878"/>
      <c r="Y86" s="878"/>
      <c r="Z86" s="878"/>
      <c r="AA86" s="878"/>
      <c r="AB86" s="879"/>
      <c r="AC86" s="879"/>
      <c r="AD86" s="879"/>
      <c r="AE86" s="879"/>
      <c r="AF86" s="879"/>
      <c r="AG86" s="879"/>
      <c r="AH86" s="879"/>
      <c r="AI86" s="879"/>
    </row>
    <row r="87" spans="1:35" x14ac:dyDescent="0.25">
      <c r="A87" s="876">
        <v>31300</v>
      </c>
      <c r="B87" s="873" t="s">
        <v>1301</v>
      </c>
      <c r="C87" s="873">
        <v>363887093</v>
      </c>
      <c r="D87" s="874">
        <v>312634952</v>
      </c>
      <c r="E87" s="874">
        <v>0</v>
      </c>
      <c r="F87" s="874">
        <v>33622</v>
      </c>
      <c r="G87" s="874">
        <v>0</v>
      </c>
      <c r="H87" s="874">
        <v>19786424</v>
      </c>
      <c r="I87" s="877">
        <f t="shared" si="3"/>
        <v>19820046</v>
      </c>
      <c r="J87" s="874"/>
      <c r="K87" s="874">
        <v>21379357</v>
      </c>
      <c r="L87" s="874">
        <v>0</v>
      </c>
      <c r="M87" s="874">
        <v>135440679</v>
      </c>
      <c r="N87" s="874">
        <v>5580885</v>
      </c>
      <c r="O87" s="877">
        <f t="shared" si="4"/>
        <v>162400921</v>
      </c>
      <c r="P87" s="874"/>
      <c r="Q87" s="877">
        <f t="shared" si="5"/>
        <v>-4229093</v>
      </c>
      <c r="R87" s="874">
        <v>3830427</v>
      </c>
      <c r="S87" s="874">
        <v>-398666</v>
      </c>
      <c r="T87" s="878"/>
      <c r="U87" s="878"/>
      <c r="V87" s="878"/>
      <c r="W87" s="878"/>
      <c r="X87" s="878"/>
      <c r="Y87" s="878"/>
      <c r="Z87" s="878"/>
      <c r="AA87" s="878"/>
      <c r="AB87" s="879"/>
      <c r="AC87" s="879"/>
      <c r="AD87" s="879"/>
      <c r="AE87" s="879"/>
      <c r="AF87" s="879"/>
      <c r="AG87" s="879"/>
      <c r="AH87" s="879"/>
      <c r="AI87" s="879"/>
    </row>
    <row r="88" spans="1:35" x14ac:dyDescent="0.25">
      <c r="A88" s="876">
        <v>31301</v>
      </c>
      <c r="B88" s="873" t="s">
        <v>1302</v>
      </c>
      <c r="C88" s="873">
        <v>8367700</v>
      </c>
      <c r="D88" s="874">
        <v>7082084</v>
      </c>
      <c r="E88" s="874">
        <v>0</v>
      </c>
      <c r="F88" s="874">
        <v>762</v>
      </c>
      <c r="G88" s="874">
        <v>0</v>
      </c>
      <c r="H88" s="874">
        <v>1571080</v>
      </c>
      <c r="I88" s="877">
        <f t="shared" si="3"/>
        <v>1571842</v>
      </c>
      <c r="J88" s="874"/>
      <c r="K88" s="874">
        <v>484304</v>
      </c>
      <c r="L88" s="874">
        <v>0</v>
      </c>
      <c r="M88" s="874">
        <v>3068123</v>
      </c>
      <c r="N88" s="874">
        <v>272400</v>
      </c>
      <c r="O88" s="877">
        <f t="shared" si="4"/>
        <v>3824827</v>
      </c>
      <c r="P88" s="874"/>
      <c r="Q88" s="877">
        <f t="shared" si="5"/>
        <v>-95801</v>
      </c>
      <c r="R88" s="874">
        <v>338289</v>
      </c>
      <c r="S88" s="874">
        <v>242488</v>
      </c>
      <c r="T88" s="878"/>
      <c r="U88" s="878"/>
      <c r="V88" s="878"/>
      <c r="W88" s="878"/>
      <c r="X88" s="878"/>
      <c r="Y88" s="878"/>
      <c r="Z88" s="878"/>
      <c r="AA88" s="878"/>
      <c r="AB88" s="879"/>
      <c r="AC88" s="879"/>
      <c r="AD88" s="879"/>
      <c r="AE88" s="879"/>
      <c r="AF88" s="879"/>
      <c r="AG88" s="879"/>
      <c r="AH88" s="879"/>
      <c r="AI88" s="879"/>
    </row>
    <row r="89" spans="1:35" x14ac:dyDescent="0.25">
      <c r="A89" s="876">
        <v>31320</v>
      </c>
      <c r="B89" s="873" t="s">
        <v>1303</v>
      </c>
      <c r="C89" s="873">
        <v>65390133</v>
      </c>
      <c r="D89" s="874">
        <v>54488462</v>
      </c>
      <c r="E89" s="874">
        <v>0</v>
      </c>
      <c r="F89" s="874">
        <v>5860</v>
      </c>
      <c r="G89" s="874">
        <v>0</v>
      </c>
      <c r="H89" s="874">
        <v>1245252</v>
      </c>
      <c r="I89" s="877">
        <f t="shared" si="3"/>
        <v>1251112</v>
      </c>
      <c r="J89" s="874"/>
      <c r="K89" s="874">
        <v>3726161</v>
      </c>
      <c r="L89" s="874">
        <v>0</v>
      </c>
      <c r="M89" s="874">
        <v>23605660</v>
      </c>
      <c r="N89" s="874">
        <v>3152750</v>
      </c>
      <c r="O89" s="877">
        <f t="shared" si="4"/>
        <v>30484571</v>
      </c>
      <c r="P89" s="874"/>
      <c r="Q89" s="877">
        <f t="shared" si="5"/>
        <v>-737079</v>
      </c>
      <c r="R89" s="874">
        <v>-319237</v>
      </c>
      <c r="S89" s="874">
        <v>-1056316</v>
      </c>
      <c r="T89" s="878"/>
      <c r="U89" s="878"/>
      <c r="V89" s="878"/>
      <c r="W89" s="878"/>
      <c r="X89" s="878"/>
      <c r="Y89" s="878"/>
      <c r="Z89" s="878"/>
      <c r="AA89" s="878"/>
      <c r="AB89" s="879"/>
      <c r="AC89" s="879"/>
      <c r="AD89" s="879"/>
      <c r="AE89" s="879"/>
      <c r="AF89" s="879"/>
      <c r="AG89" s="879"/>
      <c r="AH89" s="879"/>
      <c r="AI89" s="879"/>
    </row>
    <row r="90" spans="1:35" x14ac:dyDescent="0.25">
      <c r="A90" s="876">
        <v>31400</v>
      </c>
      <c r="B90" s="873" t="s">
        <v>1304</v>
      </c>
      <c r="C90" s="873">
        <v>137331100</v>
      </c>
      <c r="D90" s="874">
        <v>116263550</v>
      </c>
      <c r="E90" s="874">
        <v>0</v>
      </c>
      <c r="F90" s="874">
        <v>12504</v>
      </c>
      <c r="G90" s="874">
        <v>0</v>
      </c>
      <c r="H90" s="874">
        <v>3691004</v>
      </c>
      <c r="I90" s="877">
        <f t="shared" si="3"/>
        <v>3703508</v>
      </c>
      <c r="J90" s="874"/>
      <c r="K90" s="874">
        <v>7950614</v>
      </c>
      <c r="L90" s="874">
        <v>0</v>
      </c>
      <c r="M90" s="874">
        <v>50368054</v>
      </c>
      <c r="N90" s="874">
        <v>4018650</v>
      </c>
      <c r="O90" s="877">
        <f t="shared" si="4"/>
        <v>62337318</v>
      </c>
      <c r="P90" s="874"/>
      <c r="Q90" s="877">
        <f t="shared" si="5"/>
        <v>-1572727</v>
      </c>
      <c r="R90" s="874">
        <v>119019</v>
      </c>
      <c r="S90" s="874">
        <v>-1453708</v>
      </c>
      <c r="T90" s="878"/>
      <c r="U90" s="878"/>
      <c r="V90" s="878"/>
      <c r="W90" s="878"/>
      <c r="X90" s="878"/>
      <c r="Y90" s="878"/>
      <c r="Z90" s="878"/>
      <c r="AA90" s="878"/>
      <c r="AB90" s="879"/>
      <c r="AC90" s="879"/>
      <c r="AD90" s="879"/>
      <c r="AE90" s="879"/>
      <c r="AF90" s="879"/>
      <c r="AG90" s="879"/>
      <c r="AH90" s="879"/>
      <c r="AI90" s="879"/>
    </row>
    <row r="91" spans="1:35" x14ac:dyDescent="0.25">
      <c r="A91" s="876">
        <v>31405</v>
      </c>
      <c r="B91" s="873" t="s">
        <v>1305</v>
      </c>
      <c r="C91" s="873">
        <v>25366031</v>
      </c>
      <c r="D91" s="874">
        <v>22855821</v>
      </c>
      <c r="E91" s="874">
        <v>0</v>
      </c>
      <c r="F91" s="874">
        <v>2458</v>
      </c>
      <c r="G91" s="874">
        <v>0</v>
      </c>
      <c r="H91" s="874">
        <v>1140285</v>
      </c>
      <c r="I91" s="877">
        <f t="shared" si="3"/>
        <v>1142743</v>
      </c>
      <c r="J91" s="874"/>
      <c r="K91" s="874">
        <v>1562982</v>
      </c>
      <c r="L91" s="874">
        <v>0</v>
      </c>
      <c r="M91" s="874">
        <v>9901669</v>
      </c>
      <c r="N91" s="874">
        <v>1177148</v>
      </c>
      <c r="O91" s="877">
        <f t="shared" si="4"/>
        <v>12641799</v>
      </c>
      <c r="P91" s="874"/>
      <c r="Q91" s="877">
        <f t="shared" si="5"/>
        <v>-309177</v>
      </c>
      <c r="R91" s="874">
        <v>-66229</v>
      </c>
      <c r="S91" s="874">
        <v>-375406</v>
      </c>
      <c r="T91" s="878"/>
      <c r="U91" s="878"/>
      <c r="V91" s="878"/>
      <c r="W91" s="878"/>
      <c r="X91" s="878"/>
      <c r="Y91" s="878"/>
      <c r="Z91" s="878"/>
      <c r="AA91" s="878"/>
      <c r="AB91" s="879"/>
      <c r="AC91" s="879"/>
      <c r="AD91" s="879"/>
      <c r="AE91" s="879"/>
      <c r="AF91" s="879"/>
      <c r="AG91" s="879"/>
      <c r="AH91" s="879"/>
      <c r="AI91" s="879"/>
    </row>
    <row r="92" spans="1:35" x14ac:dyDescent="0.25">
      <c r="A92" s="876">
        <v>31500</v>
      </c>
      <c r="B92" s="873" t="s">
        <v>1306</v>
      </c>
      <c r="C92" s="873">
        <v>20784929</v>
      </c>
      <c r="D92" s="874">
        <v>17646139</v>
      </c>
      <c r="E92" s="874">
        <v>0</v>
      </c>
      <c r="F92" s="874">
        <v>1898</v>
      </c>
      <c r="G92" s="874">
        <v>0</v>
      </c>
      <c r="H92" s="874">
        <v>221104</v>
      </c>
      <c r="I92" s="877">
        <f t="shared" si="3"/>
        <v>223002</v>
      </c>
      <c r="J92" s="874"/>
      <c r="K92" s="874">
        <v>1206721</v>
      </c>
      <c r="L92" s="874">
        <v>0</v>
      </c>
      <c r="M92" s="874">
        <v>7644715</v>
      </c>
      <c r="N92" s="874">
        <v>515900</v>
      </c>
      <c r="O92" s="877">
        <f t="shared" si="4"/>
        <v>9367336</v>
      </c>
      <c r="P92" s="874"/>
      <c r="Q92" s="877">
        <f t="shared" si="5"/>
        <v>-238704</v>
      </c>
      <c r="R92" s="874">
        <v>-47902</v>
      </c>
      <c r="S92" s="874">
        <v>-286606</v>
      </c>
      <c r="T92" s="878"/>
      <c r="U92" s="878"/>
      <c r="V92" s="878"/>
      <c r="W92" s="878"/>
      <c r="X92" s="878"/>
      <c r="Y92" s="878"/>
      <c r="Z92" s="878"/>
      <c r="AA92" s="878"/>
      <c r="AB92" s="879"/>
      <c r="AC92" s="879"/>
      <c r="AD92" s="879"/>
      <c r="AE92" s="879"/>
      <c r="AF92" s="879"/>
      <c r="AG92" s="879"/>
      <c r="AH92" s="879"/>
      <c r="AI92" s="879"/>
    </row>
    <row r="93" spans="1:35" x14ac:dyDescent="0.25">
      <c r="A93" s="876">
        <v>31600</v>
      </c>
      <c r="B93" s="873" t="s">
        <v>1307</v>
      </c>
      <c r="C93" s="873">
        <v>96995534</v>
      </c>
      <c r="D93" s="874">
        <v>82205112</v>
      </c>
      <c r="E93" s="874">
        <v>0</v>
      </c>
      <c r="F93" s="874">
        <v>8841</v>
      </c>
      <c r="G93" s="874">
        <v>0</v>
      </c>
      <c r="H93" s="874">
        <v>1743132</v>
      </c>
      <c r="I93" s="877">
        <f t="shared" si="3"/>
        <v>1751973</v>
      </c>
      <c r="J93" s="874"/>
      <c r="K93" s="874">
        <v>5621548</v>
      </c>
      <c r="L93" s="874">
        <v>0</v>
      </c>
      <c r="M93" s="874">
        <v>35613153</v>
      </c>
      <c r="N93" s="874">
        <v>2759595</v>
      </c>
      <c r="O93" s="877">
        <f t="shared" si="4"/>
        <v>43994296</v>
      </c>
      <c r="P93" s="874"/>
      <c r="Q93" s="877">
        <f t="shared" si="5"/>
        <v>-1112010</v>
      </c>
      <c r="R93" s="874">
        <v>-116137</v>
      </c>
      <c r="S93" s="874">
        <v>-1228147</v>
      </c>
      <c r="T93" s="878"/>
      <c r="U93" s="878"/>
      <c r="V93" s="878"/>
      <c r="W93" s="878"/>
      <c r="X93" s="878"/>
      <c r="Y93" s="878"/>
      <c r="Z93" s="878"/>
      <c r="AA93" s="878"/>
      <c r="AB93" s="879"/>
      <c r="AC93" s="879"/>
      <c r="AD93" s="879"/>
      <c r="AE93" s="879"/>
      <c r="AF93" s="879"/>
      <c r="AG93" s="879"/>
      <c r="AH93" s="879"/>
      <c r="AI93" s="879"/>
    </row>
    <row r="94" spans="1:35" x14ac:dyDescent="0.25">
      <c r="A94" s="876">
        <v>31605</v>
      </c>
      <c r="B94" s="873" t="s">
        <v>1308</v>
      </c>
      <c r="C94" s="873">
        <v>13399850</v>
      </c>
      <c r="D94" s="874">
        <v>11606834</v>
      </c>
      <c r="E94" s="874">
        <v>0</v>
      </c>
      <c r="F94" s="874">
        <v>1248</v>
      </c>
      <c r="G94" s="874">
        <v>0</v>
      </c>
      <c r="H94" s="874">
        <v>329020</v>
      </c>
      <c r="I94" s="877">
        <f t="shared" si="3"/>
        <v>330268</v>
      </c>
      <c r="J94" s="874"/>
      <c r="K94" s="874">
        <v>793727</v>
      </c>
      <c r="L94" s="874">
        <v>0</v>
      </c>
      <c r="M94" s="874">
        <v>5028349</v>
      </c>
      <c r="N94" s="874">
        <v>7445</v>
      </c>
      <c r="O94" s="877">
        <f t="shared" si="4"/>
        <v>5829521</v>
      </c>
      <c r="P94" s="874"/>
      <c r="Q94" s="877">
        <f t="shared" si="5"/>
        <v>-157009</v>
      </c>
      <c r="R94" s="874">
        <v>80763</v>
      </c>
      <c r="S94" s="874">
        <v>-76246</v>
      </c>
      <c r="T94" s="878"/>
      <c r="U94" s="878"/>
      <c r="V94" s="878"/>
      <c r="W94" s="878"/>
      <c r="X94" s="878"/>
      <c r="Y94" s="878"/>
      <c r="Z94" s="878"/>
      <c r="AA94" s="878"/>
      <c r="AB94" s="879"/>
      <c r="AC94" s="879"/>
      <c r="AD94" s="879"/>
      <c r="AE94" s="879"/>
      <c r="AF94" s="879"/>
      <c r="AG94" s="879"/>
      <c r="AH94" s="879"/>
      <c r="AI94" s="879"/>
    </row>
    <row r="95" spans="1:35" x14ac:dyDescent="0.25">
      <c r="A95" s="876">
        <v>31700</v>
      </c>
      <c r="B95" s="873" t="s">
        <v>1309</v>
      </c>
      <c r="C95" s="873">
        <v>28983229</v>
      </c>
      <c r="D95" s="874">
        <v>25416589</v>
      </c>
      <c r="E95" s="874">
        <v>0</v>
      </c>
      <c r="F95" s="874">
        <v>2733</v>
      </c>
      <c r="G95" s="874">
        <v>0</v>
      </c>
      <c r="H95" s="874">
        <v>1587605</v>
      </c>
      <c r="I95" s="877">
        <f t="shared" si="3"/>
        <v>1590338</v>
      </c>
      <c r="J95" s="874"/>
      <c r="K95" s="874">
        <v>1738098</v>
      </c>
      <c r="L95" s="874">
        <v>0</v>
      </c>
      <c r="M95" s="874">
        <v>11011053</v>
      </c>
      <c r="N95" s="874">
        <v>0</v>
      </c>
      <c r="O95" s="877">
        <f t="shared" si="4"/>
        <v>12749151</v>
      </c>
      <c r="P95" s="874"/>
      <c r="Q95" s="877">
        <f t="shared" si="5"/>
        <v>-343817</v>
      </c>
      <c r="R95" s="874">
        <v>381544</v>
      </c>
      <c r="S95" s="874">
        <v>37727</v>
      </c>
      <c r="T95" s="878"/>
      <c r="U95" s="878"/>
      <c r="V95" s="878"/>
      <c r="W95" s="878"/>
      <c r="X95" s="878"/>
      <c r="Y95" s="878"/>
      <c r="Z95" s="878"/>
      <c r="AA95" s="878"/>
      <c r="AB95" s="879"/>
      <c r="AC95" s="879"/>
      <c r="AD95" s="879"/>
      <c r="AE95" s="879"/>
      <c r="AF95" s="879"/>
      <c r="AG95" s="879"/>
      <c r="AH95" s="879"/>
      <c r="AI95" s="879"/>
    </row>
    <row r="96" spans="1:35" x14ac:dyDescent="0.25">
      <c r="A96" s="876">
        <v>31800</v>
      </c>
      <c r="B96" s="873" t="s">
        <v>1310</v>
      </c>
      <c r="C96" s="873">
        <v>175976272</v>
      </c>
      <c r="D96" s="874">
        <v>144888145</v>
      </c>
      <c r="E96" s="874">
        <v>0</v>
      </c>
      <c r="F96" s="874">
        <v>15582</v>
      </c>
      <c r="G96" s="874">
        <v>0</v>
      </c>
      <c r="H96" s="874">
        <v>1007932</v>
      </c>
      <c r="I96" s="877">
        <f t="shared" si="3"/>
        <v>1023514</v>
      </c>
      <c r="J96" s="874"/>
      <c r="K96" s="874">
        <v>9908090</v>
      </c>
      <c r="L96" s="874">
        <v>0</v>
      </c>
      <c r="M96" s="874">
        <v>62768890</v>
      </c>
      <c r="N96" s="874">
        <v>10448285</v>
      </c>
      <c r="O96" s="877">
        <f t="shared" si="4"/>
        <v>83125265</v>
      </c>
      <c r="P96" s="874"/>
      <c r="Q96" s="877">
        <f t="shared" si="5"/>
        <v>-1959939</v>
      </c>
      <c r="R96" s="874">
        <v>-1837668</v>
      </c>
      <c r="S96" s="874">
        <v>-3797607</v>
      </c>
      <c r="T96" s="878"/>
      <c r="U96" s="878"/>
      <c r="V96" s="878"/>
      <c r="W96" s="878"/>
      <c r="X96" s="878"/>
      <c r="Y96" s="878"/>
      <c r="Z96" s="878"/>
      <c r="AA96" s="878"/>
      <c r="AB96" s="879"/>
      <c r="AC96" s="879"/>
      <c r="AD96" s="879"/>
      <c r="AE96" s="879"/>
      <c r="AF96" s="879"/>
      <c r="AG96" s="879"/>
      <c r="AH96" s="879"/>
      <c r="AI96" s="879"/>
    </row>
    <row r="97" spans="1:35" x14ac:dyDescent="0.25">
      <c r="A97" s="876">
        <v>31805</v>
      </c>
      <c r="B97" s="873" t="s">
        <v>1311</v>
      </c>
      <c r="C97" s="873">
        <v>31904515</v>
      </c>
      <c r="D97" s="874">
        <v>28602862</v>
      </c>
      <c r="E97" s="874">
        <v>0</v>
      </c>
      <c r="F97" s="874">
        <v>3076</v>
      </c>
      <c r="G97" s="874">
        <v>0</v>
      </c>
      <c r="H97" s="874">
        <v>1226105</v>
      </c>
      <c r="I97" s="877">
        <f t="shared" si="3"/>
        <v>1229181</v>
      </c>
      <c r="J97" s="874"/>
      <c r="K97" s="874">
        <v>1955990</v>
      </c>
      <c r="L97" s="874">
        <v>0</v>
      </c>
      <c r="M97" s="874">
        <v>12391420</v>
      </c>
      <c r="N97" s="874">
        <v>443888</v>
      </c>
      <c r="O97" s="877">
        <f t="shared" si="4"/>
        <v>14791298</v>
      </c>
      <c r="P97" s="874"/>
      <c r="Q97" s="877">
        <f t="shared" si="5"/>
        <v>-386918</v>
      </c>
      <c r="R97" s="874">
        <v>134253</v>
      </c>
      <c r="S97" s="874">
        <v>-252665</v>
      </c>
      <c r="T97" s="878"/>
      <c r="U97" s="878"/>
      <c r="V97" s="878"/>
      <c r="W97" s="878"/>
      <c r="X97" s="878"/>
      <c r="Y97" s="878"/>
      <c r="Z97" s="878"/>
      <c r="AA97" s="878"/>
      <c r="AB97" s="879"/>
      <c r="AC97" s="879"/>
      <c r="AD97" s="879"/>
      <c r="AE97" s="879"/>
      <c r="AF97" s="879"/>
      <c r="AG97" s="879"/>
      <c r="AH97" s="879"/>
      <c r="AI97" s="879"/>
    </row>
    <row r="98" spans="1:35" x14ac:dyDescent="0.25">
      <c r="A98" s="876">
        <v>31810</v>
      </c>
      <c r="B98" s="873" t="s">
        <v>1312</v>
      </c>
      <c r="C98" s="873">
        <v>45773929</v>
      </c>
      <c r="D98" s="874">
        <v>39120233</v>
      </c>
      <c r="E98" s="874">
        <v>0</v>
      </c>
      <c r="F98" s="874">
        <v>4207</v>
      </c>
      <c r="G98" s="874">
        <v>0</v>
      </c>
      <c r="H98" s="874">
        <v>2040132</v>
      </c>
      <c r="I98" s="877">
        <f t="shared" si="3"/>
        <v>2044339</v>
      </c>
      <c r="J98" s="874"/>
      <c r="K98" s="874">
        <v>2675214</v>
      </c>
      <c r="L98" s="874">
        <v>0</v>
      </c>
      <c r="M98" s="874">
        <v>16947788</v>
      </c>
      <c r="N98" s="874">
        <v>905080</v>
      </c>
      <c r="O98" s="877">
        <f t="shared" si="4"/>
        <v>20528082</v>
      </c>
      <c r="P98" s="874"/>
      <c r="Q98" s="877">
        <f t="shared" si="5"/>
        <v>-529189</v>
      </c>
      <c r="R98" s="874">
        <v>329019</v>
      </c>
      <c r="S98" s="874">
        <v>-200170</v>
      </c>
      <c r="T98" s="878"/>
      <c r="U98" s="878"/>
      <c r="V98" s="878"/>
      <c r="W98" s="878"/>
      <c r="X98" s="878"/>
      <c r="Y98" s="878"/>
      <c r="Z98" s="878"/>
      <c r="AA98" s="878"/>
      <c r="AB98" s="879"/>
      <c r="AC98" s="879"/>
      <c r="AD98" s="879"/>
      <c r="AE98" s="879"/>
      <c r="AF98" s="879"/>
      <c r="AG98" s="879"/>
      <c r="AH98" s="879"/>
      <c r="AI98" s="879"/>
    </row>
    <row r="99" spans="1:35" x14ac:dyDescent="0.25">
      <c r="A99" s="876">
        <v>31820</v>
      </c>
      <c r="B99" s="873" t="s">
        <v>1313</v>
      </c>
      <c r="C99" s="873">
        <v>38366389</v>
      </c>
      <c r="D99" s="874">
        <v>33107078</v>
      </c>
      <c r="E99" s="874">
        <v>0</v>
      </c>
      <c r="F99" s="874">
        <v>3560</v>
      </c>
      <c r="G99" s="874">
        <v>0</v>
      </c>
      <c r="H99" s="874">
        <v>0</v>
      </c>
      <c r="I99" s="877">
        <f t="shared" si="3"/>
        <v>3560</v>
      </c>
      <c r="J99" s="874"/>
      <c r="K99" s="874">
        <v>2264008</v>
      </c>
      <c r="L99" s="874">
        <v>0</v>
      </c>
      <c r="M99" s="874">
        <v>14342751</v>
      </c>
      <c r="N99" s="874">
        <v>767230</v>
      </c>
      <c r="O99" s="877">
        <f t="shared" si="4"/>
        <v>17373989</v>
      </c>
      <c r="P99" s="874"/>
      <c r="Q99" s="877">
        <f t="shared" si="5"/>
        <v>-447848</v>
      </c>
      <c r="R99" s="874">
        <v>-172313</v>
      </c>
      <c r="S99" s="874">
        <v>-620161</v>
      </c>
      <c r="T99" s="878"/>
      <c r="U99" s="878"/>
      <c r="V99" s="878"/>
      <c r="W99" s="878"/>
      <c r="X99" s="878"/>
      <c r="Y99" s="878"/>
      <c r="Z99" s="878"/>
      <c r="AA99" s="878"/>
      <c r="AB99" s="879"/>
      <c r="AC99" s="879"/>
      <c r="AD99" s="879"/>
      <c r="AE99" s="879"/>
      <c r="AF99" s="879"/>
      <c r="AG99" s="879"/>
      <c r="AH99" s="879"/>
      <c r="AI99" s="879"/>
    </row>
    <row r="100" spans="1:35" x14ac:dyDescent="0.25">
      <c r="A100" s="876">
        <v>31900</v>
      </c>
      <c r="B100" s="873" t="s">
        <v>1314</v>
      </c>
      <c r="C100" s="873">
        <v>108008700</v>
      </c>
      <c r="D100" s="874">
        <v>92714959</v>
      </c>
      <c r="E100" s="874">
        <v>0</v>
      </c>
      <c r="F100" s="874">
        <v>9971</v>
      </c>
      <c r="G100" s="874">
        <v>0</v>
      </c>
      <c r="H100" s="874">
        <v>5183792</v>
      </c>
      <c r="I100" s="877">
        <f t="shared" si="3"/>
        <v>5193763</v>
      </c>
      <c r="J100" s="874"/>
      <c r="K100" s="874">
        <v>6340258</v>
      </c>
      <c r="L100" s="874">
        <v>0</v>
      </c>
      <c r="M100" s="874">
        <v>40166261</v>
      </c>
      <c r="N100" s="874">
        <v>1631990</v>
      </c>
      <c r="O100" s="877">
        <f t="shared" si="4"/>
        <v>48138509</v>
      </c>
      <c r="P100" s="874"/>
      <c r="Q100" s="877">
        <f t="shared" si="5"/>
        <v>-1254179</v>
      </c>
      <c r="R100" s="874">
        <v>969550</v>
      </c>
      <c r="S100" s="874">
        <v>-284629</v>
      </c>
      <c r="T100" s="878"/>
      <c r="U100" s="878"/>
      <c r="V100" s="878"/>
      <c r="W100" s="878"/>
      <c r="X100" s="878"/>
      <c r="Y100" s="878"/>
      <c r="Z100" s="878"/>
      <c r="AA100" s="878"/>
      <c r="AB100" s="879"/>
      <c r="AC100" s="879"/>
      <c r="AD100" s="879"/>
      <c r="AE100" s="879"/>
      <c r="AF100" s="879"/>
      <c r="AG100" s="879"/>
      <c r="AH100" s="879"/>
      <c r="AI100" s="879"/>
    </row>
    <row r="101" spans="1:35" x14ac:dyDescent="0.25">
      <c r="A101" s="876">
        <v>32000</v>
      </c>
      <c r="B101" s="873" t="s">
        <v>1315</v>
      </c>
      <c r="C101" s="873">
        <v>43299637</v>
      </c>
      <c r="D101" s="874">
        <v>37048838</v>
      </c>
      <c r="E101" s="874">
        <v>0</v>
      </c>
      <c r="F101" s="874">
        <v>3984</v>
      </c>
      <c r="G101" s="874">
        <v>0</v>
      </c>
      <c r="H101" s="874">
        <v>1998740</v>
      </c>
      <c r="I101" s="877">
        <f t="shared" si="3"/>
        <v>2002724</v>
      </c>
      <c r="J101" s="874"/>
      <c r="K101" s="874">
        <v>2533563</v>
      </c>
      <c r="L101" s="874">
        <v>0</v>
      </c>
      <c r="M101" s="874">
        <v>16050412</v>
      </c>
      <c r="N101" s="874">
        <v>783610</v>
      </c>
      <c r="O101" s="877">
        <f t="shared" si="4"/>
        <v>19367585</v>
      </c>
      <c r="P101" s="874"/>
      <c r="Q101" s="877">
        <f t="shared" si="5"/>
        <v>-501169</v>
      </c>
      <c r="R101" s="874">
        <v>342963</v>
      </c>
      <c r="S101" s="874">
        <v>-158206</v>
      </c>
      <c r="T101" s="878"/>
      <c r="U101" s="878"/>
      <c r="V101" s="878"/>
      <c r="W101" s="878"/>
      <c r="X101" s="878"/>
      <c r="Y101" s="878"/>
      <c r="Z101" s="878"/>
      <c r="AA101" s="878"/>
      <c r="AB101" s="879"/>
      <c r="AC101" s="879"/>
      <c r="AD101" s="879"/>
      <c r="AE101" s="879"/>
      <c r="AF101" s="879"/>
      <c r="AG101" s="879"/>
      <c r="AH101" s="879"/>
      <c r="AI101" s="879"/>
    </row>
    <row r="102" spans="1:35" x14ac:dyDescent="0.25">
      <c r="A102" s="876">
        <v>32005</v>
      </c>
      <c r="B102" s="873" t="s">
        <v>1316</v>
      </c>
      <c r="C102" s="873">
        <v>8916042</v>
      </c>
      <c r="D102" s="874">
        <v>8040146</v>
      </c>
      <c r="E102" s="874">
        <v>0</v>
      </c>
      <c r="F102" s="874">
        <v>865</v>
      </c>
      <c r="G102" s="874">
        <v>0</v>
      </c>
      <c r="H102" s="874">
        <v>392695</v>
      </c>
      <c r="I102" s="877">
        <f t="shared" si="3"/>
        <v>393560</v>
      </c>
      <c r="J102" s="874"/>
      <c r="K102" s="874">
        <v>549821</v>
      </c>
      <c r="L102" s="874">
        <v>0</v>
      </c>
      <c r="M102" s="874">
        <v>3483177</v>
      </c>
      <c r="N102" s="874">
        <v>264960</v>
      </c>
      <c r="O102" s="877">
        <f t="shared" si="4"/>
        <v>4297958</v>
      </c>
      <c r="P102" s="874"/>
      <c r="Q102" s="877">
        <f t="shared" si="5"/>
        <v>-108761</v>
      </c>
      <c r="R102" s="874">
        <v>12302</v>
      </c>
      <c r="S102" s="874">
        <v>-96459</v>
      </c>
      <c r="T102" s="878"/>
      <c r="U102" s="878"/>
      <c r="V102" s="878"/>
      <c r="W102" s="878"/>
      <c r="X102" s="878"/>
      <c r="Y102" s="878"/>
      <c r="Z102" s="878"/>
      <c r="AA102" s="878"/>
      <c r="AB102" s="879"/>
      <c r="AC102" s="879"/>
      <c r="AD102" s="879"/>
      <c r="AE102" s="879"/>
      <c r="AF102" s="879"/>
      <c r="AG102" s="879"/>
      <c r="AH102" s="879"/>
      <c r="AI102" s="879"/>
    </row>
    <row r="103" spans="1:35" x14ac:dyDescent="0.25">
      <c r="A103" s="876">
        <v>32100</v>
      </c>
      <c r="B103" s="873" t="s">
        <v>1317</v>
      </c>
      <c r="C103" s="873">
        <v>24876632</v>
      </c>
      <c r="D103" s="874">
        <v>21068626</v>
      </c>
      <c r="E103" s="874">
        <v>0</v>
      </c>
      <c r="F103" s="874">
        <v>2266</v>
      </c>
      <c r="G103" s="874">
        <v>0</v>
      </c>
      <c r="H103" s="874">
        <v>0</v>
      </c>
      <c r="I103" s="877">
        <f t="shared" si="3"/>
        <v>2266</v>
      </c>
      <c r="J103" s="874"/>
      <c r="K103" s="874">
        <v>1440766</v>
      </c>
      <c r="L103" s="874">
        <v>0</v>
      </c>
      <c r="M103" s="874">
        <v>9127416</v>
      </c>
      <c r="N103" s="874">
        <v>1294300</v>
      </c>
      <c r="O103" s="877">
        <f t="shared" si="4"/>
        <v>11862482</v>
      </c>
      <c r="P103" s="874"/>
      <c r="Q103" s="877">
        <f t="shared" si="5"/>
        <v>-285001</v>
      </c>
      <c r="R103" s="874">
        <v>-289036</v>
      </c>
      <c r="S103" s="874">
        <v>-574037</v>
      </c>
      <c r="T103" s="878"/>
      <c r="U103" s="878"/>
      <c r="V103" s="878"/>
      <c r="W103" s="878"/>
      <c r="X103" s="878"/>
      <c r="Y103" s="878"/>
      <c r="Z103" s="878"/>
      <c r="AA103" s="878"/>
      <c r="AB103" s="879"/>
      <c r="AC103" s="879"/>
      <c r="AD103" s="879"/>
      <c r="AE103" s="879"/>
      <c r="AF103" s="879"/>
      <c r="AG103" s="879"/>
      <c r="AH103" s="879"/>
      <c r="AI103" s="879"/>
    </row>
    <row r="104" spans="1:35" x14ac:dyDescent="0.25">
      <c r="A104" s="876">
        <v>32200</v>
      </c>
      <c r="B104" s="873" t="s">
        <v>1318</v>
      </c>
      <c r="C104" s="873">
        <v>16039045</v>
      </c>
      <c r="D104" s="874">
        <v>14173552</v>
      </c>
      <c r="E104" s="874">
        <v>0</v>
      </c>
      <c r="F104" s="874">
        <v>1524</v>
      </c>
      <c r="G104" s="874">
        <v>0</v>
      </c>
      <c r="H104" s="874">
        <v>565682</v>
      </c>
      <c r="I104" s="877">
        <f t="shared" si="3"/>
        <v>567206</v>
      </c>
      <c r="J104" s="874"/>
      <c r="K104" s="874">
        <v>969250</v>
      </c>
      <c r="L104" s="874">
        <v>0</v>
      </c>
      <c r="M104" s="874">
        <v>6140310</v>
      </c>
      <c r="N104" s="874">
        <v>0</v>
      </c>
      <c r="O104" s="877">
        <f t="shared" si="4"/>
        <v>7109560</v>
      </c>
      <c r="P104" s="874"/>
      <c r="Q104" s="877">
        <f t="shared" si="5"/>
        <v>-191729</v>
      </c>
      <c r="R104" s="874">
        <v>126498</v>
      </c>
      <c r="S104" s="874">
        <v>-65231</v>
      </c>
      <c r="T104" s="878"/>
      <c r="U104" s="878"/>
      <c r="V104" s="878"/>
      <c r="W104" s="878"/>
      <c r="X104" s="878"/>
      <c r="Y104" s="878"/>
      <c r="Z104" s="878"/>
      <c r="AA104" s="878"/>
      <c r="AB104" s="879"/>
      <c r="AC104" s="879"/>
      <c r="AD104" s="879"/>
      <c r="AE104" s="879"/>
      <c r="AF104" s="879"/>
      <c r="AG104" s="879"/>
      <c r="AH104" s="879"/>
      <c r="AI104" s="879"/>
    </row>
    <row r="105" spans="1:35" x14ac:dyDescent="0.25">
      <c r="A105" s="876">
        <v>32300</v>
      </c>
      <c r="B105" s="873" t="s">
        <v>1319</v>
      </c>
      <c r="C105" s="873">
        <v>184560641</v>
      </c>
      <c r="D105" s="874">
        <v>153610062</v>
      </c>
      <c r="E105" s="874">
        <v>0</v>
      </c>
      <c r="F105" s="874">
        <v>16520</v>
      </c>
      <c r="G105" s="874">
        <v>0</v>
      </c>
      <c r="H105" s="874">
        <v>4763376</v>
      </c>
      <c r="I105" s="877">
        <f t="shared" si="3"/>
        <v>4779896</v>
      </c>
      <c r="J105" s="874"/>
      <c r="K105" s="874">
        <v>10504533</v>
      </c>
      <c r="L105" s="874">
        <v>0</v>
      </c>
      <c r="M105" s="874">
        <v>66547425</v>
      </c>
      <c r="N105" s="874">
        <v>8999355</v>
      </c>
      <c r="O105" s="877">
        <f t="shared" si="4"/>
        <v>86051313</v>
      </c>
      <c r="P105" s="874"/>
      <c r="Q105" s="877">
        <f t="shared" si="5"/>
        <v>-2077923</v>
      </c>
      <c r="R105" s="874">
        <v>-609029</v>
      </c>
      <c r="S105" s="874">
        <v>-2686952</v>
      </c>
      <c r="T105" s="878"/>
      <c r="U105" s="878"/>
      <c r="V105" s="878"/>
      <c r="W105" s="878"/>
      <c r="X105" s="878"/>
      <c r="Y105" s="878"/>
      <c r="Z105" s="878"/>
      <c r="AA105" s="878"/>
      <c r="AB105" s="879"/>
      <c r="AC105" s="879"/>
      <c r="AD105" s="879"/>
      <c r="AE105" s="879"/>
      <c r="AF105" s="879"/>
      <c r="AG105" s="879"/>
      <c r="AH105" s="879"/>
      <c r="AI105" s="879"/>
    </row>
    <row r="106" spans="1:35" x14ac:dyDescent="0.25">
      <c r="A106" s="876">
        <v>32305</v>
      </c>
      <c r="B106" s="873" t="s">
        <v>1320</v>
      </c>
      <c r="C106" s="873">
        <v>18149963</v>
      </c>
      <c r="D106" s="874">
        <v>14826368</v>
      </c>
      <c r="E106" s="874">
        <v>0</v>
      </c>
      <c r="F106" s="874">
        <v>1594</v>
      </c>
      <c r="G106" s="874">
        <v>0</v>
      </c>
      <c r="H106" s="874">
        <v>0</v>
      </c>
      <c r="I106" s="877">
        <f t="shared" si="3"/>
        <v>1594</v>
      </c>
      <c r="J106" s="874"/>
      <c r="K106" s="874">
        <v>1013892</v>
      </c>
      <c r="L106" s="874">
        <v>0</v>
      </c>
      <c r="M106" s="874">
        <v>6423125</v>
      </c>
      <c r="N106" s="874">
        <v>1335439</v>
      </c>
      <c r="O106" s="877">
        <f t="shared" si="4"/>
        <v>8772456</v>
      </c>
      <c r="P106" s="874"/>
      <c r="Q106" s="877">
        <f t="shared" si="5"/>
        <v>-200560</v>
      </c>
      <c r="R106" s="874">
        <v>-275474</v>
      </c>
      <c r="S106" s="874">
        <v>-476034</v>
      </c>
      <c r="T106" s="878"/>
      <c r="U106" s="878"/>
      <c r="V106" s="878"/>
      <c r="W106" s="878"/>
      <c r="X106" s="878"/>
      <c r="Y106" s="878"/>
      <c r="Z106" s="878"/>
      <c r="AA106" s="878"/>
      <c r="AB106" s="879"/>
      <c r="AC106" s="879"/>
      <c r="AD106" s="879"/>
      <c r="AE106" s="879"/>
      <c r="AF106" s="879"/>
      <c r="AG106" s="879"/>
      <c r="AH106" s="879"/>
      <c r="AI106" s="879"/>
    </row>
    <row r="107" spans="1:35" x14ac:dyDescent="0.25">
      <c r="A107" s="876">
        <v>32400</v>
      </c>
      <c r="B107" s="873" t="s">
        <v>1321</v>
      </c>
      <c r="C107" s="873">
        <v>65370641</v>
      </c>
      <c r="D107" s="874">
        <v>53512528</v>
      </c>
      <c r="E107" s="874">
        <v>0</v>
      </c>
      <c r="F107" s="874">
        <v>5755</v>
      </c>
      <c r="G107" s="874">
        <v>0</v>
      </c>
      <c r="H107" s="874">
        <v>1796516</v>
      </c>
      <c r="I107" s="877">
        <f t="shared" si="3"/>
        <v>1802271</v>
      </c>
      <c r="J107" s="874"/>
      <c r="K107" s="874">
        <v>3659423</v>
      </c>
      <c r="L107" s="874">
        <v>0</v>
      </c>
      <c r="M107" s="874">
        <v>23182863</v>
      </c>
      <c r="N107" s="874">
        <v>4200440</v>
      </c>
      <c r="O107" s="877">
        <f t="shared" si="4"/>
        <v>31042726</v>
      </c>
      <c r="P107" s="874"/>
      <c r="Q107" s="877">
        <f t="shared" si="5"/>
        <v>-723878</v>
      </c>
      <c r="R107" s="874">
        <v>-390959</v>
      </c>
      <c r="S107" s="874">
        <v>-1114837</v>
      </c>
      <c r="T107" s="878"/>
      <c r="U107" s="878"/>
      <c r="V107" s="878"/>
      <c r="W107" s="878"/>
      <c r="X107" s="878"/>
      <c r="Y107" s="878"/>
      <c r="Z107" s="878"/>
      <c r="AA107" s="878"/>
      <c r="AB107" s="879"/>
      <c r="AC107" s="879"/>
      <c r="AD107" s="879"/>
      <c r="AE107" s="879"/>
      <c r="AF107" s="879"/>
      <c r="AG107" s="879"/>
      <c r="AH107" s="879"/>
      <c r="AI107" s="879"/>
    </row>
    <row r="108" spans="1:35" x14ac:dyDescent="0.25">
      <c r="A108" s="876">
        <v>32405</v>
      </c>
      <c r="B108" s="873" t="s">
        <v>1322</v>
      </c>
      <c r="C108" s="873">
        <v>15832522</v>
      </c>
      <c r="D108" s="874">
        <v>13871588</v>
      </c>
      <c r="E108" s="874">
        <v>0</v>
      </c>
      <c r="F108" s="874">
        <v>1492</v>
      </c>
      <c r="G108" s="874">
        <v>0</v>
      </c>
      <c r="H108" s="874">
        <v>225360</v>
      </c>
      <c r="I108" s="877">
        <f t="shared" si="3"/>
        <v>226852</v>
      </c>
      <c r="J108" s="874"/>
      <c r="K108" s="874">
        <v>948600</v>
      </c>
      <c r="L108" s="874">
        <v>0</v>
      </c>
      <c r="M108" s="874">
        <v>6009492</v>
      </c>
      <c r="N108" s="874">
        <v>0</v>
      </c>
      <c r="O108" s="877">
        <f t="shared" si="4"/>
        <v>6958092</v>
      </c>
      <c r="P108" s="874"/>
      <c r="Q108" s="877">
        <f t="shared" si="5"/>
        <v>-187645</v>
      </c>
      <c r="R108" s="874">
        <v>46938</v>
      </c>
      <c r="S108" s="874">
        <v>-140707</v>
      </c>
      <c r="T108" s="878"/>
      <c r="U108" s="878"/>
      <c r="V108" s="878"/>
      <c r="W108" s="878"/>
      <c r="X108" s="878"/>
      <c r="Y108" s="878"/>
      <c r="Z108" s="878"/>
      <c r="AA108" s="878"/>
      <c r="AB108" s="879"/>
      <c r="AC108" s="879"/>
      <c r="AD108" s="879"/>
      <c r="AE108" s="879"/>
      <c r="AF108" s="879"/>
      <c r="AG108" s="879"/>
      <c r="AH108" s="879"/>
      <c r="AI108" s="879"/>
    </row>
    <row r="109" spans="1:35" x14ac:dyDescent="0.25">
      <c r="A109" s="876">
        <v>32410</v>
      </c>
      <c r="B109" s="873" t="s">
        <v>1323</v>
      </c>
      <c r="C109" s="873">
        <v>25336229</v>
      </c>
      <c r="D109" s="874">
        <v>20693987</v>
      </c>
      <c r="E109" s="874">
        <v>0</v>
      </c>
      <c r="F109" s="874">
        <v>2226</v>
      </c>
      <c r="G109" s="874">
        <v>0</v>
      </c>
      <c r="H109" s="874">
        <v>107364</v>
      </c>
      <c r="I109" s="877">
        <f t="shared" si="3"/>
        <v>109590</v>
      </c>
      <c r="J109" s="874"/>
      <c r="K109" s="874">
        <v>1415146</v>
      </c>
      <c r="L109" s="874">
        <v>0</v>
      </c>
      <c r="M109" s="874">
        <v>8965113</v>
      </c>
      <c r="N109" s="874">
        <v>1664980</v>
      </c>
      <c r="O109" s="877">
        <f t="shared" si="4"/>
        <v>12045239</v>
      </c>
      <c r="P109" s="874"/>
      <c r="Q109" s="877">
        <f t="shared" si="5"/>
        <v>-279933</v>
      </c>
      <c r="R109" s="874">
        <v>-306156</v>
      </c>
      <c r="S109" s="874">
        <v>-586089</v>
      </c>
      <c r="T109" s="878"/>
      <c r="U109" s="878"/>
      <c r="V109" s="878"/>
      <c r="W109" s="878"/>
      <c r="X109" s="878"/>
      <c r="Y109" s="878"/>
      <c r="Z109" s="878"/>
      <c r="AA109" s="878"/>
      <c r="AB109" s="879"/>
      <c r="AC109" s="879"/>
      <c r="AD109" s="879"/>
      <c r="AE109" s="879"/>
      <c r="AF109" s="879"/>
      <c r="AG109" s="879"/>
      <c r="AH109" s="879"/>
      <c r="AI109" s="879"/>
    </row>
    <row r="110" spans="1:35" ht="26.25" x14ac:dyDescent="0.25">
      <c r="A110" s="876">
        <v>32500</v>
      </c>
      <c r="B110" s="873" t="s">
        <v>1324</v>
      </c>
      <c r="C110" s="873">
        <v>143473565</v>
      </c>
      <c r="D110" s="874">
        <v>119895257</v>
      </c>
      <c r="E110" s="874">
        <v>0</v>
      </c>
      <c r="F110" s="874">
        <v>12894</v>
      </c>
      <c r="G110" s="874">
        <v>0</v>
      </c>
      <c r="H110" s="874">
        <v>0</v>
      </c>
      <c r="I110" s="877">
        <f t="shared" si="3"/>
        <v>12894</v>
      </c>
      <c r="J110" s="874"/>
      <c r="K110" s="874">
        <v>8198966</v>
      </c>
      <c r="L110" s="874">
        <v>0</v>
      </c>
      <c r="M110" s="874">
        <v>51941393</v>
      </c>
      <c r="N110" s="874">
        <v>7421627</v>
      </c>
      <c r="O110" s="877">
        <f t="shared" si="4"/>
        <v>67561986</v>
      </c>
      <c r="P110" s="874"/>
      <c r="Q110" s="877">
        <f t="shared" si="5"/>
        <v>-1621854</v>
      </c>
      <c r="R110" s="874">
        <v>-1545344</v>
      </c>
      <c r="S110" s="874">
        <v>-3167198</v>
      </c>
      <c r="T110" s="878"/>
      <c r="U110" s="878"/>
      <c r="V110" s="878"/>
      <c r="W110" s="878"/>
      <c r="X110" s="878"/>
      <c r="Y110" s="878"/>
      <c r="Z110" s="878"/>
      <c r="AA110" s="878"/>
      <c r="AB110" s="879"/>
      <c r="AC110" s="879"/>
      <c r="AD110" s="879"/>
      <c r="AE110" s="879"/>
      <c r="AF110" s="879"/>
      <c r="AG110" s="879"/>
      <c r="AH110" s="879"/>
      <c r="AI110" s="879"/>
    </row>
    <row r="111" spans="1:35" x14ac:dyDescent="0.25">
      <c r="A111" s="876">
        <v>32505</v>
      </c>
      <c r="B111" s="873" t="s">
        <v>1325</v>
      </c>
      <c r="C111" s="873">
        <v>19961169</v>
      </c>
      <c r="D111" s="874">
        <v>19085742</v>
      </c>
      <c r="E111" s="874">
        <v>0</v>
      </c>
      <c r="F111" s="874">
        <v>2053</v>
      </c>
      <c r="G111" s="874">
        <v>0</v>
      </c>
      <c r="H111" s="874">
        <v>2262085</v>
      </c>
      <c r="I111" s="877">
        <f t="shared" si="3"/>
        <v>2264138</v>
      </c>
      <c r="J111" s="874"/>
      <c r="K111" s="874">
        <v>1305167</v>
      </c>
      <c r="L111" s="874">
        <v>0</v>
      </c>
      <c r="M111" s="874">
        <v>8268384</v>
      </c>
      <c r="N111" s="874">
        <v>962136</v>
      </c>
      <c r="O111" s="877">
        <f t="shared" si="4"/>
        <v>10535687</v>
      </c>
      <c r="P111" s="874"/>
      <c r="Q111" s="877">
        <f t="shared" si="5"/>
        <v>-258178</v>
      </c>
      <c r="R111" s="874">
        <v>211887</v>
      </c>
      <c r="S111" s="874">
        <v>-46291</v>
      </c>
      <c r="T111" s="878"/>
      <c r="U111" s="878"/>
      <c r="V111" s="878"/>
      <c r="W111" s="878"/>
      <c r="X111" s="878"/>
      <c r="Y111" s="878"/>
      <c r="Z111" s="878"/>
      <c r="AA111" s="878"/>
      <c r="AB111" s="879"/>
      <c r="AC111" s="879"/>
      <c r="AD111" s="879"/>
      <c r="AE111" s="879"/>
      <c r="AF111" s="879"/>
      <c r="AG111" s="879"/>
      <c r="AH111" s="879"/>
      <c r="AI111" s="879"/>
    </row>
    <row r="112" spans="1:35" x14ac:dyDescent="0.25">
      <c r="A112" s="876">
        <v>32600</v>
      </c>
      <c r="B112" s="873" t="s">
        <v>1326</v>
      </c>
      <c r="C112" s="873">
        <v>518296049</v>
      </c>
      <c r="D112" s="874">
        <v>435814176</v>
      </c>
      <c r="E112" s="874">
        <v>0</v>
      </c>
      <c r="F112" s="874">
        <v>46870</v>
      </c>
      <c r="G112" s="874">
        <v>0</v>
      </c>
      <c r="H112" s="874">
        <v>0</v>
      </c>
      <c r="I112" s="877">
        <f t="shared" si="3"/>
        <v>46870</v>
      </c>
      <c r="J112" s="874"/>
      <c r="K112" s="874">
        <v>29802895</v>
      </c>
      <c r="L112" s="874">
        <v>0</v>
      </c>
      <c r="M112" s="874">
        <v>188804762</v>
      </c>
      <c r="N112" s="874">
        <v>20608450</v>
      </c>
      <c r="O112" s="877">
        <f t="shared" si="4"/>
        <v>239216107</v>
      </c>
      <c r="P112" s="874"/>
      <c r="Q112" s="877">
        <f t="shared" si="5"/>
        <v>-5895370</v>
      </c>
      <c r="R112" s="874">
        <v>-4204901</v>
      </c>
      <c r="S112" s="874">
        <v>-10100271</v>
      </c>
      <c r="T112" s="878"/>
      <c r="U112" s="878"/>
      <c r="V112" s="878"/>
      <c r="W112" s="878"/>
      <c r="X112" s="878"/>
      <c r="Y112" s="878"/>
      <c r="Z112" s="878"/>
      <c r="AA112" s="878"/>
      <c r="AB112" s="879"/>
      <c r="AC112" s="879"/>
      <c r="AD112" s="879"/>
      <c r="AE112" s="879"/>
      <c r="AF112" s="879"/>
      <c r="AG112" s="879"/>
      <c r="AH112" s="879"/>
      <c r="AI112" s="879"/>
    </row>
    <row r="113" spans="1:35" x14ac:dyDescent="0.25">
      <c r="A113" s="876">
        <v>32605</v>
      </c>
      <c r="B113" s="873" t="s">
        <v>1327</v>
      </c>
      <c r="C113" s="873">
        <v>69265469</v>
      </c>
      <c r="D113" s="874">
        <v>62271887</v>
      </c>
      <c r="E113" s="874">
        <v>0</v>
      </c>
      <c r="F113" s="874">
        <v>6697</v>
      </c>
      <c r="G113" s="874">
        <v>0</v>
      </c>
      <c r="H113" s="874">
        <v>2887540</v>
      </c>
      <c r="I113" s="877">
        <f t="shared" si="3"/>
        <v>2894237</v>
      </c>
      <c r="J113" s="874"/>
      <c r="K113" s="874">
        <v>4258426</v>
      </c>
      <c r="L113" s="874">
        <v>0</v>
      </c>
      <c r="M113" s="874">
        <v>26977619</v>
      </c>
      <c r="N113" s="874">
        <v>3910556</v>
      </c>
      <c r="O113" s="877">
        <f t="shared" si="4"/>
        <v>35146601</v>
      </c>
      <c r="P113" s="874"/>
      <c r="Q113" s="877">
        <f t="shared" si="5"/>
        <v>-842368</v>
      </c>
      <c r="R113" s="874">
        <v>-400129</v>
      </c>
      <c r="S113" s="874">
        <v>-1242497</v>
      </c>
      <c r="T113" s="878"/>
      <c r="U113" s="878"/>
      <c r="V113" s="878"/>
      <c r="W113" s="878"/>
      <c r="X113" s="878"/>
      <c r="Y113" s="878"/>
      <c r="Z113" s="878"/>
      <c r="AA113" s="878"/>
      <c r="AB113" s="879"/>
      <c r="AC113" s="879"/>
      <c r="AD113" s="879"/>
      <c r="AE113" s="879"/>
      <c r="AF113" s="879"/>
      <c r="AG113" s="879"/>
      <c r="AH113" s="879"/>
      <c r="AI113" s="879"/>
    </row>
    <row r="114" spans="1:35" x14ac:dyDescent="0.25">
      <c r="A114" s="876">
        <v>32700</v>
      </c>
      <c r="B114" s="873" t="s">
        <v>1328</v>
      </c>
      <c r="C114" s="873">
        <v>46900827</v>
      </c>
      <c r="D114" s="874">
        <v>39924376</v>
      </c>
      <c r="E114" s="874">
        <v>0</v>
      </c>
      <c r="F114" s="874">
        <v>4294</v>
      </c>
      <c r="G114" s="874">
        <v>0</v>
      </c>
      <c r="H114" s="874">
        <v>2367896</v>
      </c>
      <c r="I114" s="877">
        <f t="shared" si="3"/>
        <v>2372190</v>
      </c>
      <c r="J114" s="874"/>
      <c r="K114" s="874">
        <v>2730205</v>
      </c>
      <c r="L114" s="874">
        <v>0</v>
      </c>
      <c r="M114" s="874">
        <v>17296162</v>
      </c>
      <c r="N114" s="874">
        <v>1083340</v>
      </c>
      <c r="O114" s="877">
        <f t="shared" si="4"/>
        <v>21109707</v>
      </c>
      <c r="P114" s="874"/>
      <c r="Q114" s="877">
        <f t="shared" si="5"/>
        <v>-540067</v>
      </c>
      <c r="R114" s="874">
        <v>375307</v>
      </c>
      <c r="S114" s="874">
        <v>-164760</v>
      </c>
      <c r="T114" s="878"/>
      <c r="U114" s="878"/>
      <c r="V114" s="878"/>
      <c r="W114" s="878"/>
      <c r="X114" s="878"/>
      <c r="Y114" s="878"/>
      <c r="Z114" s="878"/>
      <c r="AA114" s="878"/>
      <c r="AB114" s="879"/>
      <c r="AC114" s="879"/>
      <c r="AD114" s="879"/>
      <c r="AE114" s="879"/>
      <c r="AF114" s="879"/>
      <c r="AG114" s="879"/>
      <c r="AH114" s="879"/>
      <c r="AI114" s="879"/>
    </row>
    <row r="115" spans="1:35" x14ac:dyDescent="0.25">
      <c r="A115" s="876">
        <v>32800</v>
      </c>
      <c r="B115" s="873" t="s">
        <v>1329</v>
      </c>
      <c r="C115" s="873">
        <v>61923558</v>
      </c>
      <c r="D115" s="874">
        <v>55545187</v>
      </c>
      <c r="E115" s="874">
        <v>0</v>
      </c>
      <c r="F115" s="874">
        <v>5974</v>
      </c>
      <c r="G115" s="874">
        <v>0</v>
      </c>
      <c r="H115" s="874">
        <v>4818245</v>
      </c>
      <c r="I115" s="877">
        <f t="shared" si="3"/>
        <v>4824219</v>
      </c>
      <c r="J115" s="874"/>
      <c r="K115" s="874">
        <v>3798425</v>
      </c>
      <c r="L115" s="874">
        <v>0</v>
      </c>
      <c r="M115" s="874">
        <v>24063457</v>
      </c>
      <c r="N115" s="874">
        <v>0</v>
      </c>
      <c r="O115" s="877">
        <f t="shared" si="4"/>
        <v>27861882</v>
      </c>
      <c r="P115" s="874"/>
      <c r="Q115" s="877">
        <f t="shared" si="5"/>
        <v>-751374</v>
      </c>
      <c r="R115" s="874">
        <v>1087029</v>
      </c>
      <c r="S115" s="874">
        <v>335655</v>
      </c>
      <c r="T115" s="878"/>
      <c r="U115" s="878"/>
      <c r="V115" s="878"/>
      <c r="W115" s="878"/>
      <c r="X115" s="878"/>
      <c r="Y115" s="878"/>
      <c r="Z115" s="878"/>
      <c r="AA115" s="878"/>
      <c r="AB115" s="879"/>
      <c r="AC115" s="879"/>
      <c r="AD115" s="879"/>
      <c r="AE115" s="879"/>
      <c r="AF115" s="879"/>
      <c r="AG115" s="879"/>
      <c r="AH115" s="879"/>
      <c r="AI115" s="879"/>
    </row>
    <row r="116" spans="1:35" x14ac:dyDescent="0.25">
      <c r="A116" s="876">
        <v>32900</v>
      </c>
      <c r="B116" s="873" t="s">
        <v>1330</v>
      </c>
      <c r="C116" s="873">
        <v>196722370</v>
      </c>
      <c r="D116" s="874">
        <v>166004598</v>
      </c>
      <c r="E116" s="874">
        <v>0</v>
      </c>
      <c r="F116" s="874">
        <v>17853</v>
      </c>
      <c r="G116" s="874">
        <v>0</v>
      </c>
      <c r="H116" s="874">
        <v>6964112</v>
      </c>
      <c r="I116" s="877">
        <f t="shared" si="3"/>
        <v>6981965</v>
      </c>
      <c r="J116" s="874"/>
      <c r="K116" s="874">
        <v>11352126</v>
      </c>
      <c r="L116" s="874">
        <v>0</v>
      </c>
      <c r="M116" s="874">
        <v>71917025</v>
      </c>
      <c r="N116" s="874">
        <v>6580865</v>
      </c>
      <c r="O116" s="877">
        <f t="shared" si="4"/>
        <v>89850016</v>
      </c>
      <c r="P116" s="874"/>
      <c r="Q116" s="877">
        <f t="shared" si="5"/>
        <v>-2245587</v>
      </c>
      <c r="R116" s="874">
        <v>424852</v>
      </c>
      <c r="S116" s="874">
        <v>-1820735</v>
      </c>
      <c r="T116" s="878"/>
      <c r="U116" s="878"/>
      <c r="V116" s="878"/>
      <c r="W116" s="878"/>
      <c r="X116" s="878"/>
      <c r="Y116" s="878"/>
      <c r="Z116" s="878"/>
      <c r="AA116" s="878"/>
      <c r="AB116" s="879"/>
      <c r="AC116" s="879"/>
      <c r="AD116" s="879"/>
      <c r="AE116" s="879"/>
      <c r="AF116" s="879"/>
      <c r="AG116" s="879"/>
      <c r="AH116" s="879"/>
      <c r="AI116" s="879"/>
    </row>
    <row r="117" spans="1:35" x14ac:dyDescent="0.25">
      <c r="A117" s="876">
        <v>32901</v>
      </c>
      <c r="B117" s="873" t="s">
        <v>1331</v>
      </c>
      <c r="C117" s="873">
        <v>5159836</v>
      </c>
      <c r="D117" s="874">
        <v>4445744</v>
      </c>
      <c r="E117" s="874">
        <v>0</v>
      </c>
      <c r="F117" s="874">
        <v>478</v>
      </c>
      <c r="G117" s="874">
        <v>0</v>
      </c>
      <c r="H117" s="874">
        <v>0</v>
      </c>
      <c r="I117" s="877">
        <f t="shared" si="3"/>
        <v>478</v>
      </c>
      <c r="J117" s="874"/>
      <c r="K117" s="874">
        <v>304019</v>
      </c>
      <c r="L117" s="874">
        <v>0</v>
      </c>
      <c r="M117" s="874">
        <v>1925998</v>
      </c>
      <c r="N117" s="874">
        <v>1268642</v>
      </c>
      <c r="O117" s="877">
        <f t="shared" si="4"/>
        <v>3498659</v>
      </c>
      <c r="P117" s="874"/>
      <c r="Q117" s="877">
        <f t="shared" si="5"/>
        <v>-60139</v>
      </c>
      <c r="R117" s="874">
        <v>-313295</v>
      </c>
      <c r="S117" s="874">
        <v>-373434</v>
      </c>
      <c r="T117" s="878"/>
      <c r="U117" s="878"/>
      <c r="V117" s="878"/>
      <c r="W117" s="878"/>
      <c r="X117" s="878"/>
      <c r="Y117" s="878"/>
      <c r="Z117" s="878"/>
      <c r="AA117" s="878"/>
      <c r="AB117" s="879"/>
      <c r="AC117" s="879"/>
      <c r="AD117" s="879"/>
      <c r="AE117" s="879"/>
      <c r="AF117" s="879"/>
      <c r="AG117" s="879"/>
      <c r="AH117" s="879"/>
      <c r="AI117" s="879"/>
    </row>
    <row r="118" spans="1:35" x14ac:dyDescent="0.25">
      <c r="A118" s="876">
        <v>32905</v>
      </c>
      <c r="B118" s="873" t="s">
        <v>1332</v>
      </c>
      <c r="C118" s="873">
        <v>25876396</v>
      </c>
      <c r="D118" s="874">
        <v>22806807</v>
      </c>
      <c r="E118" s="874">
        <v>0</v>
      </c>
      <c r="F118" s="874">
        <v>2453</v>
      </c>
      <c r="G118" s="874">
        <v>0</v>
      </c>
      <c r="H118" s="874">
        <v>476000</v>
      </c>
      <c r="I118" s="877">
        <f t="shared" si="3"/>
        <v>478453</v>
      </c>
      <c r="J118" s="874"/>
      <c r="K118" s="874">
        <v>1559630</v>
      </c>
      <c r="L118" s="874">
        <v>0</v>
      </c>
      <c r="M118" s="874">
        <v>9880435</v>
      </c>
      <c r="N118" s="874">
        <v>1149048</v>
      </c>
      <c r="O118" s="877">
        <f t="shared" si="4"/>
        <v>12589113</v>
      </c>
      <c r="P118" s="874"/>
      <c r="Q118" s="877">
        <f t="shared" si="5"/>
        <v>-308513</v>
      </c>
      <c r="R118" s="874">
        <v>-192065</v>
      </c>
      <c r="S118" s="874">
        <v>-500578</v>
      </c>
      <c r="T118" s="878"/>
      <c r="U118" s="878"/>
      <c r="V118" s="878"/>
      <c r="W118" s="878"/>
      <c r="X118" s="878"/>
      <c r="Y118" s="878"/>
      <c r="Z118" s="878"/>
      <c r="AA118" s="878"/>
      <c r="AB118" s="879"/>
      <c r="AC118" s="879"/>
      <c r="AD118" s="879"/>
      <c r="AE118" s="879"/>
      <c r="AF118" s="879"/>
      <c r="AG118" s="879"/>
      <c r="AH118" s="879"/>
      <c r="AI118" s="879"/>
    </row>
    <row r="119" spans="1:35" x14ac:dyDescent="0.25">
      <c r="A119" s="876">
        <v>32910</v>
      </c>
      <c r="B119" s="873" t="s">
        <v>1333</v>
      </c>
      <c r="C119" s="873">
        <v>36132586</v>
      </c>
      <c r="D119" s="874">
        <v>30293604</v>
      </c>
      <c r="E119" s="874">
        <v>0</v>
      </c>
      <c r="F119" s="874">
        <v>3258</v>
      </c>
      <c r="G119" s="874">
        <v>0</v>
      </c>
      <c r="H119" s="874">
        <v>1596960</v>
      </c>
      <c r="I119" s="877">
        <f t="shared" si="3"/>
        <v>1600218</v>
      </c>
      <c r="J119" s="874"/>
      <c r="K119" s="874">
        <v>2071610</v>
      </c>
      <c r="L119" s="874">
        <v>0</v>
      </c>
      <c r="M119" s="874">
        <v>13123889</v>
      </c>
      <c r="N119" s="874">
        <v>1394605</v>
      </c>
      <c r="O119" s="877">
        <f t="shared" si="4"/>
        <v>16590104</v>
      </c>
      <c r="P119" s="874"/>
      <c r="Q119" s="877">
        <f t="shared" si="5"/>
        <v>-409789</v>
      </c>
      <c r="R119" s="874">
        <v>120318</v>
      </c>
      <c r="S119" s="874">
        <v>-289471</v>
      </c>
      <c r="T119" s="878"/>
      <c r="U119" s="878"/>
      <c r="V119" s="878"/>
      <c r="W119" s="878"/>
      <c r="X119" s="878"/>
      <c r="Y119" s="878"/>
      <c r="Z119" s="878"/>
      <c r="AA119" s="878"/>
      <c r="AB119" s="879"/>
      <c r="AC119" s="879"/>
      <c r="AD119" s="879"/>
      <c r="AE119" s="879"/>
      <c r="AF119" s="879"/>
      <c r="AG119" s="879"/>
      <c r="AH119" s="879"/>
      <c r="AI119" s="879"/>
    </row>
    <row r="120" spans="1:35" x14ac:dyDescent="0.25">
      <c r="A120" s="876">
        <v>32920</v>
      </c>
      <c r="B120" s="873" t="s">
        <v>1334</v>
      </c>
      <c r="C120" s="873">
        <v>30270973</v>
      </c>
      <c r="D120" s="874">
        <v>26446913</v>
      </c>
      <c r="E120" s="874">
        <v>0</v>
      </c>
      <c r="F120" s="874">
        <v>2844</v>
      </c>
      <c r="G120" s="874">
        <v>0</v>
      </c>
      <c r="H120" s="874">
        <v>1965651</v>
      </c>
      <c r="I120" s="877">
        <f t="shared" si="3"/>
        <v>1968495</v>
      </c>
      <c r="J120" s="874"/>
      <c r="K120" s="874">
        <v>1808557</v>
      </c>
      <c r="L120" s="874">
        <v>0</v>
      </c>
      <c r="M120" s="874">
        <v>11457414</v>
      </c>
      <c r="N120" s="874">
        <v>0</v>
      </c>
      <c r="O120" s="877">
        <f t="shared" si="4"/>
        <v>13265971</v>
      </c>
      <c r="P120" s="874"/>
      <c r="Q120" s="877">
        <f t="shared" si="5"/>
        <v>-357754</v>
      </c>
      <c r="R120" s="874">
        <v>484677</v>
      </c>
      <c r="S120" s="874">
        <v>126923</v>
      </c>
      <c r="T120" s="878"/>
      <c r="U120" s="878"/>
      <c r="V120" s="878"/>
      <c r="W120" s="878"/>
      <c r="X120" s="878"/>
      <c r="Y120" s="878"/>
      <c r="Z120" s="878"/>
      <c r="AA120" s="878"/>
      <c r="AB120" s="879"/>
      <c r="AC120" s="879"/>
      <c r="AD120" s="879"/>
      <c r="AE120" s="879"/>
      <c r="AF120" s="879"/>
      <c r="AG120" s="879"/>
      <c r="AH120" s="879"/>
      <c r="AI120" s="879"/>
    </row>
    <row r="121" spans="1:35" x14ac:dyDescent="0.25">
      <c r="A121" s="876">
        <v>33000</v>
      </c>
      <c r="B121" s="873" t="s">
        <v>1335</v>
      </c>
      <c r="C121" s="873">
        <v>74143671</v>
      </c>
      <c r="D121" s="874">
        <v>63057526</v>
      </c>
      <c r="E121" s="874">
        <v>0</v>
      </c>
      <c r="F121" s="874">
        <v>6782</v>
      </c>
      <c r="G121" s="874">
        <v>0</v>
      </c>
      <c r="H121" s="874">
        <v>1029260</v>
      </c>
      <c r="I121" s="877">
        <f t="shared" si="3"/>
        <v>1036042</v>
      </c>
      <c r="J121" s="874"/>
      <c r="K121" s="874">
        <v>4312152</v>
      </c>
      <c r="L121" s="874">
        <v>0</v>
      </c>
      <c r="M121" s="874">
        <v>27317976</v>
      </c>
      <c r="N121" s="874">
        <v>1891240</v>
      </c>
      <c r="O121" s="877">
        <f t="shared" si="4"/>
        <v>33521368</v>
      </c>
      <c r="P121" s="874"/>
      <c r="Q121" s="877">
        <f t="shared" si="5"/>
        <v>-852995</v>
      </c>
      <c r="R121" s="874">
        <v>-120932</v>
      </c>
      <c r="S121" s="874">
        <v>-973927</v>
      </c>
      <c r="T121" s="878"/>
      <c r="U121" s="878"/>
      <c r="V121" s="878"/>
      <c r="W121" s="878"/>
      <c r="X121" s="878"/>
      <c r="Y121" s="878"/>
      <c r="Z121" s="878"/>
      <c r="AA121" s="878"/>
      <c r="AB121" s="879"/>
      <c r="AC121" s="879"/>
      <c r="AD121" s="879"/>
      <c r="AE121" s="879"/>
      <c r="AF121" s="879"/>
      <c r="AG121" s="879"/>
      <c r="AH121" s="879"/>
      <c r="AI121" s="879"/>
    </row>
    <row r="122" spans="1:35" x14ac:dyDescent="0.25">
      <c r="A122" s="876">
        <v>33001</v>
      </c>
      <c r="B122" s="873" t="s">
        <v>1336</v>
      </c>
      <c r="C122" s="873">
        <v>2135878</v>
      </c>
      <c r="D122" s="874">
        <v>1727332</v>
      </c>
      <c r="E122" s="874">
        <v>0</v>
      </c>
      <c r="F122" s="874">
        <v>186</v>
      </c>
      <c r="G122" s="874">
        <v>0</v>
      </c>
      <c r="H122" s="874">
        <v>172528</v>
      </c>
      <c r="I122" s="877">
        <f t="shared" si="3"/>
        <v>172714</v>
      </c>
      <c r="J122" s="874"/>
      <c r="K122" s="874">
        <v>118123</v>
      </c>
      <c r="L122" s="874">
        <v>0</v>
      </c>
      <c r="M122" s="874">
        <v>748320</v>
      </c>
      <c r="N122" s="874">
        <v>167870</v>
      </c>
      <c r="O122" s="877">
        <f t="shared" si="4"/>
        <v>1034313</v>
      </c>
      <c r="P122" s="874"/>
      <c r="Q122" s="877">
        <f t="shared" si="5"/>
        <v>-23366</v>
      </c>
      <c r="R122" s="874">
        <v>9556</v>
      </c>
      <c r="S122" s="874">
        <v>-13810</v>
      </c>
      <c r="T122" s="878"/>
      <c r="U122" s="878"/>
      <c r="V122" s="878"/>
      <c r="W122" s="878"/>
      <c r="X122" s="878"/>
      <c r="Y122" s="878"/>
      <c r="Z122" s="878"/>
      <c r="AA122" s="878"/>
      <c r="AB122" s="879"/>
      <c r="AC122" s="879"/>
      <c r="AD122" s="879"/>
      <c r="AE122" s="879"/>
      <c r="AF122" s="879"/>
      <c r="AG122" s="879"/>
      <c r="AH122" s="879"/>
      <c r="AI122" s="879"/>
    </row>
    <row r="123" spans="1:35" x14ac:dyDescent="0.25">
      <c r="A123" s="876">
        <v>33027</v>
      </c>
      <c r="B123" s="873" t="s">
        <v>1337</v>
      </c>
      <c r="C123" s="873">
        <v>8646125</v>
      </c>
      <c r="D123" s="874">
        <v>7864864</v>
      </c>
      <c r="E123" s="874">
        <v>0</v>
      </c>
      <c r="F123" s="874">
        <v>846</v>
      </c>
      <c r="G123" s="874">
        <v>0</v>
      </c>
      <c r="H123" s="874">
        <v>1390749</v>
      </c>
      <c r="I123" s="877">
        <f t="shared" si="3"/>
        <v>1391595</v>
      </c>
      <c r="J123" s="874"/>
      <c r="K123" s="874">
        <v>537834</v>
      </c>
      <c r="L123" s="874">
        <v>0</v>
      </c>
      <c r="M123" s="874">
        <v>3407240</v>
      </c>
      <c r="N123" s="874">
        <v>0</v>
      </c>
      <c r="O123" s="877">
        <f t="shared" si="4"/>
        <v>3945074</v>
      </c>
      <c r="P123" s="874"/>
      <c r="Q123" s="877">
        <f t="shared" si="5"/>
        <v>-106390</v>
      </c>
      <c r="R123" s="874">
        <v>327194</v>
      </c>
      <c r="S123" s="874">
        <v>220804</v>
      </c>
      <c r="T123" s="878"/>
      <c r="U123" s="878"/>
      <c r="V123" s="878"/>
      <c r="W123" s="878"/>
      <c r="X123" s="878"/>
      <c r="Y123" s="878"/>
      <c r="Z123" s="878"/>
      <c r="AA123" s="878"/>
      <c r="AB123" s="879"/>
      <c r="AC123" s="879"/>
      <c r="AD123" s="879"/>
      <c r="AE123" s="879"/>
      <c r="AF123" s="879"/>
      <c r="AG123" s="879"/>
      <c r="AH123" s="879"/>
      <c r="AI123" s="879"/>
    </row>
    <row r="124" spans="1:35" x14ac:dyDescent="0.25">
      <c r="A124" s="876">
        <v>33100</v>
      </c>
      <c r="B124" s="873" t="s">
        <v>1338</v>
      </c>
      <c r="C124" s="873">
        <v>105778285</v>
      </c>
      <c r="D124" s="874">
        <v>87040053</v>
      </c>
      <c r="E124" s="874">
        <v>0</v>
      </c>
      <c r="F124" s="874">
        <v>9361</v>
      </c>
      <c r="G124" s="874">
        <v>0</v>
      </c>
      <c r="H124" s="874">
        <v>1359536</v>
      </c>
      <c r="I124" s="877">
        <f t="shared" si="3"/>
        <v>1368897</v>
      </c>
      <c r="J124" s="874"/>
      <c r="K124" s="874">
        <v>5952183</v>
      </c>
      <c r="L124" s="874">
        <v>0</v>
      </c>
      <c r="M124" s="874">
        <v>37707760</v>
      </c>
      <c r="N124" s="874">
        <v>6337735</v>
      </c>
      <c r="O124" s="877">
        <f t="shared" si="4"/>
        <v>49997678</v>
      </c>
      <c r="P124" s="874"/>
      <c r="Q124" s="877">
        <f t="shared" si="5"/>
        <v>-1177413</v>
      </c>
      <c r="R124" s="874">
        <v>-927662</v>
      </c>
      <c r="S124" s="874">
        <v>-2105075</v>
      </c>
      <c r="T124" s="878"/>
      <c r="U124" s="878"/>
      <c r="V124" s="878"/>
      <c r="W124" s="878"/>
      <c r="X124" s="878"/>
      <c r="Y124" s="878"/>
      <c r="Z124" s="878"/>
      <c r="AA124" s="878"/>
      <c r="AB124" s="879"/>
      <c r="AC124" s="879"/>
      <c r="AD124" s="879"/>
      <c r="AE124" s="879"/>
      <c r="AF124" s="879"/>
      <c r="AG124" s="879"/>
      <c r="AH124" s="879"/>
      <c r="AI124" s="879"/>
    </row>
    <row r="125" spans="1:35" x14ac:dyDescent="0.25">
      <c r="A125" s="876">
        <v>33105</v>
      </c>
      <c r="B125" s="873" t="s">
        <v>1339</v>
      </c>
      <c r="C125" s="873">
        <v>11246954</v>
      </c>
      <c r="D125" s="874">
        <v>9734136</v>
      </c>
      <c r="E125" s="874">
        <v>0</v>
      </c>
      <c r="F125" s="874">
        <v>1047</v>
      </c>
      <c r="G125" s="874">
        <v>0</v>
      </c>
      <c r="H125" s="874">
        <v>0</v>
      </c>
      <c r="I125" s="877">
        <f t="shared" si="3"/>
        <v>1047</v>
      </c>
      <c r="J125" s="874"/>
      <c r="K125" s="874">
        <v>665663</v>
      </c>
      <c r="L125" s="874">
        <v>0</v>
      </c>
      <c r="M125" s="874">
        <v>4217052</v>
      </c>
      <c r="N125" s="874">
        <v>428712</v>
      </c>
      <c r="O125" s="877">
        <f t="shared" si="4"/>
        <v>5311427</v>
      </c>
      <c r="P125" s="874"/>
      <c r="Q125" s="877">
        <f t="shared" si="5"/>
        <v>-131676</v>
      </c>
      <c r="R125" s="874">
        <v>-105225</v>
      </c>
      <c r="S125" s="874">
        <v>-236901</v>
      </c>
      <c r="T125" s="878"/>
      <c r="U125" s="878"/>
      <c r="V125" s="878"/>
      <c r="W125" s="878"/>
      <c r="X125" s="878"/>
      <c r="Y125" s="878"/>
      <c r="Z125" s="878"/>
      <c r="AA125" s="878"/>
      <c r="AB125" s="879"/>
      <c r="AC125" s="879"/>
      <c r="AD125" s="879"/>
      <c r="AE125" s="879"/>
      <c r="AF125" s="879"/>
      <c r="AG125" s="879"/>
      <c r="AH125" s="879"/>
      <c r="AI125" s="879"/>
    </row>
    <row r="126" spans="1:35" x14ac:dyDescent="0.25">
      <c r="A126" s="876">
        <v>33200</v>
      </c>
      <c r="B126" s="873" t="s">
        <v>1340</v>
      </c>
      <c r="C126" s="873">
        <v>468027345</v>
      </c>
      <c r="D126" s="874">
        <v>387673078</v>
      </c>
      <c r="E126" s="874">
        <v>0</v>
      </c>
      <c r="F126" s="874">
        <v>41692</v>
      </c>
      <c r="G126" s="874">
        <v>0</v>
      </c>
      <c r="H126" s="874">
        <v>11062396</v>
      </c>
      <c r="I126" s="877">
        <f t="shared" si="3"/>
        <v>11104088</v>
      </c>
      <c r="J126" s="874"/>
      <c r="K126" s="874">
        <v>26510795</v>
      </c>
      <c r="L126" s="874">
        <v>0</v>
      </c>
      <c r="M126" s="874">
        <v>167948927</v>
      </c>
      <c r="N126" s="874">
        <v>25332855</v>
      </c>
      <c r="O126" s="877">
        <f t="shared" si="4"/>
        <v>219792577</v>
      </c>
      <c r="P126" s="874"/>
      <c r="Q126" s="877">
        <f t="shared" si="5"/>
        <v>-5244153</v>
      </c>
      <c r="R126" s="874">
        <v>-2300975</v>
      </c>
      <c r="S126" s="874">
        <v>-7545128</v>
      </c>
      <c r="T126" s="878"/>
      <c r="U126" s="878"/>
      <c r="V126" s="878"/>
      <c r="W126" s="878"/>
      <c r="X126" s="878"/>
      <c r="Y126" s="878"/>
      <c r="Z126" s="878"/>
      <c r="AA126" s="878"/>
      <c r="AB126" s="879"/>
      <c r="AC126" s="879"/>
      <c r="AD126" s="879"/>
      <c r="AE126" s="879"/>
      <c r="AF126" s="879"/>
      <c r="AG126" s="879"/>
      <c r="AH126" s="879"/>
      <c r="AI126" s="879"/>
    </row>
    <row r="127" spans="1:35" x14ac:dyDescent="0.25">
      <c r="A127" s="876">
        <v>33202</v>
      </c>
      <c r="B127" s="873" t="s">
        <v>1341</v>
      </c>
      <c r="C127" s="873">
        <v>6941474</v>
      </c>
      <c r="D127" s="874">
        <v>6694793</v>
      </c>
      <c r="E127" s="874">
        <v>0</v>
      </c>
      <c r="F127" s="874">
        <v>720</v>
      </c>
      <c r="G127" s="874">
        <v>0</v>
      </c>
      <c r="H127" s="874">
        <v>2117168</v>
      </c>
      <c r="I127" s="877">
        <f t="shared" si="3"/>
        <v>2117888</v>
      </c>
      <c r="J127" s="874"/>
      <c r="K127" s="874">
        <v>457820</v>
      </c>
      <c r="L127" s="874">
        <v>0</v>
      </c>
      <c r="M127" s="874">
        <v>2900339</v>
      </c>
      <c r="N127" s="874">
        <v>0</v>
      </c>
      <c r="O127" s="877">
        <f t="shared" si="4"/>
        <v>3358159</v>
      </c>
      <c r="P127" s="874"/>
      <c r="Q127" s="877">
        <f t="shared" si="5"/>
        <v>-90562</v>
      </c>
      <c r="R127" s="874">
        <v>488526</v>
      </c>
      <c r="S127" s="874">
        <v>397964</v>
      </c>
      <c r="T127" s="878"/>
      <c r="U127" s="878"/>
      <c r="V127" s="878"/>
      <c r="W127" s="878"/>
      <c r="X127" s="878"/>
      <c r="Y127" s="878"/>
      <c r="Z127" s="878"/>
      <c r="AA127" s="878"/>
      <c r="AB127" s="879"/>
      <c r="AC127" s="879"/>
      <c r="AD127" s="879"/>
      <c r="AE127" s="879"/>
      <c r="AF127" s="879"/>
      <c r="AG127" s="879"/>
      <c r="AH127" s="879"/>
      <c r="AI127" s="879"/>
    </row>
    <row r="128" spans="1:35" x14ac:dyDescent="0.25">
      <c r="A128" s="876">
        <v>33203</v>
      </c>
      <c r="B128" s="873" t="s">
        <v>1342</v>
      </c>
      <c r="C128" s="873">
        <v>4006932</v>
      </c>
      <c r="D128" s="874">
        <v>3228376</v>
      </c>
      <c r="E128" s="874">
        <v>0</v>
      </c>
      <c r="F128" s="874">
        <v>347</v>
      </c>
      <c r="G128" s="874">
        <v>0</v>
      </c>
      <c r="H128" s="874">
        <v>200252</v>
      </c>
      <c r="I128" s="877">
        <f t="shared" si="3"/>
        <v>200599</v>
      </c>
      <c r="J128" s="874"/>
      <c r="K128" s="874">
        <v>220771</v>
      </c>
      <c r="L128" s="874">
        <v>0</v>
      </c>
      <c r="M128" s="874">
        <v>1398607</v>
      </c>
      <c r="N128" s="874">
        <v>343585</v>
      </c>
      <c r="O128" s="877">
        <f t="shared" si="4"/>
        <v>1962963</v>
      </c>
      <c r="P128" s="874"/>
      <c r="Q128" s="877">
        <f t="shared" si="5"/>
        <v>-43671</v>
      </c>
      <c r="R128" s="874">
        <v>-18650</v>
      </c>
      <c r="S128" s="874">
        <v>-62321</v>
      </c>
      <c r="T128" s="878"/>
      <c r="U128" s="878"/>
      <c r="V128" s="878"/>
      <c r="W128" s="878"/>
      <c r="X128" s="878"/>
      <c r="Y128" s="878"/>
      <c r="Z128" s="878"/>
      <c r="AA128" s="878"/>
      <c r="AB128" s="879"/>
      <c r="AC128" s="879"/>
      <c r="AD128" s="879"/>
      <c r="AE128" s="879"/>
      <c r="AF128" s="879"/>
      <c r="AG128" s="879"/>
      <c r="AH128" s="879"/>
      <c r="AI128" s="879"/>
    </row>
    <row r="129" spans="1:35" x14ac:dyDescent="0.25">
      <c r="A129" s="876">
        <v>33204</v>
      </c>
      <c r="B129" s="873" t="s">
        <v>1343</v>
      </c>
      <c r="C129" s="873">
        <v>14468414</v>
      </c>
      <c r="D129" s="874">
        <v>10935529</v>
      </c>
      <c r="E129" s="874">
        <v>0</v>
      </c>
      <c r="F129" s="874">
        <v>1176</v>
      </c>
      <c r="G129" s="874">
        <v>0</v>
      </c>
      <c r="H129" s="874">
        <v>984004</v>
      </c>
      <c r="I129" s="877">
        <f t="shared" si="3"/>
        <v>985180</v>
      </c>
      <c r="J129" s="874"/>
      <c r="K129" s="874">
        <v>747820</v>
      </c>
      <c r="L129" s="874">
        <v>0</v>
      </c>
      <c r="M129" s="874">
        <v>4737524</v>
      </c>
      <c r="N129" s="874">
        <v>2188110</v>
      </c>
      <c r="O129" s="877">
        <f t="shared" si="4"/>
        <v>7673454</v>
      </c>
      <c r="P129" s="874"/>
      <c r="Q129" s="877">
        <f t="shared" si="5"/>
        <v>-147928</v>
      </c>
      <c r="R129" s="874">
        <v>-191621</v>
      </c>
      <c r="S129" s="874">
        <v>-339549</v>
      </c>
      <c r="T129" s="878"/>
      <c r="U129" s="878"/>
      <c r="V129" s="878"/>
      <c r="W129" s="878"/>
      <c r="X129" s="878"/>
      <c r="Y129" s="878"/>
      <c r="Z129" s="878"/>
      <c r="AA129" s="878"/>
      <c r="AB129" s="879"/>
      <c r="AC129" s="879"/>
      <c r="AD129" s="879"/>
      <c r="AE129" s="879"/>
      <c r="AF129" s="879"/>
      <c r="AG129" s="879"/>
      <c r="AH129" s="879"/>
      <c r="AI129" s="879"/>
    </row>
    <row r="130" spans="1:35" x14ac:dyDescent="0.25">
      <c r="A130" s="876">
        <v>33205</v>
      </c>
      <c r="B130" s="873" t="s">
        <v>1344</v>
      </c>
      <c r="C130" s="873">
        <v>35343440</v>
      </c>
      <c r="D130" s="874">
        <v>31005232</v>
      </c>
      <c r="E130" s="874">
        <v>0</v>
      </c>
      <c r="F130" s="874">
        <v>3334</v>
      </c>
      <c r="G130" s="874">
        <v>0</v>
      </c>
      <c r="H130" s="874">
        <v>414030</v>
      </c>
      <c r="I130" s="877">
        <f t="shared" si="3"/>
        <v>417364</v>
      </c>
      <c r="J130" s="874"/>
      <c r="K130" s="874">
        <v>2120274</v>
      </c>
      <c r="L130" s="874">
        <v>0</v>
      </c>
      <c r="M130" s="874">
        <v>13432182</v>
      </c>
      <c r="N130" s="874">
        <v>1099388</v>
      </c>
      <c r="O130" s="877">
        <f t="shared" si="4"/>
        <v>16651844</v>
      </c>
      <c r="P130" s="874"/>
      <c r="Q130" s="877">
        <f t="shared" si="5"/>
        <v>-419416</v>
      </c>
      <c r="R130" s="874">
        <v>-192040</v>
      </c>
      <c r="S130" s="874">
        <v>-611456</v>
      </c>
      <c r="T130" s="878"/>
      <c r="U130" s="878"/>
      <c r="V130" s="878"/>
      <c r="W130" s="878"/>
      <c r="X130" s="878"/>
      <c r="Y130" s="878"/>
      <c r="Z130" s="878"/>
      <c r="AA130" s="878"/>
      <c r="AB130" s="879"/>
      <c r="AC130" s="879"/>
      <c r="AD130" s="879"/>
      <c r="AE130" s="879"/>
      <c r="AF130" s="879"/>
      <c r="AG130" s="879"/>
      <c r="AH130" s="879"/>
      <c r="AI130" s="879"/>
    </row>
    <row r="131" spans="1:35" x14ac:dyDescent="0.25">
      <c r="A131" s="876">
        <v>33206</v>
      </c>
      <c r="B131" s="873" t="s">
        <v>1345</v>
      </c>
      <c r="C131" s="873">
        <v>3308308</v>
      </c>
      <c r="D131" s="874">
        <v>3070622</v>
      </c>
      <c r="E131" s="874">
        <v>0</v>
      </c>
      <c r="F131" s="874">
        <v>330</v>
      </c>
      <c r="G131" s="874">
        <v>0</v>
      </c>
      <c r="H131" s="874">
        <v>520556</v>
      </c>
      <c r="I131" s="877">
        <f t="shared" si="3"/>
        <v>520886</v>
      </c>
      <c r="J131" s="874"/>
      <c r="K131" s="874">
        <v>209983</v>
      </c>
      <c r="L131" s="874">
        <v>0</v>
      </c>
      <c r="M131" s="874">
        <v>1330264</v>
      </c>
      <c r="N131" s="874">
        <v>0</v>
      </c>
      <c r="O131" s="877">
        <f t="shared" si="4"/>
        <v>1540247</v>
      </c>
      <c r="P131" s="874"/>
      <c r="Q131" s="877">
        <f t="shared" si="5"/>
        <v>-41537</v>
      </c>
      <c r="R131" s="874">
        <v>117741</v>
      </c>
      <c r="S131" s="874">
        <v>76204</v>
      </c>
      <c r="T131" s="878"/>
      <c r="U131" s="878"/>
      <c r="V131" s="878"/>
      <c r="W131" s="878"/>
      <c r="X131" s="878"/>
      <c r="Y131" s="878"/>
      <c r="Z131" s="878"/>
      <c r="AA131" s="878"/>
      <c r="AB131" s="879"/>
      <c r="AC131" s="879"/>
      <c r="AD131" s="879"/>
      <c r="AE131" s="879"/>
      <c r="AF131" s="879"/>
      <c r="AG131" s="879"/>
      <c r="AH131" s="879"/>
      <c r="AI131" s="879"/>
    </row>
    <row r="132" spans="1:35" x14ac:dyDescent="0.25">
      <c r="A132" s="876">
        <v>33207</v>
      </c>
      <c r="B132" s="873" t="s">
        <v>1346</v>
      </c>
      <c r="C132" s="873">
        <v>9486827</v>
      </c>
      <c r="D132" s="874">
        <v>9070330</v>
      </c>
      <c r="E132" s="874">
        <v>0</v>
      </c>
      <c r="F132" s="874">
        <v>975</v>
      </c>
      <c r="G132" s="874">
        <v>0</v>
      </c>
      <c r="H132" s="874">
        <v>3883081</v>
      </c>
      <c r="I132" s="877">
        <f t="shared" si="3"/>
        <v>3884056</v>
      </c>
      <c r="J132" s="874"/>
      <c r="K132" s="874">
        <v>620269</v>
      </c>
      <c r="L132" s="874">
        <v>0</v>
      </c>
      <c r="M132" s="874">
        <v>3929476</v>
      </c>
      <c r="N132" s="874">
        <v>0</v>
      </c>
      <c r="O132" s="877">
        <f t="shared" si="4"/>
        <v>4549745</v>
      </c>
      <c r="P132" s="874"/>
      <c r="Q132" s="877">
        <f t="shared" si="5"/>
        <v>-122697</v>
      </c>
      <c r="R132" s="874">
        <v>921180</v>
      </c>
      <c r="S132" s="874">
        <v>798483</v>
      </c>
      <c r="T132" s="878"/>
      <c r="U132" s="878"/>
      <c r="V132" s="878"/>
      <c r="W132" s="878"/>
      <c r="X132" s="878"/>
      <c r="Y132" s="878"/>
      <c r="Z132" s="878"/>
      <c r="AA132" s="878"/>
      <c r="AB132" s="879"/>
      <c r="AC132" s="879"/>
      <c r="AD132" s="879"/>
      <c r="AE132" s="879"/>
      <c r="AF132" s="879"/>
      <c r="AG132" s="879"/>
      <c r="AH132" s="879"/>
      <c r="AI132" s="879"/>
    </row>
    <row r="133" spans="1:35" x14ac:dyDescent="0.25">
      <c r="A133" s="876">
        <v>33208</v>
      </c>
      <c r="B133" s="873" t="s">
        <v>1347</v>
      </c>
      <c r="C133" s="873">
        <v>895903</v>
      </c>
      <c r="D133" s="874">
        <v>0</v>
      </c>
      <c r="E133" s="874">
        <v>0</v>
      </c>
      <c r="F133" s="874">
        <v>0</v>
      </c>
      <c r="G133" s="874">
        <v>0</v>
      </c>
      <c r="H133" s="874">
        <v>0</v>
      </c>
      <c r="I133" s="877">
        <f t="shared" si="3"/>
        <v>0</v>
      </c>
      <c r="J133" s="874"/>
      <c r="K133" s="874">
        <v>0</v>
      </c>
      <c r="L133" s="874">
        <v>0</v>
      </c>
      <c r="M133" s="874">
        <v>0</v>
      </c>
      <c r="N133" s="874">
        <v>1095836</v>
      </c>
      <c r="O133" s="877">
        <f t="shared" si="4"/>
        <v>1095836</v>
      </c>
      <c r="P133" s="874"/>
      <c r="Q133" s="877">
        <f t="shared" si="5"/>
        <v>0</v>
      </c>
      <c r="R133" s="874">
        <v>-223661</v>
      </c>
      <c r="S133" s="874">
        <v>-223661</v>
      </c>
      <c r="T133" s="878"/>
      <c r="U133" s="878"/>
      <c r="V133" s="878"/>
      <c r="W133" s="878"/>
      <c r="X133" s="878"/>
      <c r="Y133" s="878"/>
      <c r="Z133" s="878"/>
      <c r="AA133" s="878"/>
      <c r="AB133" s="879"/>
      <c r="AC133" s="879"/>
      <c r="AD133" s="879"/>
      <c r="AE133" s="879"/>
      <c r="AF133" s="879"/>
      <c r="AG133" s="879"/>
      <c r="AH133" s="879"/>
      <c r="AI133" s="879"/>
    </row>
    <row r="134" spans="1:35" x14ac:dyDescent="0.25">
      <c r="A134" s="876">
        <v>33209</v>
      </c>
      <c r="B134" s="873" t="s">
        <v>1348</v>
      </c>
      <c r="C134" s="873">
        <v>2453128</v>
      </c>
      <c r="D134" s="874">
        <v>2476972</v>
      </c>
      <c r="E134" s="874">
        <v>0</v>
      </c>
      <c r="F134" s="874">
        <v>266</v>
      </c>
      <c r="G134" s="874">
        <v>0</v>
      </c>
      <c r="H134" s="874">
        <v>598842</v>
      </c>
      <c r="I134" s="877">
        <f t="shared" si="3"/>
        <v>599108</v>
      </c>
      <c r="J134" s="874"/>
      <c r="K134" s="874">
        <v>169386</v>
      </c>
      <c r="L134" s="874">
        <v>0</v>
      </c>
      <c r="M134" s="874">
        <v>1073082</v>
      </c>
      <c r="N134" s="874">
        <v>0</v>
      </c>
      <c r="O134" s="877">
        <f t="shared" si="4"/>
        <v>1242468</v>
      </c>
      <c r="P134" s="874"/>
      <c r="Q134" s="877">
        <f t="shared" si="5"/>
        <v>-33507</v>
      </c>
      <c r="R134" s="874">
        <v>127571</v>
      </c>
      <c r="S134" s="874">
        <v>94064</v>
      </c>
      <c r="T134" s="878"/>
      <c r="U134" s="878"/>
      <c r="V134" s="878"/>
      <c r="W134" s="878"/>
      <c r="X134" s="878"/>
      <c r="Y134" s="878"/>
      <c r="Z134" s="878"/>
      <c r="AA134" s="878"/>
      <c r="AB134" s="879"/>
      <c r="AC134" s="879"/>
      <c r="AD134" s="879"/>
      <c r="AE134" s="879"/>
      <c r="AF134" s="879"/>
      <c r="AG134" s="879"/>
      <c r="AH134" s="879"/>
      <c r="AI134" s="879"/>
    </row>
    <row r="135" spans="1:35" x14ac:dyDescent="0.25">
      <c r="A135" s="876">
        <v>33300</v>
      </c>
      <c r="B135" s="873" t="s">
        <v>1349</v>
      </c>
      <c r="C135" s="873">
        <v>67632801</v>
      </c>
      <c r="D135" s="874">
        <v>57941686</v>
      </c>
      <c r="E135" s="874">
        <v>0</v>
      </c>
      <c r="F135" s="874">
        <v>6231</v>
      </c>
      <c r="G135" s="874">
        <v>0</v>
      </c>
      <c r="H135" s="874">
        <v>1837128</v>
      </c>
      <c r="I135" s="877">
        <f t="shared" ref="I135:I198" si="6">SUM(E135:H135)</f>
        <v>1843359</v>
      </c>
      <c r="J135" s="874"/>
      <c r="K135" s="874">
        <v>3962308</v>
      </c>
      <c r="L135" s="874">
        <v>0</v>
      </c>
      <c r="M135" s="874">
        <v>25101676</v>
      </c>
      <c r="N135" s="874">
        <v>1119370</v>
      </c>
      <c r="O135" s="877">
        <f t="shared" ref="O135:O198" si="7">SUM(K135:N135)</f>
        <v>30183354</v>
      </c>
      <c r="P135" s="874"/>
      <c r="Q135" s="877">
        <f t="shared" ref="Q135:Q198" si="8">S135-R135</f>
        <v>-783792</v>
      </c>
      <c r="R135" s="874">
        <v>235411</v>
      </c>
      <c r="S135" s="874">
        <v>-548381</v>
      </c>
      <c r="T135" s="878"/>
      <c r="U135" s="878"/>
      <c r="V135" s="878"/>
      <c r="W135" s="878"/>
      <c r="X135" s="878"/>
      <c r="Y135" s="878"/>
      <c r="Z135" s="878"/>
      <c r="AA135" s="878"/>
      <c r="AB135" s="879"/>
      <c r="AC135" s="879"/>
      <c r="AD135" s="879"/>
      <c r="AE135" s="879"/>
      <c r="AF135" s="879"/>
      <c r="AG135" s="879"/>
      <c r="AH135" s="879"/>
      <c r="AI135" s="879"/>
    </row>
    <row r="136" spans="1:35" x14ac:dyDescent="0.25">
      <c r="A136" s="876">
        <v>33305</v>
      </c>
      <c r="B136" s="873" t="s">
        <v>1350</v>
      </c>
      <c r="C136" s="873">
        <v>16162132</v>
      </c>
      <c r="D136" s="874">
        <v>13690171</v>
      </c>
      <c r="E136" s="874">
        <v>0</v>
      </c>
      <c r="F136" s="874">
        <v>1472</v>
      </c>
      <c r="G136" s="874">
        <v>0</v>
      </c>
      <c r="H136" s="874">
        <v>0</v>
      </c>
      <c r="I136" s="877">
        <f t="shared" si="6"/>
        <v>1472</v>
      </c>
      <c r="J136" s="874"/>
      <c r="K136" s="874">
        <v>936194</v>
      </c>
      <c r="L136" s="874">
        <v>0</v>
      </c>
      <c r="M136" s="874">
        <v>5930898</v>
      </c>
      <c r="N136" s="874">
        <v>793861</v>
      </c>
      <c r="O136" s="877">
        <f t="shared" si="7"/>
        <v>7660953</v>
      </c>
      <c r="P136" s="874"/>
      <c r="Q136" s="877">
        <f t="shared" si="8"/>
        <v>-185190</v>
      </c>
      <c r="R136" s="874">
        <v>-179790</v>
      </c>
      <c r="S136" s="874">
        <v>-364980</v>
      </c>
      <c r="T136" s="878"/>
      <c r="U136" s="878"/>
      <c r="V136" s="878"/>
      <c r="W136" s="878"/>
      <c r="X136" s="878"/>
      <c r="Y136" s="878"/>
      <c r="Z136" s="878"/>
      <c r="AA136" s="878"/>
      <c r="AB136" s="879"/>
      <c r="AC136" s="879"/>
      <c r="AD136" s="879"/>
      <c r="AE136" s="879"/>
      <c r="AF136" s="879"/>
      <c r="AG136" s="879"/>
      <c r="AH136" s="879"/>
      <c r="AI136" s="879"/>
    </row>
    <row r="137" spans="1:35" x14ac:dyDescent="0.25">
      <c r="A137" s="876">
        <v>33400</v>
      </c>
      <c r="B137" s="873" t="s">
        <v>1351</v>
      </c>
      <c r="C137" s="873">
        <v>611031994</v>
      </c>
      <c r="D137" s="874">
        <v>520848818</v>
      </c>
      <c r="E137" s="874">
        <v>0</v>
      </c>
      <c r="F137" s="874">
        <v>56015</v>
      </c>
      <c r="G137" s="874">
        <v>0</v>
      </c>
      <c r="H137" s="874">
        <v>24647752</v>
      </c>
      <c r="I137" s="877">
        <f t="shared" si="6"/>
        <v>24703767</v>
      </c>
      <c r="J137" s="874"/>
      <c r="K137" s="874">
        <v>35617939</v>
      </c>
      <c r="L137" s="874">
        <v>0</v>
      </c>
      <c r="M137" s="874">
        <v>225643732</v>
      </c>
      <c r="N137" s="874">
        <v>13313865</v>
      </c>
      <c r="O137" s="877">
        <f t="shared" si="7"/>
        <v>274575536</v>
      </c>
      <c r="P137" s="874"/>
      <c r="Q137" s="877">
        <f t="shared" si="8"/>
        <v>-7045655</v>
      </c>
      <c r="R137" s="874">
        <v>3499163</v>
      </c>
      <c r="S137" s="874">
        <v>-3546492</v>
      </c>
      <c r="T137" s="878"/>
      <c r="U137" s="878"/>
      <c r="V137" s="878"/>
      <c r="W137" s="878"/>
      <c r="X137" s="878"/>
      <c r="Y137" s="878"/>
      <c r="Z137" s="878"/>
      <c r="AA137" s="878"/>
      <c r="AB137" s="879"/>
      <c r="AC137" s="879"/>
      <c r="AD137" s="879"/>
      <c r="AE137" s="879"/>
      <c r="AF137" s="879"/>
      <c r="AG137" s="879"/>
      <c r="AH137" s="879"/>
      <c r="AI137" s="879"/>
    </row>
    <row r="138" spans="1:35" x14ac:dyDescent="0.25">
      <c r="A138" s="876">
        <v>33402</v>
      </c>
      <c r="B138" s="873" t="s">
        <v>1352</v>
      </c>
      <c r="C138" s="873">
        <v>4960057</v>
      </c>
      <c r="D138" s="874">
        <v>4483149</v>
      </c>
      <c r="E138" s="874">
        <v>0</v>
      </c>
      <c r="F138" s="874">
        <v>482</v>
      </c>
      <c r="G138" s="874">
        <v>0</v>
      </c>
      <c r="H138" s="874">
        <v>495559</v>
      </c>
      <c r="I138" s="877">
        <f t="shared" si="6"/>
        <v>496041</v>
      </c>
      <c r="J138" s="874"/>
      <c r="K138" s="874">
        <v>306578</v>
      </c>
      <c r="L138" s="874">
        <v>0</v>
      </c>
      <c r="M138" s="874">
        <v>1942204</v>
      </c>
      <c r="N138" s="874">
        <v>0</v>
      </c>
      <c r="O138" s="877">
        <f t="shared" si="7"/>
        <v>2248782</v>
      </c>
      <c r="P138" s="874"/>
      <c r="Q138" s="877">
        <f t="shared" si="8"/>
        <v>-60645</v>
      </c>
      <c r="R138" s="874">
        <v>113906</v>
      </c>
      <c r="S138" s="874">
        <v>53261</v>
      </c>
      <c r="T138" s="878"/>
      <c r="U138" s="878"/>
      <c r="V138" s="878"/>
      <c r="W138" s="878"/>
      <c r="X138" s="878"/>
      <c r="Y138" s="878"/>
      <c r="Z138" s="878"/>
      <c r="AA138" s="878"/>
      <c r="AB138" s="879"/>
      <c r="AC138" s="879"/>
      <c r="AD138" s="879"/>
      <c r="AE138" s="879"/>
      <c r="AF138" s="879"/>
      <c r="AG138" s="879"/>
      <c r="AH138" s="879"/>
      <c r="AI138" s="879"/>
    </row>
    <row r="139" spans="1:35" x14ac:dyDescent="0.25">
      <c r="A139" s="876">
        <v>33405</v>
      </c>
      <c r="B139" s="873" t="s">
        <v>1353</v>
      </c>
      <c r="C139" s="873">
        <v>54530162</v>
      </c>
      <c r="D139" s="874">
        <v>45442144</v>
      </c>
      <c r="E139" s="874">
        <v>0</v>
      </c>
      <c r="F139" s="874">
        <v>4887</v>
      </c>
      <c r="G139" s="874">
        <v>0</v>
      </c>
      <c r="H139" s="874">
        <v>0</v>
      </c>
      <c r="I139" s="877">
        <f t="shared" si="6"/>
        <v>4887</v>
      </c>
      <c r="J139" s="874"/>
      <c r="K139" s="874">
        <v>3107534</v>
      </c>
      <c r="L139" s="874">
        <v>0</v>
      </c>
      <c r="M139" s="874">
        <v>19686586</v>
      </c>
      <c r="N139" s="874">
        <v>5805648</v>
      </c>
      <c r="O139" s="877">
        <f t="shared" si="7"/>
        <v>28599768</v>
      </c>
      <c r="P139" s="874"/>
      <c r="Q139" s="877">
        <f t="shared" si="8"/>
        <v>-614707</v>
      </c>
      <c r="R139" s="874">
        <v>-1333115</v>
      </c>
      <c r="S139" s="874">
        <v>-1947822</v>
      </c>
      <c r="T139" s="878"/>
      <c r="U139" s="878"/>
      <c r="V139" s="878"/>
      <c r="W139" s="878"/>
      <c r="X139" s="878"/>
      <c r="Y139" s="878"/>
      <c r="Z139" s="878"/>
      <c r="AA139" s="878"/>
      <c r="AB139" s="879"/>
      <c r="AC139" s="879"/>
      <c r="AD139" s="879"/>
      <c r="AE139" s="879"/>
      <c r="AF139" s="879"/>
      <c r="AG139" s="879"/>
      <c r="AH139" s="879"/>
      <c r="AI139" s="879"/>
    </row>
    <row r="140" spans="1:35" x14ac:dyDescent="0.25">
      <c r="A140" s="876">
        <v>33500</v>
      </c>
      <c r="B140" s="873" t="s">
        <v>1354</v>
      </c>
      <c r="C140" s="873">
        <v>97501426</v>
      </c>
      <c r="D140" s="874">
        <v>79938148</v>
      </c>
      <c r="E140" s="874">
        <v>0</v>
      </c>
      <c r="F140" s="874">
        <v>8597</v>
      </c>
      <c r="G140" s="874">
        <v>0</v>
      </c>
      <c r="H140" s="874">
        <v>0</v>
      </c>
      <c r="I140" s="877">
        <f t="shared" si="6"/>
        <v>8597</v>
      </c>
      <c r="J140" s="874"/>
      <c r="K140" s="874">
        <v>5466523</v>
      </c>
      <c r="L140" s="874">
        <v>0</v>
      </c>
      <c r="M140" s="874">
        <v>34631051</v>
      </c>
      <c r="N140" s="874">
        <v>6477859</v>
      </c>
      <c r="O140" s="877">
        <f t="shared" si="7"/>
        <v>46575433</v>
      </c>
      <c r="P140" s="874"/>
      <c r="Q140" s="877">
        <f t="shared" si="8"/>
        <v>-1081344</v>
      </c>
      <c r="R140" s="874">
        <v>-1300631</v>
      </c>
      <c r="S140" s="874">
        <v>-2381975</v>
      </c>
      <c r="T140" s="878"/>
      <c r="U140" s="878"/>
      <c r="V140" s="878"/>
      <c r="W140" s="878"/>
      <c r="X140" s="878"/>
      <c r="Y140" s="878"/>
      <c r="Z140" s="878"/>
      <c r="AA140" s="878"/>
      <c r="AB140" s="879"/>
      <c r="AC140" s="879"/>
      <c r="AD140" s="879"/>
      <c r="AE140" s="879"/>
      <c r="AF140" s="879"/>
      <c r="AG140" s="879"/>
      <c r="AH140" s="879"/>
      <c r="AI140" s="879"/>
    </row>
    <row r="141" spans="1:35" ht="26.25" x14ac:dyDescent="0.25">
      <c r="A141" s="876">
        <v>33501</v>
      </c>
      <c r="B141" s="873" t="s">
        <v>1355</v>
      </c>
      <c r="C141" s="873">
        <v>2363943</v>
      </c>
      <c r="D141" s="874">
        <v>1910733</v>
      </c>
      <c r="E141" s="874">
        <v>0</v>
      </c>
      <c r="F141" s="874">
        <v>205</v>
      </c>
      <c r="G141" s="874">
        <v>0</v>
      </c>
      <c r="H141" s="874">
        <v>293732</v>
      </c>
      <c r="I141" s="877">
        <f t="shared" si="6"/>
        <v>293937</v>
      </c>
      <c r="J141" s="874"/>
      <c r="K141" s="874">
        <v>130664</v>
      </c>
      <c r="L141" s="874">
        <v>0</v>
      </c>
      <c r="M141" s="874">
        <v>827774</v>
      </c>
      <c r="N141" s="874">
        <v>191930</v>
      </c>
      <c r="O141" s="877">
        <f t="shared" si="7"/>
        <v>1150368</v>
      </c>
      <c r="P141" s="874"/>
      <c r="Q141" s="877">
        <f t="shared" si="8"/>
        <v>-25847</v>
      </c>
      <c r="R141" s="874">
        <v>35046</v>
      </c>
      <c r="S141" s="874">
        <v>9199</v>
      </c>
      <c r="T141" s="878"/>
      <c r="U141" s="878"/>
      <c r="V141" s="878"/>
      <c r="W141" s="878"/>
      <c r="X141" s="878"/>
      <c r="Y141" s="878"/>
      <c r="Z141" s="878"/>
      <c r="AA141" s="878"/>
      <c r="AB141" s="879"/>
      <c r="AC141" s="879"/>
      <c r="AD141" s="879"/>
      <c r="AE141" s="879"/>
      <c r="AF141" s="879"/>
      <c r="AG141" s="879"/>
      <c r="AH141" s="879"/>
      <c r="AI141" s="879"/>
    </row>
    <row r="142" spans="1:35" x14ac:dyDescent="0.25">
      <c r="A142" s="876">
        <v>33600</v>
      </c>
      <c r="B142" s="873" t="s">
        <v>1356</v>
      </c>
      <c r="C142" s="873">
        <v>326892034</v>
      </c>
      <c r="D142" s="874">
        <v>282751816</v>
      </c>
      <c r="E142" s="874">
        <v>0</v>
      </c>
      <c r="F142" s="874">
        <v>30408</v>
      </c>
      <c r="G142" s="874">
        <v>0</v>
      </c>
      <c r="H142" s="874">
        <v>15614648</v>
      </c>
      <c r="I142" s="877">
        <f t="shared" si="6"/>
        <v>15645056</v>
      </c>
      <c r="J142" s="874"/>
      <c r="K142" s="874">
        <v>19335816</v>
      </c>
      <c r="L142" s="874">
        <v>0</v>
      </c>
      <c r="M142" s="874">
        <v>122494615</v>
      </c>
      <c r="N142" s="874">
        <v>2169755</v>
      </c>
      <c r="O142" s="877">
        <f t="shared" si="7"/>
        <v>144000186</v>
      </c>
      <c r="P142" s="874"/>
      <c r="Q142" s="877">
        <f t="shared" si="8"/>
        <v>-3824856</v>
      </c>
      <c r="R142" s="874">
        <v>3469712</v>
      </c>
      <c r="S142" s="874">
        <v>-355144</v>
      </c>
      <c r="T142" s="878"/>
      <c r="U142" s="878"/>
      <c r="V142" s="878"/>
      <c r="W142" s="878"/>
      <c r="X142" s="878"/>
      <c r="Y142" s="878"/>
      <c r="Z142" s="878"/>
      <c r="AA142" s="878"/>
      <c r="AB142" s="879"/>
      <c r="AC142" s="879"/>
      <c r="AD142" s="879"/>
      <c r="AE142" s="879"/>
      <c r="AF142" s="879"/>
      <c r="AG142" s="879"/>
      <c r="AH142" s="879"/>
      <c r="AI142" s="879"/>
    </row>
    <row r="143" spans="1:35" x14ac:dyDescent="0.25">
      <c r="A143" s="876">
        <v>33605</v>
      </c>
      <c r="B143" s="873" t="s">
        <v>1357</v>
      </c>
      <c r="C143" s="873">
        <v>39838354</v>
      </c>
      <c r="D143" s="874">
        <v>33747612</v>
      </c>
      <c r="E143" s="874">
        <v>0</v>
      </c>
      <c r="F143" s="874">
        <v>3629</v>
      </c>
      <c r="G143" s="874">
        <v>0</v>
      </c>
      <c r="H143" s="874">
        <v>0</v>
      </c>
      <c r="I143" s="877">
        <f t="shared" si="6"/>
        <v>3629</v>
      </c>
      <c r="J143" s="874"/>
      <c r="K143" s="874">
        <v>2307811</v>
      </c>
      <c r="L143" s="874">
        <v>0</v>
      </c>
      <c r="M143" s="874">
        <v>14620245</v>
      </c>
      <c r="N143" s="874">
        <v>1982628</v>
      </c>
      <c r="O143" s="877">
        <f t="shared" si="7"/>
        <v>18910684</v>
      </c>
      <c r="P143" s="874"/>
      <c r="Q143" s="877">
        <f t="shared" si="8"/>
        <v>-456513</v>
      </c>
      <c r="R143" s="874">
        <v>-445931</v>
      </c>
      <c r="S143" s="874">
        <v>-902444</v>
      </c>
      <c r="T143" s="878"/>
      <c r="U143" s="878"/>
      <c r="V143" s="878"/>
      <c r="W143" s="878"/>
      <c r="X143" s="878"/>
      <c r="Y143" s="878"/>
      <c r="Z143" s="878"/>
      <c r="AA143" s="878"/>
      <c r="AB143" s="879"/>
      <c r="AC143" s="879"/>
      <c r="AD143" s="879"/>
      <c r="AE143" s="879"/>
      <c r="AF143" s="879"/>
      <c r="AG143" s="879"/>
      <c r="AH143" s="879"/>
      <c r="AI143" s="879"/>
    </row>
    <row r="144" spans="1:35" x14ac:dyDescent="0.25">
      <c r="A144" s="876">
        <v>33700</v>
      </c>
      <c r="B144" s="873" t="s">
        <v>1358</v>
      </c>
      <c r="C144" s="873">
        <v>22044368</v>
      </c>
      <c r="D144" s="874">
        <v>18585644</v>
      </c>
      <c r="E144" s="874">
        <v>0</v>
      </c>
      <c r="F144" s="874">
        <v>1999</v>
      </c>
      <c r="G144" s="874">
        <v>0</v>
      </c>
      <c r="H144" s="874">
        <v>122020</v>
      </c>
      <c r="I144" s="877">
        <f t="shared" si="6"/>
        <v>124019</v>
      </c>
      <c r="J144" s="874"/>
      <c r="K144" s="874">
        <v>1270968</v>
      </c>
      <c r="L144" s="874">
        <v>0</v>
      </c>
      <c r="M144" s="874">
        <v>8051730</v>
      </c>
      <c r="N144" s="874">
        <v>736615</v>
      </c>
      <c r="O144" s="877">
        <f t="shared" si="7"/>
        <v>10059313</v>
      </c>
      <c r="P144" s="874"/>
      <c r="Q144" s="877">
        <f t="shared" si="8"/>
        <v>-251413</v>
      </c>
      <c r="R144" s="874">
        <v>-116817</v>
      </c>
      <c r="S144" s="874">
        <v>-368230</v>
      </c>
      <c r="T144" s="878"/>
      <c r="U144" s="878"/>
      <c r="V144" s="878"/>
      <c r="W144" s="878"/>
      <c r="X144" s="878"/>
      <c r="Y144" s="878"/>
      <c r="Z144" s="878"/>
      <c r="AA144" s="878"/>
      <c r="AB144" s="879"/>
      <c r="AC144" s="879"/>
      <c r="AD144" s="879"/>
      <c r="AE144" s="879"/>
      <c r="AF144" s="879"/>
      <c r="AG144" s="879"/>
      <c r="AH144" s="879"/>
      <c r="AI144" s="879"/>
    </row>
    <row r="145" spans="1:35" x14ac:dyDescent="0.25">
      <c r="A145" s="876">
        <v>33800</v>
      </c>
      <c r="B145" s="873" t="s">
        <v>1359</v>
      </c>
      <c r="C145" s="873">
        <v>17257472</v>
      </c>
      <c r="D145" s="874">
        <v>14147021</v>
      </c>
      <c r="E145" s="874">
        <v>0</v>
      </c>
      <c r="F145" s="874">
        <v>1521</v>
      </c>
      <c r="G145" s="874">
        <v>0</v>
      </c>
      <c r="H145" s="874">
        <v>602344</v>
      </c>
      <c r="I145" s="877">
        <f t="shared" si="6"/>
        <v>603865</v>
      </c>
      <c r="J145" s="874"/>
      <c r="K145" s="874">
        <v>967436</v>
      </c>
      <c r="L145" s="874">
        <v>0</v>
      </c>
      <c r="M145" s="874">
        <v>6128816</v>
      </c>
      <c r="N145" s="874">
        <v>1108835</v>
      </c>
      <c r="O145" s="877">
        <f t="shared" si="7"/>
        <v>8205087</v>
      </c>
      <c r="P145" s="874"/>
      <c r="Q145" s="877">
        <f t="shared" si="8"/>
        <v>-191370</v>
      </c>
      <c r="R145" s="874">
        <v>-71179</v>
      </c>
      <c r="S145" s="874">
        <v>-262549</v>
      </c>
      <c r="T145" s="878"/>
      <c r="U145" s="878"/>
      <c r="V145" s="878"/>
      <c r="W145" s="878"/>
      <c r="X145" s="878"/>
      <c r="Y145" s="878"/>
      <c r="Z145" s="878"/>
      <c r="AA145" s="878"/>
      <c r="AB145" s="879"/>
      <c r="AC145" s="879"/>
      <c r="AD145" s="879"/>
      <c r="AE145" s="879"/>
      <c r="AF145" s="879"/>
      <c r="AG145" s="879"/>
      <c r="AH145" s="879"/>
      <c r="AI145" s="879"/>
    </row>
    <row r="146" spans="1:35" ht="26.25" x14ac:dyDescent="0.25">
      <c r="A146" s="876">
        <v>33900</v>
      </c>
      <c r="B146" s="873" t="s">
        <v>1360</v>
      </c>
      <c r="C146" s="873">
        <v>86700782</v>
      </c>
      <c r="D146" s="874">
        <v>71844901</v>
      </c>
      <c r="E146" s="874">
        <v>0</v>
      </c>
      <c r="F146" s="874">
        <v>7727</v>
      </c>
      <c r="G146" s="874">
        <v>0</v>
      </c>
      <c r="H146" s="874">
        <v>239808</v>
      </c>
      <c r="I146" s="877">
        <f t="shared" si="6"/>
        <v>247535</v>
      </c>
      <c r="J146" s="874"/>
      <c r="K146" s="874">
        <v>4913071</v>
      </c>
      <c r="L146" s="874">
        <v>0</v>
      </c>
      <c r="M146" s="874">
        <v>31124870</v>
      </c>
      <c r="N146" s="874">
        <v>4538170</v>
      </c>
      <c r="O146" s="877">
        <f t="shared" si="7"/>
        <v>40576111</v>
      </c>
      <c r="P146" s="874"/>
      <c r="Q146" s="877">
        <f t="shared" si="8"/>
        <v>-971864</v>
      </c>
      <c r="R146" s="874">
        <v>-847681</v>
      </c>
      <c r="S146" s="874">
        <v>-1819545</v>
      </c>
      <c r="T146" s="878"/>
      <c r="U146" s="878"/>
      <c r="V146" s="878"/>
      <c r="W146" s="878"/>
      <c r="X146" s="878"/>
      <c r="Y146" s="878"/>
      <c r="Z146" s="878"/>
      <c r="AA146" s="878"/>
      <c r="AB146" s="879"/>
      <c r="AC146" s="879"/>
      <c r="AD146" s="879"/>
      <c r="AE146" s="879"/>
      <c r="AF146" s="879"/>
      <c r="AG146" s="879"/>
      <c r="AH146" s="879"/>
      <c r="AI146" s="879"/>
    </row>
    <row r="147" spans="1:35" x14ac:dyDescent="0.25">
      <c r="A147" s="876">
        <v>34000</v>
      </c>
      <c r="B147" s="873" t="s">
        <v>1361</v>
      </c>
      <c r="C147" s="873">
        <v>39260073</v>
      </c>
      <c r="D147" s="874">
        <v>32929682</v>
      </c>
      <c r="E147" s="874">
        <v>0</v>
      </c>
      <c r="F147" s="874">
        <v>3541</v>
      </c>
      <c r="G147" s="874">
        <v>0</v>
      </c>
      <c r="H147" s="874">
        <v>1324892</v>
      </c>
      <c r="I147" s="877">
        <f t="shared" si="6"/>
        <v>1328433</v>
      </c>
      <c r="J147" s="874"/>
      <c r="K147" s="874">
        <v>2251877</v>
      </c>
      <c r="L147" s="874">
        <v>0</v>
      </c>
      <c r="M147" s="874">
        <v>14265898</v>
      </c>
      <c r="N147" s="874">
        <v>1603725</v>
      </c>
      <c r="O147" s="877">
        <f t="shared" si="7"/>
        <v>18121500</v>
      </c>
      <c r="P147" s="874"/>
      <c r="Q147" s="877">
        <f t="shared" si="8"/>
        <v>-445448</v>
      </c>
      <c r="R147" s="874">
        <v>10480</v>
      </c>
      <c r="S147" s="874">
        <v>-434968</v>
      </c>
      <c r="T147" s="878"/>
      <c r="U147" s="878"/>
      <c r="V147" s="878"/>
      <c r="W147" s="878"/>
      <c r="X147" s="878"/>
      <c r="Y147" s="878"/>
      <c r="Z147" s="878"/>
      <c r="AA147" s="878"/>
      <c r="AB147" s="879"/>
      <c r="AC147" s="879"/>
      <c r="AD147" s="879"/>
      <c r="AE147" s="879"/>
      <c r="AF147" s="879"/>
      <c r="AG147" s="879"/>
      <c r="AH147" s="879"/>
      <c r="AI147" s="879"/>
    </row>
    <row r="148" spans="1:35" x14ac:dyDescent="0.25">
      <c r="A148" s="876">
        <v>34100</v>
      </c>
      <c r="B148" s="873" t="s">
        <v>1362</v>
      </c>
      <c r="C148" s="873">
        <v>876058743</v>
      </c>
      <c r="D148" s="874">
        <v>733683937</v>
      </c>
      <c r="E148" s="874">
        <v>0</v>
      </c>
      <c r="F148" s="874">
        <v>78904</v>
      </c>
      <c r="G148" s="874">
        <v>0</v>
      </c>
      <c r="H148" s="874">
        <v>17092968</v>
      </c>
      <c r="I148" s="877">
        <f t="shared" si="6"/>
        <v>17171872</v>
      </c>
      <c r="J148" s="874"/>
      <c r="K148" s="874">
        <v>50172543</v>
      </c>
      <c r="L148" s="874">
        <v>0</v>
      </c>
      <c r="M148" s="874">
        <v>317848820</v>
      </c>
      <c r="N148" s="874">
        <v>37184725</v>
      </c>
      <c r="O148" s="877">
        <f t="shared" si="7"/>
        <v>405206088</v>
      </c>
      <c r="P148" s="874"/>
      <c r="Q148" s="877">
        <f t="shared" si="8"/>
        <v>-9924730</v>
      </c>
      <c r="R148" s="874">
        <v>-3163701</v>
      </c>
      <c r="S148" s="874">
        <v>-13088431</v>
      </c>
      <c r="T148" s="878"/>
      <c r="U148" s="878"/>
      <c r="V148" s="878"/>
      <c r="W148" s="878"/>
      <c r="X148" s="878"/>
      <c r="Y148" s="878"/>
      <c r="Z148" s="878"/>
      <c r="AA148" s="878"/>
      <c r="AB148" s="879"/>
      <c r="AC148" s="879"/>
      <c r="AD148" s="879"/>
      <c r="AE148" s="879"/>
      <c r="AF148" s="879"/>
      <c r="AG148" s="879"/>
      <c r="AH148" s="879"/>
      <c r="AI148" s="879"/>
    </row>
    <row r="149" spans="1:35" x14ac:dyDescent="0.25">
      <c r="A149" s="876">
        <v>34105</v>
      </c>
      <c r="B149" s="873" t="s">
        <v>1363</v>
      </c>
      <c r="C149" s="873">
        <v>69371212</v>
      </c>
      <c r="D149" s="874">
        <v>58381598</v>
      </c>
      <c r="E149" s="874">
        <v>0</v>
      </c>
      <c r="F149" s="874">
        <v>6279</v>
      </c>
      <c r="G149" s="874">
        <v>0</v>
      </c>
      <c r="H149" s="874">
        <v>0</v>
      </c>
      <c r="I149" s="877">
        <f t="shared" si="6"/>
        <v>6279</v>
      </c>
      <c r="J149" s="874"/>
      <c r="K149" s="874">
        <v>3992391</v>
      </c>
      <c r="L149" s="874">
        <v>0</v>
      </c>
      <c r="M149" s="874">
        <v>25292256</v>
      </c>
      <c r="N149" s="874">
        <v>4247208</v>
      </c>
      <c r="O149" s="877">
        <f t="shared" si="7"/>
        <v>33531855</v>
      </c>
      <c r="P149" s="874"/>
      <c r="Q149" s="877">
        <f t="shared" si="8"/>
        <v>-789743</v>
      </c>
      <c r="R149" s="874">
        <v>-946087</v>
      </c>
      <c r="S149" s="874">
        <v>-1735830</v>
      </c>
      <c r="T149" s="878"/>
      <c r="U149" s="878"/>
      <c r="V149" s="878"/>
      <c r="W149" s="878"/>
      <c r="X149" s="878"/>
      <c r="Y149" s="878"/>
      <c r="Z149" s="878"/>
      <c r="AA149" s="878"/>
      <c r="AB149" s="879"/>
      <c r="AC149" s="879"/>
      <c r="AD149" s="879"/>
      <c r="AE149" s="879"/>
      <c r="AF149" s="879"/>
      <c r="AG149" s="879"/>
      <c r="AH149" s="879"/>
      <c r="AI149" s="879"/>
    </row>
    <row r="150" spans="1:35" x14ac:dyDescent="0.25">
      <c r="A150" s="876">
        <v>34200</v>
      </c>
      <c r="B150" s="873" t="s">
        <v>1364</v>
      </c>
      <c r="C150" s="873">
        <v>28706578</v>
      </c>
      <c r="D150" s="874">
        <v>23702080</v>
      </c>
      <c r="E150" s="874">
        <v>0</v>
      </c>
      <c r="F150" s="874">
        <v>2549</v>
      </c>
      <c r="G150" s="874">
        <v>0</v>
      </c>
      <c r="H150" s="874">
        <v>0</v>
      </c>
      <c r="I150" s="877">
        <f t="shared" si="6"/>
        <v>2549</v>
      </c>
      <c r="J150" s="874"/>
      <c r="K150" s="874">
        <v>1620853</v>
      </c>
      <c r="L150" s="874">
        <v>0</v>
      </c>
      <c r="M150" s="874">
        <v>10268288</v>
      </c>
      <c r="N150" s="874">
        <v>5172107</v>
      </c>
      <c r="O150" s="877">
        <f t="shared" si="7"/>
        <v>17061248</v>
      </c>
      <c r="P150" s="874"/>
      <c r="Q150" s="877">
        <f t="shared" si="8"/>
        <v>-320624</v>
      </c>
      <c r="R150" s="874">
        <v>-1216310</v>
      </c>
      <c r="S150" s="874">
        <v>-1536934</v>
      </c>
      <c r="T150" s="878"/>
      <c r="U150" s="878"/>
      <c r="V150" s="878"/>
      <c r="W150" s="878"/>
      <c r="X150" s="878"/>
      <c r="Y150" s="878"/>
      <c r="Z150" s="878"/>
      <c r="AA150" s="878"/>
      <c r="AB150" s="879"/>
      <c r="AC150" s="879"/>
      <c r="AD150" s="879"/>
      <c r="AE150" s="879"/>
      <c r="AF150" s="879"/>
      <c r="AG150" s="879"/>
      <c r="AH150" s="879"/>
      <c r="AI150" s="879"/>
    </row>
    <row r="151" spans="1:35" x14ac:dyDescent="0.25">
      <c r="A151" s="876">
        <v>34205</v>
      </c>
      <c r="B151" s="873" t="s">
        <v>1365</v>
      </c>
      <c r="C151" s="873">
        <v>12437938</v>
      </c>
      <c r="D151" s="874">
        <v>10665974</v>
      </c>
      <c r="E151" s="874">
        <v>0</v>
      </c>
      <c r="F151" s="874">
        <v>1147</v>
      </c>
      <c r="G151" s="874">
        <v>0</v>
      </c>
      <c r="H151" s="874">
        <v>0</v>
      </c>
      <c r="I151" s="877">
        <f t="shared" si="6"/>
        <v>1147</v>
      </c>
      <c r="J151" s="874"/>
      <c r="K151" s="874">
        <v>729386</v>
      </c>
      <c r="L151" s="874">
        <v>0</v>
      </c>
      <c r="M151" s="874">
        <v>4620746</v>
      </c>
      <c r="N151" s="874">
        <v>968743</v>
      </c>
      <c r="O151" s="877">
        <f t="shared" si="7"/>
        <v>6318875</v>
      </c>
      <c r="P151" s="874"/>
      <c r="Q151" s="877">
        <f t="shared" si="8"/>
        <v>-144281</v>
      </c>
      <c r="R151" s="874">
        <v>-234177</v>
      </c>
      <c r="S151" s="874">
        <v>-378458</v>
      </c>
      <c r="T151" s="878"/>
      <c r="U151" s="878"/>
      <c r="V151" s="878"/>
      <c r="W151" s="878"/>
      <c r="X151" s="878"/>
      <c r="Y151" s="878"/>
      <c r="Z151" s="878"/>
      <c r="AA151" s="878"/>
      <c r="AB151" s="879"/>
      <c r="AC151" s="879"/>
      <c r="AD151" s="879"/>
      <c r="AE151" s="879"/>
      <c r="AF151" s="879"/>
      <c r="AG151" s="879"/>
      <c r="AH151" s="879"/>
      <c r="AI151" s="879"/>
    </row>
    <row r="152" spans="1:35" x14ac:dyDescent="0.25">
      <c r="A152" s="876">
        <v>34220</v>
      </c>
      <c r="B152" s="873" t="s">
        <v>1366</v>
      </c>
      <c r="C152" s="873">
        <v>32355349</v>
      </c>
      <c r="D152" s="874">
        <v>28690858</v>
      </c>
      <c r="E152" s="874">
        <v>0</v>
      </c>
      <c r="F152" s="874">
        <v>3086</v>
      </c>
      <c r="G152" s="874">
        <v>0</v>
      </c>
      <c r="H152" s="874">
        <v>2934111</v>
      </c>
      <c r="I152" s="877">
        <f t="shared" si="6"/>
        <v>2937197</v>
      </c>
      <c r="J152" s="874"/>
      <c r="K152" s="874">
        <v>1962007</v>
      </c>
      <c r="L152" s="874">
        <v>0</v>
      </c>
      <c r="M152" s="874">
        <v>12429542</v>
      </c>
      <c r="N152" s="874">
        <v>0</v>
      </c>
      <c r="O152" s="877">
        <f t="shared" si="7"/>
        <v>14391549</v>
      </c>
      <c r="P152" s="874"/>
      <c r="Q152" s="877">
        <f t="shared" si="8"/>
        <v>-388109</v>
      </c>
      <c r="R152" s="874">
        <v>696365</v>
      </c>
      <c r="S152" s="874">
        <v>308256</v>
      </c>
      <c r="T152" s="878"/>
      <c r="U152" s="878"/>
      <c r="V152" s="878"/>
      <c r="W152" s="878"/>
      <c r="X152" s="878"/>
      <c r="Y152" s="878"/>
      <c r="Z152" s="878"/>
      <c r="AA152" s="878"/>
      <c r="AB152" s="879"/>
      <c r="AC152" s="879"/>
      <c r="AD152" s="879"/>
      <c r="AE152" s="879"/>
      <c r="AF152" s="879"/>
      <c r="AG152" s="879"/>
      <c r="AH152" s="879"/>
      <c r="AI152" s="879"/>
    </row>
    <row r="153" spans="1:35" x14ac:dyDescent="0.25">
      <c r="A153" s="876">
        <v>34230</v>
      </c>
      <c r="B153" s="873" t="s">
        <v>1367</v>
      </c>
      <c r="C153" s="873">
        <v>13559150</v>
      </c>
      <c r="D153" s="874">
        <v>10464346</v>
      </c>
      <c r="E153" s="874">
        <v>0</v>
      </c>
      <c r="F153" s="874">
        <v>1125</v>
      </c>
      <c r="G153" s="874">
        <v>0</v>
      </c>
      <c r="H153" s="874">
        <v>0</v>
      </c>
      <c r="I153" s="877">
        <f t="shared" si="6"/>
        <v>1125</v>
      </c>
      <c r="J153" s="874"/>
      <c r="K153" s="874">
        <v>715598</v>
      </c>
      <c r="L153" s="874">
        <v>0</v>
      </c>
      <c r="M153" s="874">
        <v>4533397</v>
      </c>
      <c r="N153" s="874">
        <v>2154787</v>
      </c>
      <c r="O153" s="877">
        <f t="shared" si="7"/>
        <v>7403782</v>
      </c>
      <c r="P153" s="874"/>
      <c r="Q153" s="877">
        <f t="shared" si="8"/>
        <v>-141554</v>
      </c>
      <c r="R153" s="874">
        <v>-454391</v>
      </c>
      <c r="S153" s="874">
        <v>-595945</v>
      </c>
      <c r="T153" s="878"/>
      <c r="U153" s="878"/>
      <c r="V153" s="878"/>
      <c r="W153" s="878"/>
      <c r="X153" s="878"/>
      <c r="Y153" s="878"/>
      <c r="Z153" s="878"/>
      <c r="AA153" s="878"/>
      <c r="AB153" s="879"/>
      <c r="AC153" s="879"/>
      <c r="AD153" s="879"/>
      <c r="AE153" s="879"/>
      <c r="AF153" s="879"/>
      <c r="AG153" s="879"/>
      <c r="AH153" s="879"/>
      <c r="AI153" s="879"/>
    </row>
    <row r="154" spans="1:35" x14ac:dyDescent="0.25">
      <c r="A154" s="876">
        <v>34300</v>
      </c>
      <c r="B154" s="873" t="s">
        <v>1368</v>
      </c>
      <c r="C154" s="873">
        <v>212961815</v>
      </c>
      <c r="D154" s="874">
        <v>180737467</v>
      </c>
      <c r="E154" s="874">
        <v>0</v>
      </c>
      <c r="F154" s="874">
        <v>19437</v>
      </c>
      <c r="G154" s="874">
        <v>0</v>
      </c>
      <c r="H154" s="874">
        <v>9310880</v>
      </c>
      <c r="I154" s="877">
        <f t="shared" si="6"/>
        <v>9330317</v>
      </c>
      <c r="J154" s="874"/>
      <c r="K154" s="874">
        <v>12359625</v>
      </c>
      <c r="L154" s="874">
        <v>0</v>
      </c>
      <c r="M154" s="874">
        <v>78299643</v>
      </c>
      <c r="N154" s="874">
        <v>5906325</v>
      </c>
      <c r="O154" s="877">
        <f t="shared" si="7"/>
        <v>96565593</v>
      </c>
      <c r="P154" s="874"/>
      <c r="Q154" s="877">
        <f t="shared" si="8"/>
        <v>-2444882</v>
      </c>
      <c r="R154" s="874">
        <v>1146454</v>
      </c>
      <c r="S154" s="874">
        <v>-1298428</v>
      </c>
      <c r="T154" s="878"/>
      <c r="U154" s="878"/>
      <c r="V154" s="878"/>
      <c r="W154" s="878"/>
      <c r="X154" s="878"/>
      <c r="Y154" s="878"/>
      <c r="Z154" s="878"/>
      <c r="AA154" s="878"/>
      <c r="AB154" s="879"/>
      <c r="AC154" s="879"/>
      <c r="AD154" s="879"/>
      <c r="AE154" s="879"/>
      <c r="AF154" s="879"/>
      <c r="AG154" s="879"/>
      <c r="AH154" s="879"/>
      <c r="AI154" s="879"/>
    </row>
    <row r="155" spans="1:35" x14ac:dyDescent="0.25">
      <c r="A155" s="876">
        <v>34400</v>
      </c>
      <c r="B155" s="873" t="s">
        <v>1369</v>
      </c>
      <c r="C155" s="873">
        <v>85206053</v>
      </c>
      <c r="D155" s="874">
        <v>70692316</v>
      </c>
      <c r="E155" s="874">
        <v>0</v>
      </c>
      <c r="F155" s="874">
        <v>7603</v>
      </c>
      <c r="G155" s="874">
        <v>0</v>
      </c>
      <c r="H155" s="874">
        <v>0</v>
      </c>
      <c r="I155" s="877">
        <f t="shared" si="6"/>
        <v>7603</v>
      </c>
      <c r="J155" s="874"/>
      <c r="K155" s="874">
        <v>4834252</v>
      </c>
      <c r="L155" s="874">
        <v>0</v>
      </c>
      <c r="M155" s="874">
        <v>30625543</v>
      </c>
      <c r="N155" s="874">
        <v>5027019</v>
      </c>
      <c r="O155" s="877">
        <f t="shared" si="7"/>
        <v>40486814</v>
      </c>
      <c r="P155" s="874"/>
      <c r="Q155" s="877">
        <f t="shared" si="8"/>
        <v>-956273</v>
      </c>
      <c r="R155" s="874">
        <v>-1036049</v>
      </c>
      <c r="S155" s="874">
        <v>-1992322</v>
      </c>
      <c r="T155" s="878"/>
      <c r="U155" s="878"/>
      <c r="V155" s="878"/>
      <c r="W155" s="878"/>
      <c r="X155" s="878"/>
      <c r="Y155" s="878"/>
      <c r="Z155" s="878"/>
      <c r="AA155" s="878"/>
      <c r="AB155" s="879"/>
      <c r="AC155" s="879"/>
      <c r="AD155" s="879"/>
      <c r="AE155" s="879"/>
      <c r="AF155" s="879"/>
      <c r="AG155" s="879"/>
      <c r="AH155" s="879"/>
      <c r="AI155" s="879"/>
    </row>
    <row r="156" spans="1:35" x14ac:dyDescent="0.25">
      <c r="A156" s="876">
        <v>34405</v>
      </c>
      <c r="B156" s="873" t="s">
        <v>1370</v>
      </c>
      <c r="C156" s="873">
        <v>16164449</v>
      </c>
      <c r="D156" s="874">
        <v>14010077</v>
      </c>
      <c r="E156" s="874">
        <v>0</v>
      </c>
      <c r="F156" s="874">
        <v>1507</v>
      </c>
      <c r="G156" s="874">
        <v>0</v>
      </c>
      <c r="H156" s="874">
        <v>0</v>
      </c>
      <c r="I156" s="877">
        <f t="shared" si="6"/>
        <v>1507</v>
      </c>
      <c r="J156" s="874"/>
      <c r="K156" s="874">
        <v>958071</v>
      </c>
      <c r="L156" s="874">
        <v>0</v>
      </c>
      <c r="M156" s="874">
        <v>6069489</v>
      </c>
      <c r="N156" s="874">
        <v>1632457</v>
      </c>
      <c r="O156" s="877">
        <f t="shared" si="7"/>
        <v>8660017</v>
      </c>
      <c r="P156" s="874"/>
      <c r="Q156" s="877">
        <f t="shared" si="8"/>
        <v>-189518</v>
      </c>
      <c r="R156" s="874">
        <v>-405826</v>
      </c>
      <c r="S156" s="874">
        <v>-595344</v>
      </c>
      <c r="T156" s="878"/>
      <c r="U156" s="878"/>
      <c r="V156" s="878"/>
      <c r="W156" s="878"/>
      <c r="X156" s="878"/>
      <c r="Y156" s="878"/>
      <c r="Z156" s="878"/>
      <c r="AA156" s="878"/>
      <c r="AB156" s="879"/>
      <c r="AC156" s="879"/>
      <c r="AD156" s="879"/>
      <c r="AE156" s="879"/>
      <c r="AF156" s="879"/>
      <c r="AG156" s="879"/>
      <c r="AH156" s="879"/>
      <c r="AI156" s="879"/>
    </row>
    <row r="157" spans="1:35" x14ac:dyDescent="0.25">
      <c r="A157" s="876">
        <v>34500</v>
      </c>
      <c r="B157" s="873" t="s">
        <v>1371</v>
      </c>
      <c r="C157" s="873">
        <v>150412119</v>
      </c>
      <c r="D157" s="874">
        <v>129621914</v>
      </c>
      <c r="E157" s="874">
        <v>0</v>
      </c>
      <c r="F157" s="874">
        <v>13940</v>
      </c>
      <c r="G157" s="874">
        <v>0</v>
      </c>
      <c r="H157" s="874">
        <v>2534452</v>
      </c>
      <c r="I157" s="877">
        <f t="shared" si="6"/>
        <v>2548392</v>
      </c>
      <c r="J157" s="874"/>
      <c r="K157" s="874">
        <v>8864118</v>
      </c>
      <c r="L157" s="874">
        <v>0</v>
      </c>
      <c r="M157" s="874">
        <v>56155206</v>
      </c>
      <c r="N157" s="874">
        <v>1615600</v>
      </c>
      <c r="O157" s="877">
        <f t="shared" si="7"/>
        <v>66634924</v>
      </c>
      <c r="P157" s="874"/>
      <c r="Q157" s="877">
        <f t="shared" si="8"/>
        <v>-1753429</v>
      </c>
      <c r="R157" s="874">
        <v>310496</v>
      </c>
      <c r="S157" s="874">
        <v>-1442933</v>
      </c>
      <c r="T157" s="878"/>
      <c r="U157" s="878"/>
      <c r="V157" s="878"/>
      <c r="W157" s="878"/>
      <c r="X157" s="878"/>
      <c r="Y157" s="878"/>
      <c r="Z157" s="878"/>
      <c r="AA157" s="878"/>
      <c r="AB157" s="879"/>
      <c r="AC157" s="879"/>
      <c r="AD157" s="879"/>
      <c r="AE157" s="879"/>
      <c r="AF157" s="879"/>
      <c r="AG157" s="879"/>
      <c r="AH157" s="879"/>
      <c r="AI157" s="879"/>
    </row>
    <row r="158" spans="1:35" x14ac:dyDescent="0.25">
      <c r="A158" s="876">
        <v>34501</v>
      </c>
      <c r="B158" s="873" t="s">
        <v>1372</v>
      </c>
      <c r="C158" s="873">
        <v>1850632</v>
      </c>
      <c r="D158" s="874">
        <v>1777165</v>
      </c>
      <c r="E158" s="874">
        <v>0</v>
      </c>
      <c r="F158" s="874">
        <v>191</v>
      </c>
      <c r="G158" s="874">
        <v>0</v>
      </c>
      <c r="H158" s="874">
        <v>345684</v>
      </c>
      <c r="I158" s="877">
        <f t="shared" si="6"/>
        <v>345875</v>
      </c>
      <c r="J158" s="874"/>
      <c r="K158" s="874">
        <v>121530</v>
      </c>
      <c r="L158" s="874">
        <v>0</v>
      </c>
      <c r="M158" s="874">
        <v>769909</v>
      </c>
      <c r="N158" s="874">
        <v>0</v>
      </c>
      <c r="O158" s="877">
        <f t="shared" si="7"/>
        <v>891439</v>
      </c>
      <c r="P158" s="874"/>
      <c r="Q158" s="877">
        <f t="shared" si="8"/>
        <v>-24040</v>
      </c>
      <c r="R158" s="874">
        <v>75953</v>
      </c>
      <c r="S158" s="874">
        <v>51913</v>
      </c>
      <c r="T158" s="878"/>
      <c r="U158" s="878"/>
      <c r="V158" s="878"/>
      <c r="W158" s="878"/>
      <c r="X158" s="878"/>
      <c r="Y158" s="878"/>
      <c r="Z158" s="878"/>
      <c r="AA158" s="878"/>
      <c r="AB158" s="879"/>
      <c r="AC158" s="879"/>
      <c r="AD158" s="879"/>
      <c r="AE158" s="879"/>
      <c r="AF158" s="879"/>
      <c r="AG158" s="879"/>
      <c r="AH158" s="879"/>
      <c r="AI158" s="879"/>
    </row>
    <row r="159" spans="1:35" x14ac:dyDescent="0.25">
      <c r="A159" s="876">
        <v>34505</v>
      </c>
      <c r="B159" s="873" t="s">
        <v>1373</v>
      </c>
      <c r="C159" s="873">
        <v>17236632</v>
      </c>
      <c r="D159" s="874">
        <v>16251303</v>
      </c>
      <c r="E159" s="874">
        <v>0</v>
      </c>
      <c r="F159" s="874">
        <v>1748</v>
      </c>
      <c r="G159" s="874">
        <v>0</v>
      </c>
      <c r="H159" s="874">
        <v>1685485</v>
      </c>
      <c r="I159" s="877">
        <f t="shared" si="6"/>
        <v>1687233</v>
      </c>
      <c r="J159" s="874"/>
      <c r="K159" s="874">
        <v>1111336</v>
      </c>
      <c r="L159" s="874">
        <v>0</v>
      </c>
      <c r="M159" s="874">
        <v>7040440</v>
      </c>
      <c r="N159" s="874">
        <v>794464</v>
      </c>
      <c r="O159" s="877">
        <f t="shared" si="7"/>
        <v>8946240</v>
      </c>
      <c r="P159" s="874"/>
      <c r="Q159" s="877">
        <f t="shared" si="8"/>
        <v>-219836</v>
      </c>
      <c r="R159" s="874">
        <v>138478</v>
      </c>
      <c r="S159" s="874">
        <v>-81358</v>
      </c>
      <c r="T159" s="878"/>
      <c r="U159" s="878"/>
      <c r="V159" s="878"/>
      <c r="W159" s="878"/>
      <c r="X159" s="878"/>
      <c r="Y159" s="878"/>
      <c r="Z159" s="878"/>
      <c r="AA159" s="878"/>
      <c r="AB159" s="879"/>
      <c r="AC159" s="879"/>
      <c r="AD159" s="879"/>
      <c r="AE159" s="879"/>
      <c r="AF159" s="879"/>
      <c r="AG159" s="879"/>
      <c r="AH159" s="879"/>
      <c r="AI159" s="879"/>
    </row>
    <row r="160" spans="1:35" x14ac:dyDescent="0.25">
      <c r="A160" s="876">
        <v>34600</v>
      </c>
      <c r="B160" s="873" t="s">
        <v>1374</v>
      </c>
      <c r="C160" s="873">
        <v>34897842</v>
      </c>
      <c r="D160" s="874">
        <v>29462825</v>
      </c>
      <c r="E160" s="874">
        <v>0</v>
      </c>
      <c r="F160" s="874">
        <v>3169</v>
      </c>
      <c r="G160" s="874">
        <v>0</v>
      </c>
      <c r="H160" s="874">
        <v>191388</v>
      </c>
      <c r="I160" s="877">
        <f t="shared" si="6"/>
        <v>194557</v>
      </c>
      <c r="J160" s="874"/>
      <c r="K160" s="874">
        <v>2014798</v>
      </c>
      <c r="L160" s="874">
        <v>0</v>
      </c>
      <c r="M160" s="874">
        <v>12763976</v>
      </c>
      <c r="N160" s="874">
        <v>1074055</v>
      </c>
      <c r="O160" s="877">
        <f t="shared" si="7"/>
        <v>15852829</v>
      </c>
      <c r="P160" s="874"/>
      <c r="Q160" s="877">
        <f t="shared" si="8"/>
        <v>-398551</v>
      </c>
      <c r="R160" s="874">
        <v>-166960</v>
      </c>
      <c r="S160" s="874">
        <v>-565511</v>
      </c>
      <c r="T160" s="878"/>
      <c r="U160" s="878"/>
      <c r="V160" s="878"/>
      <c r="W160" s="878"/>
      <c r="X160" s="878"/>
      <c r="Y160" s="878"/>
      <c r="Z160" s="878"/>
      <c r="AA160" s="878"/>
      <c r="AB160" s="879"/>
      <c r="AC160" s="879"/>
      <c r="AD160" s="879"/>
      <c r="AE160" s="879"/>
      <c r="AF160" s="879"/>
      <c r="AG160" s="879"/>
      <c r="AH160" s="879"/>
      <c r="AI160" s="879"/>
    </row>
    <row r="161" spans="1:35" x14ac:dyDescent="0.25">
      <c r="A161" s="876">
        <v>34605</v>
      </c>
      <c r="B161" s="873" t="s">
        <v>1375</v>
      </c>
      <c r="C161" s="873">
        <v>7453292</v>
      </c>
      <c r="D161" s="874">
        <v>6021387</v>
      </c>
      <c r="E161" s="874">
        <v>0</v>
      </c>
      <c r="F161" s="874">
        <v>648</v>
      </c>
      <c r="G161" s="874">
        <v>0</v>
      </c>
      <c r="H161" s="874">
        <v>0</v>
      </c>
      <c r="I161" s="877">
        <f t="shared" si="6"/>
        <v>648</v>
      </c>
      <c r="J161" s="874"/>
      <c r="K161" s="874">
        <v>411769</v>
      </c>
      <c r="L161" s="874">
        <v>0</v>
      </c>
      <c r="M161" s="874">
        <v>2608604</v>
      </c>
      <c r="N161" s="874">
        <v>1167426</v>
      </c>
      <c r="O161" s="877">
        <f t="shared" si="7"/>
        <v>4187799</v>
      </c>
      <c r="P161" s="874"/>
      <c r="Q161" s="877">
        <f t="shared" si="8"/>
        <v>-81453</v>
      </c>
      <c r="R161" s="874">
        <v>-262713</v>
      </c>
      <c r="S161" s="874">
        <v>-344166</v>
      </c>
      <c r="T161" s="878"/>
      <c r="U161" s="878"/>
      <c r="V161" s="878"/>
      <c r="W161" s="878"/>
      <c r="X161" s="878"/>
      <c r="Y161" s="878"/>
      <c r="Z161" s="878"/>
      <c r="AA161" s="878"/>
      <c r="AB161" s="879"/>
      <c r="AC161" s="879"/>
      <c r="AD161" s="879"/>
      <c r="AE161" s="879"/>
      <c r="AF161" s="879"/>
      <c r="AG161" s="879"/>
      <c r="AH161" s="879"/>
      <c r="AI161" s="879"/>
    </row>
    <row r="162" spans="1:35" x14ac:dyDescent="0.25">
      <c r="A162" s="876">
        <v>34700</v>
      </c>
      <c r="B162" s="873" t="s">
        <v>1376</v>
      </c>
      <c r="C162" s="873">
        <v>98246008</v>
      </c>
      <c r="D162" s="874">
        <v>85058974</v>
      </c>
      <c r="E162" s="874">
        <v>0</v>
      </c>
      <c r="F162" s="874">
        <v>9148</v>
      </c>
      <c r="G162" s="874">
        <v>0</v>
      </c>
      <c r="H162" s="874">
        <v>1102368</v>
      </c>
      <c r="I162" s="877">
        <f t="shared" si="6"/>
        <v>1111516</v>
      </c>
      <c r="J162" s="874"/>
      <c r="K162" s="874">
        <v>5816708</v>
      </c>
      <c r="L162" s="874">
        <v>0</v>
      </c>
      <c r="M162" s="874">
        <v>36849511</v>
      </c>
      <c r="N162" s="874">
        <v>725770</v>
      </c>
      <c r="O162" s="877">
        <f t="shared" si="7"/>
        <v>43391989</v>
      </c>
      <c r="P162" s="874"/>
      <c r="Q162" s="877">
        <f t="shared" si="8"/>
        <v>-1150614</v>
      </c>
      <c r="R162" s="874">
        <v>130441</v>
      </c>
      <c r="S162" s="874">
        <v>-1020173</v>
      </c>
      <c r="T162" s="878"/>
      <c r="U162" s="878"/>
      <c r="V162" s="878"/>
      <c r="W162" s="878"/>
      <c r="X162" s="878"/>
      <c r="Y162" s="878"/>
      <c r="Z162" s="878"/>
      <c r="AA162" s="878"/>
      <c r="AB162" s="879"/>
      <c r="AC162" s="879"/>
      <c r="AD162" s="879"/>
      <c r="AE162" s="879"/>
      <c r="AF162" s="879"/>
      <c r="AG162" s="879"/>
      <c r="AH162" s="879"/>
      <c r="AI162" s="879"/>
    </row>
    <row r="163" spans="1:35" x14ac:dyDescent="0.25">
      <c r="A163" s="876">
        <v>34800</v>
      </c>
      <c r="B163" s="873" t="s">
        <v>1377</v>
      </c>
      <c r="C163" s="873">
        <v>10908167</v>
      </c>
      <c r="D163" s="874">
        <v>9534109</v>
      </c>
      <c r="E163" s="874">
        <v>0</v>
      </c>
      <c r="F163" s="874">
        <v>1025</v>
      </c>
      <c r="G163" s="874">
        <v>0</v>
      </c>
      <c r="H163" s="874">
        <v>976125</v>
      </c>
      <c r="I163" s="877">
        <f t="shared" si="6"/>
        <v>977150</v>
      </c>
      <c r="J163" s="874"/>
      <c r="K163" s="874">
        <v>651984</v>
      </c>
      <c r="L163" s="874">
        <v>0</v>
      </c>
      <c r="M163" s="874">
        <v>4130396</v>
      </c>
      <c r="N163" s="874">
        <v>0</v>
      </c>
      <c r="O163" s="877">
        <f t="shared" si="7"/>
        <v>4782380</v>
      </c>
      <c r="P163" s="874"/>
      <c r="Q163" s="877">
        <f t="shared" si="8"/>
        <v>-128970</v>
      </c>
      <c r="R163" s="874">
        <v>240392</v>
      </c>
      <c r="S163" s="874">
        <v>111422</v>
      </c>
      <c r="T163" s="878"/>
      <c r="U163" s="878"/>
      <c r="V163" s="878"/>
      <c r="W163" s="878"/>
      <c r="X163" s="878"/>
      <c r="Y163" s="878"/>
      <c r="Z163" s="878"/>
      <c r="AA163" s="878"/>
      <c r="AB163" s="879"/>
      <c r="AC163" s="879"/>
      <c r="AD163" s="879"/>
      <c r="AE163" s="879"/>
      <c r="AF163" s="879"/>
      <c r="AG163" s="879"/>
      <c r="AH163" s="879"/>
      <c r="AI163" s="879"/>
    </row>
    <row r="164" spans="1:35" x14ac:dyDescent="0.25">
      <c r="A164" s="876">
        <v>34900</v>
      </c>
      <c r="B164" s="873" t="s">
        <v>1378</v>
      </c>
      <c r="C164" s="873">
        <v>217402149</v>
      </c>
      <c r="D164" s="874">
        <v>183323701</v>
      </c>
      <c r="E164" s="874">
        <v>0</v>
      </c>
      <c r="F164" s="874">
        <v>19716</v>
      </c>
      <c r="G164" s="874">
        <v>0</v>
      </c>
      <c r="H164" s="874">
        <v>5692672</v>
      </c>
      <c r="I164" s="877">
        <f t="shared" si="6"/>
        <v>5712388</v>
      </c>
      <c r="J164" s="874"/>
      <c r="K164" s="874">
        <v>12536483</v>
      </c>
      <c r="L164" s="874">
        <v>0</v>
      </c>
      <c r="M164" s="874">
        <v>79420060</v>
      </c>
      <c r="N164" s="874">
        <v>7409055</v>
      </c>
      <c r="O164" s="877">
        <f t="shared" si="7"/>
        <v>99365598</v>
      </c>
      <c r="P164" s="874"/>
      <c r="Q164" s="877">
        <f t="shared" si="8"/>
        <v>-2479866</v>
      </c>
      <c r="R164" s="874">
        <v>-58643</v>
      </c>
      <c r="S164" s="874">
        <v>-2538509</v>
      </c>
      <c r="T164" s="878"/>
      <c r="U164" s="878"/>
      <c r="V164" s="878"/>
      <c r="W164" s="878"/>
      <c r="X164" s="878"/>
      <c r="Y164" s="878"/>
      <c r="Z164" s="878"/>
      <c r="AA164" s="878"/>
      <c r="AB164" s="879"/>
      <c r="AC164" s="879"/>
      <c r="AD164" s="879"/>
      <c r="AE164" s="879"/>
      <c r="AF164" s="879"/>
      <c r="AG164" s="879"/>
      <c r="AH164" s="879"/>
      <c r="AI164" s="879"/>
    </row>
    <row r="165" spans="1:35" x14ac:dyDescent="0.25">
      <c r="A165" s="876">
        <v>34901</v>
      </c>
      <c r="B165" s="873" t="s">
        <v>1379</v>
      </c>
      <c r="C165" s="873">
        <v>5693757</v>
      </c>
      <c r="D165" s="874">
        <v>4757132</v>
      </c>
      <c r="E165" s="874">
        <v>0</v>
      </c>
      <c r="F165" s="874">
        <v>512</v>
      </c>
      <c r="G165" s="874">
        <v>0</v>
      </c>
      <c r="H165" s="874">
        <v>258444</v>
      </c>
      <c r="I165" s="877">
        <f t="shared" si="6"/>
        <v>258956</v>
      </c>
      <c r="J165" s="874"/>
      <c r="K165" s="874">
        <v>325314</v>
      </c>
      <c r="L165" s="874">
        <v>0</v>
      </c>
      <c r="M165" s="874">
        <v>2060900</v>
      </c>
      <c r="N165" s="874">
        <v>268710</v>
      </c>
      <c r="O165" s="877">
        <f t="shared" si="7"/>
        <v>2654924</v>
      </c>
      <c r="P165" s="874"/>
      <c r="Q165" s="877">
        <f t="shared" si="8"/>
        <v>-64351</v>
      </c>
      <c r="R165" s="874">
        <v>10872</v>
      </c>
      <c r="S165" s="874">
        <v>-53479</v>
      </c>
      <c r="T165" s="878"/>
      <c r="U165" s="878"/>
      <c r="V165" s="878"/>
      <c r="W165" s="878"/>
      <c r="X165" s="878"/>
      <c r="Y165" s="878"/>
      <c r="Z165" s="878"/>
      <c r="AA165" s="878"/>
      <c r="AB165" s="879"/>
      <c r="AC165" s="879"/>
      <c r="AD165" s="879"/>
      <c r="AE165" s="879"/>
      <c r="AF165" s="879"/>
      <c r="AG165" s="879"/>
      <c r="AH165" s="879"/>
      <c r="AI165" s="879"/>
    </row>
    <row r="166" spans="1:35" x14ac:dyDescent="0.25">
      <c r="A166" s="876">
        <v>34903</v>
      </c>
      <c r="B166" s="873" t="s">
        <v>1380</v>
      </c>
      <c r="C166" s="873">
        <v>343966</v>
      </c>
      <c r="D166" s="874">
        <v>247134</v>
      </c>
      <c r="E166" s="874">
        <v>0</v>
      </c>
      <c r="F166" s="874">
        <v>27</v>
      </c>
      <c r="G166" s="874">
        <v>0</v>
      </c>
      <c r="H166" s="874">
        <v>9552</v>
      </c>
      <c r="I166" s="877">
        <f t="shared" si="6"/>
        <v>9579</v>
      </c>
      <c r="J166" s="874"/>
      <c r="K166" s="874">
        <v>16900</v>
      </c>
      <c r="L166" s="874">
        <v>0</v>
      </c>
      <c r="M166" s="874">
        <v>107064</v>
      </c>
      <c r="N166" s="874">
        <v>62155</v>
      </c>
      <c r="O166" s="877">
        <f t="shared" si="7"/>
        <v>186119</v>
      </c>
      <c r="P166" s="874"/>
      <c r="Q166" s="877">
        <f t="shared" si="8"/>
        <v>-3343</v>
      </c>
      <c r="R166" s="874">
        <v>-10046</v>
      </c>
      <c r="S166" s="874">
        <v>-13389</v>
      </c>
      <c r="T166" s="878"/>
      <c r="U166" s="878"/>
      <c r="V166" s="878"/>
      <c r="W166" s="878"/>
      <c r="X166" s="878"/>
      <c r="Y166" s="878"/>
      <c r="Z166" s="878"/>
      <c r="AA166" s="878"/>
      <c r="AB166" s="879"/>
      <c r="AC166" s="879"/>
      <c r="AD166" s="879"/>
      <c r="AE166" s="879"/>
      <c r="AF166" s="879"/>
      <c r="AG166" s="879"/>
      <c r="AH166" s="879"/>
      <c r="AI166" s="879"/>
    </row>
    <row r="167" spans="1:35" x14ac:dyDescent="0.25">
      <c r="A167" s="876">
        <v>34905</v>
      </c>
      <c r="B167" s="873" t="s">
        <v>1381</v>
      </c>
      <c r="C167" s="873">
        <v>19446808</v>
      </c>
      <c r="D167" s="874">
        <v>17005945</v>
      </c>
      <c r="E167" s="874">
        <v>0</v>
      </c>
      <c r="F167" s="874">
        <v>1829</v>
      </c>
      <c r="G167" s="874">
        <v>0</v>
      </c>
      <c r="H167" s="874">
        <v>156980</v>
      </c>
      <c r="I167" s="877">
        <f t="shared" si="6"/>
        <v>158809</v>
      </c>
      <c r="J167" s="874"/>
      <c r="K167" s="874">
        <v>1162941</v>
      </c>
      <c r="L167" s="874">
        <v>0</v>
      </c>
      <c r="M167" s="874">
        <v>7367368</v>
      </c>
      <c r="N167" s="874">
        <v>1528016</v>
      </c>
      <c r="O167" s="877">
        <f t="shared" si="7"/>
        <v>10058325</v>
      </c>
      <c r="P167" s="874"/>
      <c r="Q167" s="877">
        <f t="shared" si="8"/>
        <v>-230044</v>
      </c>
      <c r="R167" s="874">
        <v>-350609</v>
      </c>
      <c r="S167" s="874">
        <v>-580653</v>
      </c>
      <c r="T167" s="878"/>
      <c r="U167" s="878"/>
      <c r="V167" s="878"/>
      <c r="W167" s="878"/>
      <c r="X167" s="878"/>
      <c r="Y167" s="878"/>
      <c r="Z167" s="878"/>
      <c r="AA167" s="878"/>
      <c r="AB167" s="879"/>
      <c r="AC167" s="879"/>
      <c r="AD167" s="879"/>
      <c r="AE167" s="879"/>
      <c r="AF167" s="879"/>
      <c r="AG167" s="879"/>
      <c r="AH167" s="879"/>
      <c r="AI167" s="879"/>
    </row>
    <row r="168" spans="1:35" x14ac:dyDescent="0.25">
      <c r="A168" s="876">
        <v>34910</v>
      </c>
      <c r="B168" s="873" t="s">
        <v>1382</v>
      </c>
      <c r="C168" s="873">
        <v>67882513</v>
      </c>
      <c r="D168" s="874">
        <v>58138075</v>
      </c>
      <c r="E168" s="874">
        <v>0</v>
      </c>
      <c r="F168" s="874">
        <v>6252</v>
      </c>
      <c r="G168" s="874">
        <v>0</v>
      </c>
      <c r="H168" s="874">
        <v>1180988</v>
      </c>
      <c r="I168" s="877">
        <f t="shared" si="6"/>
        <v>1187240</v>
      </c>
      <c r="J168" s="874"/>
      <c r="K168" s="874">
        <v>3975738</v>
      </c>
      <c r="L168" s="874">
        <v>0</v>
      </c>
      <c r="M168" s="874">
        <v>25186757</v>
      </c>
      <c r="N168" s="874">
        <v>1228580</v>
      </c>
      <c r="O168" s="877">
        <f t="shared" si="7"/>
        <v>30391075</v>
      </c>
      <c r="P168" s="874"/>
      <c r="Q168" s="877">
        <f t="shared" si="8"/>
        <v>-786449</v>
      </c>
      <c r="R168" s="874">
        <v>49532</v>
      </c>
      <c r="S168" s="874">
        <v>-736917</v>
      </c>
      <c r="T168" s="878"/>
      <c r="U168" s="878"/>
      <c r="V168" s="878"/>
      <c r="W168" s="878"/>
      <c r="X168" s="878"/>
      <c r="Y168" s="878"/>
      <c r="Z168" s="878"/>
      <c r="AA168" s="878"/>
      <c r="AB168" s="879"/>
      <c r="AC168" s="879"/>
      <c r="AD168" s="879"/>
      <c r="AE168" s="879"/>
      <c r="AF168" s="879"/>
      <c r="AG168" s="879"/>
      <c r="AH168" s="879"/>
      <c r="AI168" s="879"/>
    </row>
    <row r="169" spans="1:35" x14ac:dyDescent="0.25">
      <c r="A169" s="876">
        <v>35000</v>
      </c>
      <c r="B169" s="873" t="s">
        <v>1383</v>
      </c>
      <c r="C169" s="873">
        <v>44635464</v>
      </c>
      <c r="D169" s="874">
        <v>38087756</v>
      </c>
      <c r="E169" s="874">
        <v>0</v>
      </c>
      <c r="F169" s="874">
        <v>4096</v>
      </c>
      <c r="G169" s="874">
        <v>0</v>
      </c>
      <c r="H169" s="874">
        <v>1674556</v>
      </c>
      <c r="I169" s="877">
        <f t="shared" si="6"/>
        <v>1678652</v>
      </c>
      <c r="J169" s="874"/>
      <c r="K169" s="874">
        <v>2604609</v>
      </c>
      <c r="L169" s="874">
        <v>0</v>
      </c>
      <c r="M169" s="874">
        <v>16500495</v>
      </c>
      <c r="N169" s="874">
        <v>972930</v>
      </c>
      <c r="O169" s="877">
        <f t="shared" si="7"/>
        <v>20078034</v>
      </c>
      <c r="P169" s="874"/>
      <c r="Q169" s="877">
        <f t="shared" si="8"/>
        <v>-515223</v>
      </c>
      <c r="R169" s="874">
        <v>224054</v>
      </c>
      <c r="S169" s="874">
        <v>-291169</v>
      </c>
      <c r="T169" s="878"/>
      <c r="U169" s="878"/>
      <c r="V169" s="878"/>
      <c r="W169" s="878"/>
      <c r="X169" s="878"/>
      <c r="Y169" s="878"/>
      <c r="Z169" s="878"/>
      <c r="AA169" s="878"/>
      <c r="AB169" s="879"/>
      <c r="AC169" s="879"/>
      <c r="AD169" s="879"/>
      <c r="AE169" s="879"/>
      <c r="AF169" s="879"/>
      <c r="AG169" s="879"/>
      <c r="AH169" s="879"/>
      <c r="AI169" s="879"/>
    </row>
    <row r="170" spans="1:35" x14ac:dyDescent="0.25">
      <c r="A170" s="876">
        <v>35005</v>
      </c>
      <c r="B170" s="873" t="s">
        <v>1384</v>
      </c>
      <c r="C170" s="873">
        <v>19180331</v>
      </c>
      <c r="D170" s="874">
        <v>17095884</v>
      </c>
      <c r="E170" s="874">
        <v>0</v>
      </c>
      <c r="F170" s="874">
        <v>1839</v>
      </c>
      <c r="G170" s="874">
        <v>0</v>
      </c>
      <c r="H170" s="874">
        <v>573135</v>
      </c>
      <c r="I170" s="877">
        <f t="shared" si="6"/>
        <v>574974</v>
      </c>
      <c r="J170" s="874"/>
      <c r="K170" s="874">
        <v>1169092</v>
      </c>
      <c r="L170" s="874">
        <v>0</v>
      </c>
      <c r="M170" s="874">
        <v>7406331</v>
      </c>
      <c r="N170" s="874">
        <v>791972</v>
      </c>
      <c r="O170" s="877">
        <f t="shared" si="7"/>
        <v>9367395</v>
      </c>
      <c r="P170" s="874"/>
      <c r="Q170" s="877">
        <f t="shared" si="8"/>
        <v>-231260</v>
      </c>
      <c r="R170" s="874">
        <v>-83366</v>
      </c>
      <c r="S170" s="874">
        <v>-314626</v>
      </c>
      <c r="T170" s="878"/>
      <c r="U170" s="878"/>
      <c r="V170" s="878"/>
      <c r="W170" s="878"/>
      <c r="X170" s="878"/>
      <c r="Y170" s="878"/>
      <c r="Z170" s="878"/>
      <c r="AA170" s="878"/>
      <c r="AB170" s="879"/>
      <c r="AC170" s="879"/>
      <c r="AD170" s="879"/>
      <c r="AE170" s="879"/>
      <c r="AF170" s="879"/>
      <c r="AG170" s="879"/>
      <c r="AH170" s="879"/>
      <c r="AI170" s="879"/>
    </row>
    <row r="171" spans="1:35" x14ac:dyDescent="0.25">
      <c r="A171" s="876">
        <v>35100</v>
      </c>
      <c r="B171" s="873" t="s">
        <v>1385</v>
      </c>
      <c r="C171" s="873">
        <v>396255480</v>
      </c>
      <c r="D171" s="874">
        <v>343708409</v>
      </c>
      <c r="E171" s="874">
        <v>0</v>
      </c>
      <c r="F171" s="874">
        <v>36964</v>
      </c>
      <c r="G171" s="874">
        <v>0</v>
      </c>
      <c r="H171" s="874">
        <v>18616688</v>
      </c>
      <c r="I171" s="877">
        <f t="shared" si="6"/>
        <v>18653652</v>
      </c>
      <c r="J171" s="874"/>
      <c r="K171" s="874">
        <v>23504297</v>
      </c>
      <c r="L171" s="874">
        <v>0</v>
      </c>
      <c r="M171" s="874">
        <v>148902418</v>
      </c>
      <c r="N171" s="874">
        <v>1761450</v>
      </c>
      <c r="O171" s="877">
        <f t="shared" si="7"/>
        <v>174168165</v>
      </c>
      <c r="P171" s="874"/>
      <c r="Q171" s="877">
        <f t="shared" si="8"/>
        <v>-4649431</v>
      </c>
      <c r="R171" s="874">
        <v>4301881</v>
      </c>
      <c r="S171" s="874">
        <v>-347550</v>
      </c>
      <c r="T171" s="878"/>
      <c r="U171" s="878"/>
      <c r="V171" s="878"/>
      <c r="W171" s="878"/>
      <c r="X171" s="878"/>
      <c r="Y171" s="878"/>
      <c r="Z171" s="878"/>
      <c r="AA171" s="878"/>
      <c r="AB171" s="879"/>
      <c r="AC171" s="879"/>
      <c r="AD171" s="879"/>
      <c r="AE171" s="879"/>
      <c r="AF171" s="879"/>
      <c r="AG171" s="879"/>
      <c r="AH171" s="879"/>
      <c r="AI171" s="879"/>
    </row>
    <row r="172" spans="1:35" x14ac:dyDescent="0.25">
      <c r="A172" s="876">
        <v>35105</v>
      </c>
      <c r="B172" s="873" t="s">
        <v>1386</v>
      </c>
      <c r="C172" s="873">
        <v>32385407</v>
      </c>
      <c r="D172" s="874">
        <v>28788040</v>
      </c>
      <c r="E172" s="874">
        <v>0</v>
      </c>
      <c r="F172" s="874">
        <v>3096</v>
      </c>
      <c r="G172" s="874">
        <v>0</v>
      </c>
      <c r="H172" s="874">
        <v>819635</v>
      </c>
      <c r="I172" s="877">
        <f t="shared" si="6"/>
        <v>822731</v>
      </c>
      <c r="J172" s="874"/>
      <c r="K172" s="874">
        <v>1968653</v>
      </c>
      <c r="L172" s="874">
        <v>0</v>
      </c>
      <c r="M172" s="874">
        <v>12471644</v>
      </c>
      <c r="N172" s="874">
        <v>2166220</v>
      </c>
      <c r="O172" s="877">
        <f t="shared" si="7"/>
        <v>16606517</v>
      </c>
      <c r="P172" s="874"/>
      <c r="Q172" s="877">
        <f t="shared" si="8"/>
        <v>-389423</v>
      </c>
      <c r="R172" s="874">
        <v>-377630</v>
      </c>
      <c r="S172" s="874">
        <v>-767053</v>
      </c>
      <c r="T172" s="878"/>
      <c r="U172" s="878"/>
      <c r="V172" s="878"/>
      <c r="W172" s="878"/>
      <c r="X172" s="878"/>
      <c r="Y172" s="878"/>
      <c r="Z172" s="878"/>
      <c r="AA172" s="878"/>
      <c r="AB172" s="879"/>
      <c r="AC172" s="879"/>
      <c r="AD172" s="879"/>
      <c r="AE172" s="879"/>
      <c r="AF172" s="879"/>
      <c r="AG172" s="879"/>
      <c r="AH172" s="879"/>
      <c r="AI172" s="879"/>
    </row>
    <row r="173" spans="1:35" x14ac:dyDescent="0.25">
      <c r="A173" s="876">
        <v>35106</v>
      </c>
      <c r="B173" s="873" t="s">
        <v>1387</v>
      </c>
      <c r="C173" s="873">
        <v>8870821</v>
      </c>
      <c r="D173" s="874">
        <v>7517880</v>
      </c>
      <c r="E173" s="874">
        <v>0</v>
      </c>
      <c r="F173" s="874">
        <v>809</v>
      </c>
      <c r="G173" s="874">
        <v>0</v>
      </c>
      <c r="H173" s="874">
        <v>86140</v>
      </c>
      <c r="I173" s="877">
        <f t="shared" si="6"/>
        <v>86949</v>
      </c>
      <c r="J173" s="874"/>
      <c r="K173" s="874">
        <v>514106</v>
      </c>
      <c r="L173" s="874">
        <v>0</v>
      </c>
      <c r="M173" s="874">
        <v>3256919</v>
      </c>
      <c r="N173" s="874">
        <v>289995</v>
      </c>
      <c r="O173" s="877">
        <f t="shared" si="7"/>
        <v>4061020</v>
      </c>
      <c r="P173" s="874"/>
      <c r="Q173" s="877">
        <f t="shared" si="8"/>
        <v>-101696</v>
      </c>
      <c r="R173" s="874">
        <v>-36465</v>
      </c>
      <c r="S173" s="874">
        <v>-138161</v>
      </c>
      <c r="T173" s="878"/>
      <c r="U173" s="878"/>
      <c r="V173" s="878"/>
      <c r="W173" s="878"/>
      <c r="X173" s="878"/>
      <c r="Y173" s="878"/>
      <c r="Z173" s="878"/>
      <c r="AA173" s="878"/>
      <c r="AB173" s="879"/>
      <c r="AC173" s="879"/>
      <c r="AD173" s="879"/>
      <c r="AE173" s="879"/>
      <c r="AF173" s="879"/>
      <c r="AG173" s="879"/>
      <c r="AH173" s="879"/>
      <c r="AI173" s="879"/>
    </row>
    <row r="174" spans="1:35" x14ac:dyDescent="0.25">
      <c r="A174" s="876">
        <v>35200</v>
      </c>
      <c r="B174" s="873" t="s">
        <v>1388</v>
      </c>
      <c r="C174" s="873">
        <v>16532303</v>
      </c>
      <c r="D174" s="874">
        <v>14066274</v>
      </c>
      <c r="E174" s="874">
        <v>0</v>
      </c>
      <c r="F174" s="874">
        <v>1513</v>
      </c>
      <c r="G174" s="874">
        <v>0</v>
      </c>
      <c r="H174" s="874">
        <v>406364</v>
      </c>
      <c r="I174" s="877">
        <f t="shared" si="6"/>
        <v>407877</v>
      </c>
      <c r="J174" s="874"/>
      <c r="K174" s="874">
        <v>961914</v>
      </c>
      <c r="L174" s="874">
        <v>0</v>
      </c>
      <c r="M174" s="874">
        <v>6093835</v>
      </c>
      <c r="N174" s="874">
        <v>365910</v>
      </c>
      <c r="O174" s="877">
        <f t="shared" si="7"/>
        <v>7421659</v>
      </c>
      <c r="P174" s="874"/>
      <c r="Q174" s="877">
        <f t="shared" si="8"/>
        <v>-190278</v>
      </c>
      <c r="R174" s="874">
        <v>28411</v>
      </c>
      <c r="S174" s="874">
        <v>-161867</v>
      </c>
      <c r="T174" s="878"/>
      <c r="U174" s="878"/>
      <c r="V174" s="878"/>
      <c r="W174" s="878"/>
      <c r="X174" s="878"/>
      <c r="Y174" s="878"/>
      <c r="Z174" s="878"/>
      <c r="AA174" s="878"/>
      <c r="AB174" s="879"/>
      <c r="AC174" s="879"/>
      <c r="AD174" s="879"/>
      <c r="AE174" s="879"/>
      <c r="AF174" s="879"/>
      <c r="AG174" s="879"/>
      <c r="AH174" s="879"/>
      <c r="AI174" s="879"/>
    </row>
    <row r="175" spans="1:35" x14ac:dyDescent="0.25">
      <c r="A175" s="876">
        <v>35300</v>
      </c>
      <c r="B175" s="873" t="s">
        <v>1389</v>
      </c>
      <c r="C175" s="873">
        <v>119790962</v>
      </c>
      <c r="D175" s="874">
        <v>105851521</v>
      </c>
      <c r="E175" s="874">
        <v>0</v>
      </c>
      <c r="F175" s="874">
        <v>11384</v>
      </c>
      <c r="G175" s="874">
        <v>0</v>
      </c>
      <c r="H175" s="874">
        <v>10590766</v>
      </c>
      <c r="I175" s="877">
        <f t="shared" si="6"/>
        <v>10602150</v>
      </c>
      <c r="J175" s="874"/>
      <c r="K175" s="874">
        <v>7238594</v>
      </c>
      <c r="L175" s="874">
        <v>0</v>
      </c>
      <c r="M175" s="874">
        <v>45857322</v>
      </c>
      <c r="N175" s="874">
        <v>0</v>
      </c>
      <c r="O175" s="877">
        <f t="shared" si="7"/>
        <v>53095916</v>
      </c>
      <c r="P175" s="874"/>
      <c r="Q175" s="877">
        <f t="shared" si="8"/>
        <v>-1431881</v>
      </c>
      <c r="R175" s="874">
        <v>2553022</v>
      </c>
      <c r="S175" s="874">
        <v>1121141</v>
      </c>
      <c r="T175" s="878"/>
      <c r="U175" s="878"/>
      <c r="V175" s="878"/>
      <c r="W175" s="878"/>
      <c r="X175" s="878"/>
      <c r="Y175" s="878"/>
      <c r="Z175" s="878"/>
      <c r="AA175" s="878"/>
      <c r="AB175" s="879"/>
      <c r="AC175" s="879"/>
      <c r="AD175" s="879"/>
      <c r="AE175" s="879"/>
      <c r="AF175" s="879"/>
      <c r="AG175" s="879"/>
      <c r="AH175" s="879"/>
      <c r="AI175" s="879"/>
    </row>
    <row r="176" spans="1:35" x14ac:dyDescent="0.25">
      <c r="A176" s="876">
        <v>35305</v>
      </c>
      <c r="B176" s="873" t="s">
        <v>1390</v>
      </c>
      <c r="C176" s="873">
        <v>39998236</v>
      </c>
      <c r="D176" s="874">
        <v>35811349</v>
      </c>
      <c r="E176" s="874">
        <v>0</v>
      </c>
      <c r="F176" s="874">
        <v>3851</v>
      </c>
      <c r="G176" s="874">
        <v>0</v>
      </c>
      <c r="H176" s="874">
        <v>1391685</v>
      </c>
      <c r="I176" s="877">
        <f t="shared" si="6"/>
        <v>1395536</v>
      </c>
      <c r="J176" s="874"/>
      <c r="K176" s="874">
        <v>2448938</v>
      </c>
      <c r="L176" s="874">
        <v>0</v>
      </c>
      <c r="M176" s="874">
        <v>15514303</v>
      </c>
      <c r="N176" s="874">
        <v>1122380</v>
      </c>
      <c r="O176" s="877">
        <f t="shared" si="7"/>
        <v>19085621</v>
      </c>
      <c r="P176" s="874"/>
      <c r="Q176" s="877">
        <f t="shared" si="8"/>
        <v>-484429</v>
      </c>
      <c r="R176" s="874">
        <v>-2261</v>
      </c>
      <c r="S176" s="874">
        <v>-486690</v>
      </c>
      <c r="T176" s="878"/>
      <c r="U176" s="878"/>
      <c r="V176" s="878"/>
      <c r="W176" s="878"/>
      <c r="X176" s="878"/>
      <c r="Y176" s="878"/>
      <c r="Z176" s="878"/>
      <c r="AA176" s="878"/>
      <c r="AB176" s="879"/>
      <c r="AC176" s="879"/>
      <c r="AD176" s="879"/>
      <c r="AE176" s="879"/>
      <c r="AF176" s="879"/>
      <c r="AG176" s="879"/>
      <c r="AH176" s="879"/>
      <c r="AI176" s="879"/>
    </row>
    <row r="177" spans="1:35" x14ac:dyDescent="0.25">
      <c r="A177" s="876">
        <v>35400</v>
      </c>
      <c r="B177" s="873" t="s">
        <v>1391</v>
      </c>
      <c r="C177" s="873">
        <v>88553112</v>
      </c>
      <c r="D177" s="874">
        <v>75163137</v>
      </c>
      <c r="E177" s="874">
        <v>0</v>
      </c>
      <c r="F177" s="874">
        <v>8083</v>
      </c>
      <c r="G177" s="874">
        <v>0</v>
      </c>
      <c r="H177" s="874">
        <v>661152</v>
      </c>
      <c r="I177" s="877">
        <f t="shared" si="6"/>
        <v>669235</v>
      </c>
      <c r="J177" s="874"/>
      <c r="K177" s="874">
        <v>5139987</v>
      </c>
      <c r="L177" s="874">
        <v>0</v>
      </c>
      <c r="M177" s="874">
        <v>32562406</v>
      </c>
      <c r="N177" s="874">
        <v>2350500</v>
      </c>
      <c r="O177" s="877">
        <f t="shared" si="7"/>
        <v>40052893</v>
      </c>
      <c r="P177" s="874"/>
      <c r="Q177" s="877">
        <f t="shared" si="8"/>
        <v>-1016751</v>
      </c>
      <c r="R177" s="874">
        <v>-304808</v>
      </c>
      <c r="S177" s="874">
        <v>-1321559</v>
      </c>
      <c r="T177" s="878"/>
      <c r="U177" s="878"/>
      <c r="V177" s="878"/>
      <c r="W177" s="878"/>
      <c r="X177" s="878"/>
      <c r="Y177" s="878"/>
      <c r="Z177" s="878"/>
      <c r="AA177" s="878"/>
      <c r="AB177" s="879"/>
      <c r="AC177" s="879"/>
      <c r="AD177" s="879"/>
      <c r="AE177" s="879"/>
      <c r="AF177" s="879"/>
      <c r="AG177" s="879"/>
      <c r="AH177" s="879"/>
      <c r="AI177" s="879"/>
    </row>
    <row r="178" spans="1:35" x14ac:dyDescent="0.25">
      <c r="A178" s="876">
        <v>35401</v>
      </c>
      <c r="B178" s="873" t="s">
        <v>1392</v>
      </c>
      <c r="C178" s="873">
        <v>1088886</v>
      </c>
      <c r="D178" s="874">
        <v>799326</v>
      </c>
      <c r="E178" s="874">
        <v>0</v>
      </c>
      <c r="F178" s="874">
        <v>86</v>
      </c>
      <c r="G178" s="874">
        <v>0</v>
      </c>
      <c r="H178" s="874">
        <v>244772</v>
      </c>
      <c r="I178" s="877">
        <f t="shared" si="6"/>
        <v>244858</v>
      </c>
      <c r="J178" s="874"/>
      <c r="K178" s="874">
        <v>54661</v>
      </c>
      <c r="L178" s="874">
        <v>0</v>
      </c>
      <c r="M178" s="874">
        <v>346286</v>
      </c>
      <c r="N178" s="874">
        <v>191115</v>
      </c>
      <c r="O178" s="877">
        <f t="shared" si="7"/>
        <v>592062</v>
      </c>
      <c r="P178" s="874"/>
      <c r="Q178" s="877">
        <f t="shared" si="8"/>
        <v>-10813</v>
      </c>
      <c r="R178" s="874">
        <v>22967</v>
      </c>
      <c r="S178" s="874">
        <v>12154</v>
      </c>
      <c r="T178" s="878"/>
      <c r="U178" s="878"/>
      <c r="V178" s="878"/>
      <c r="W178" s="878"/>
      <c r="X178" s="878"/>
      <c r="Y178" s="878"/>
      <c r="Z178" s="878"/>
      <c r="AA178" s="878"/>
      <c r="AB178" s="879"/>
      <c r="AC178" s="879"/>
      <c r="AD178" s="879"/>
      <c r="AE178" s="879"/>
      <c r="AF178" s="879"/>
      <c r="AG178" s="879"/>
      <c r="AH178" s="879"/>
      <c r="AI178" s="879"/>
    </row>
    <row r="179" spans="1:35" x14ac:dyDescent="0.25">
      <c r="A179" s="876">
        <v>35405</v>
      </c>
      <c r="B179" s="873" t="s">
        <v>1393</v>
      </c>
      <c r="C179" s="873">
        <v>28754914</v>
      </c>
      <c r="D179" s="874">
        <v>24827165</v>
      </c>
      <c r="E179" s="874">
        <v>0</v>
      </c>
      <c r="F179" s="874">
        <v>2670</v>
      </c>
      <c r="G179" s="874">
        <v>0</v>
      </c>
      <c r="H179" s="874">
        <v>0</v>
      </c>
      <c r="I179" s="877">
        <f t="shared" si="6"/>
        <v>2670</v>
      </c>
      <c r="J179" s="874"/>
      <c r="K179" s="874">
        <v>1697791</v>
      </c>
      <c r="L179" s="874">
        <v>0</v>
      </c>
      <c r="M179" s="874">
        <v>10755701</v>
      </c>
      <c r="N179" s="874">
        <v>1693085</v>
      </c>
      <c r="O179" s="877">
        <f t="shared" si="7"/>
        <v>14146577</v>
      </c>
      <c r="P179" s="874"/>
      <c r="Q179" s="877">
        <f t="shared" si="8"/>
        <v>-335843</v>
      </c>
      <c r="R179" s="874">
        <v>-412643</v>
      </c>
      <c r="S179" s="874">
        <v>-748486</v>
      </c>
      <c r="T179" s="878"/>
      <c r="U179" s="878"/>
      <c r="V179" s="878"/>
      <c r="W179" s="878"/>
      <c r="X179" s="878"/>
      <c r="Y179" s="878"/>
      <c r="Z179" s="878"/>
      <c r="AA179" s="878"/>
      <c r="AB179" s="879"/>
      <c r="AC179" s="879"/>
      <c r="AD179" s="879"/>
      <c r="AE179" s="879"/>
      <c r="AF179" s="879"/>
      <c r="AG179" s="879"/>
      <c r="AH179" s="879"/>
      <c r="AI179" s="879"/>
    </row>
    <row r="180" spans="1:35" x14ac:dyDescent="0.25">
      <c r="A180" s="876">
        <v>35500</v>
      </c>
      <c r="B180" s="873" t="s">
        <v>1394</v>
      </c>
      <c r="C180" s="873">
        <v>123670043</v>
      </c>
      <c r="D180" s="874">
        <v>104436765</v>
      </c>
      <c r="E180" s="874">
        <v>0</v>
      </c>
      <c r="F180" s="874">
        <v>11232</v>
      </c>
      <c r="G180" s="874">
        <v>0</v>
      </c>
      <c r="H180" s="874">
        <v>0</v>
      </c>
      <c r="I180" s="877">
        <f t="shared" si="6"/>
        <v>11232</v>
      </c>
      <c r="J180" s="874"/>
      <c r="K180" s="874">
        <v>7141847</v>
      </c>
      <c r="L180" s="874">
        <v>0</v>
      </c>
      <c r="M180" s="874">
        <v>45244418</v>
      </c>
      <c r="N180" s="874">
        <v>5622944</v>
      </c>
      <c r="O180" s="877">
        <f t="shared" si="7"/>
        <v>58009209</v>
      </c>
      <c r="P180" s="874"/>
      <c r="Q180" s="877">
        <f t="shared" si="8"/>
        <v>-1412743</v>
      </c>
      <c r="R180" s="874">
        <v>-1198702</v>
      </c>
      <c r="S180" s="874">
        <v>-2611445</v>
      </c>
      <c r="T180" s="878"/>
      <c r="U180" s="878"/>
      <c r="V180" s="878"/>
      <c r="W180" s="878"/>
      <c r="X180" s="878"/>
      <c r="Y180" s="878"/>
      <c r="Z180" s="878"/>
      <c r="AA180" s="878"/>
      <c r="AB180" s="879"/>
      <c r="AC180" s="879"/>
      <c r="AD180" s="879"/>
      <c r="AE180" s="879"/>
      <c r="AF180" s="879"/>
      <c r="AG180" s="879"/>
      <c r="AH180" s="879"/>
      <c r="AI180" s="879"/>
    </row>
    <row r="181" spans="1:35" x14ac:dyDescent="0.25">
      <c r="A181" s="876">
        <v>35600</v>
      </c>
      <c r="B181" s="873" t="s">
        <v>1395</v>
      </c>
      <c r="C181" s="873">
        <v>51057671</v>
      </c>
      <c r="D181" s="874">
        <v>44029560</v>
      </c>
      <c r="E181" s="874">
        <v>0</v>
      </c>
      <c r="F181" s="874">
        <v>4735</v>
      </c>
      <c r="G181" s="874">
        <v>0</v>
      </c>
      <c r="H181" s="874">
        <v>2708560</v>
      </c>
      <c r="I181" s="877">
        <f t="shared" si="6"/>
        <v>2713295</v>
      </c>
      <c r="J181" s="874"/>
      <c r="K181" s="874">
        <v>3010935</v>
      </c>
      <c r="L181" s="874">
        <v>0</v>
      </c>
      <c r="M181" s="874">
        <v>19074622</v>
      </c>
      <c r="N181" s="874">
        <v>492205</v>
      </c>
      <c r="O181" s="877">
        <f t="shared" si="7"/>
        <v>22577762</v>
      </c>
      <c r="P181" s="874"/>
      <c r="Q181" s="877">
        <f t="shared" si="8"/>
        <v>-595599</v>
      </c>
      <c r="R181" s="874">
        <v>578701</v>
      </c>
      <c r="S181" s="874">
        <v>-16898</v>
      </c>
      <c r="T181" s="878"/>
      <c r="U181" s="878"/>
      <c r="V181" s="878"/>
      <c r="W181" s="878"/>
      <c r="X181" s="878"/>
      <c r="Y181" s="878"/>
      <c r="Z181" s="878"/>
      <c r="AA181" s="878"/>
      <c r="AB181" s="879"/>
      <c r="AC181" s="879"/>
      <c r="AD181" s="879"/>
      <c r="AE181" s="879"/>
      <c r="AF181" s="879"/>
      <c r="AG181" s="879"/>
      <c r="AH181" s="879"/>
      <c r="AI181" s="879"/>
    </row>
    <row r="182" spans="1:35" x14ac:dyDescent="0.25">
      <c r="A182" s="876">
        <v>35700</v>
      </c>
      <c r="B182" s="873" t="s">
        <v>1396</v>
      </c>
      <c r="C182" s="873">
        <v>28553119</v>
      </c>
      <c r="D182" s="874">
        <v>23520079</v>
      </c>
      <c r="E182" s="874">
        <v>0</v>
      </c>
      <c r="F182" s="874">
        <v>2529</v>
      </c>
      <c r="G182" s="874">
        <v>0</v>
      </c>
      <c r="H182" s="874">
        <v>1334036</v>
      </c>
      <c r="I182" s="877">
        <f t="shared" si="6"/>
        <v>1336565</v>
      </c>
      <c r="J182" s="874"/>
      <c r="K182" s="874">
        <v>1608407</v>
      </c>
      <c r="L182" s="874">
        <v>0</v>
      </c>
      <c r="M182" s="874">
        <v>10189441</v>
      </c>
      <c r="N182" s="874">
        <v>1680885</v>
      </c>
      <c r="O182" s="877">
        <f t="shared" si="7"/>
        <v>13478733</v>
      </c>
      <c r="P182" s="874"/>
      <c r="Q182" s="877">
        <f t="shared" si="8"/>
        <v>-318162</v>
      </c>
      <c r="R182" s="874">
        <v>-2665</v>
      </c>
      <c r="S182" s="874">
        <v>-320827</v>
      </c>
      <c r="T182" s="878"/>
      <c r="U182" s="878"/>
      <c r="V182" s="878"/>
      <c r="W182" s="878"/>
      <c r="X182" s="878"/>
      <c r="Y182" s="878"/>
      <c r="Z182" s="878"/>
      <c r="AA182" s="878"/>
      <c r="AB182" s="879"/>
      <c r="AC182" s="879"/>
      <c r="AD182" s="879"/>
      <c r="AE182" s="879"/>
      <c r="AF182" s="879"/>
      <c r="AG182" s="879"/>
      <c r="AH182" s="879"/>
      <c r="AI182" s="879"/>
    </row>
    <row r="183" spans="1:35" x14ac:dyDescent="0.25">
      <c r="A183" s="876">
        <v>35800</v>
      </c>
      <c r="B183" s="873" t="s">
        <v>1397</v>
      </c>
      <c r="C183" s="873">
        <v>39405443</v>
      </c>
      <c r="D183" s="874">
        <v>31772767</v>
      </c>
      <c r="E183" s="874">
        <v>0</v>
      </c>
      <c r="F183" s="874">
        <v>3417</v>
      </c>
      <c r="G183" s="874">
        <v>0</v>
      </c>
      <c r="H183" s="874">
        <v>469420</v>
      </c>
      <c r="I183" s="877">
        <f t="shared" si="6"/>
        <v>472837</v>
      </c>
      <c r="J183" s="874"/>
      <c r="K183" s="874">
        <v>2172762</v>
      </c>
      <c r="L183" s="874">
        <v>0</v>
      </c>
      <c r="M183" s="874">
        <v>13764696</v>
      </c>
      <c r="N183" s="874">
        <v>3103000</v>
      </c>
      <c r="O183" s="877">
        <f t="shared" si="7"/>
        <v>19040458</v>
      </c>
      <c r="P183" s="874"/>
      <c r="Q183" s="877">
        <f t="shared" si="8"/>
        <v>-429798</v>
      </c>
      <c r="R183" s="874">
        <v>-503246</v>
      </c>
      <c r="S183" s="874">
        <v>-933044</v>
      </c>
      <c r="T183" s="878"/>
      <c r="U183" s="878"/>
      <c r="V183" s="878"/>
      <c r="W183" s="878"/>
      <c r="X183" s="878"/>
      <c r="Y183" s="878"/>
      <c r="Z183" s="878"/>
      <c r="AA183" s="878"/>
      <c r="AB183" s="879"/>
      <c r="AC183" s="879"/>
      <c r="AD183" s="879"/>
      <c r="AE183" s="879"/>
      <c r="AF183" s="879"/>
      <c r="AG183" s="879"/>
      <c r="AH183" s="879"/>
      <c r="AI183" s="879"/>
    </row>
    <row r="184" spans="1:35" x14ac:dyDescent="0.25">
      <c r="A184" s="876">
        <v>35805</v>
      </c>
      <c r="B184" s="873" t="s">
        <v>1398</v>
      </c>
      <c r="C184" s="873">
        <v>6267062</v>
      </c>
      <c r="D184" s="874">
        <v>6031812</v>
      </c>
      <c r="E184" s="874">
        <v>0</v>
      </c>
      <c r="F184" s="874">
        <v>649</v>
      </c>
      <c r="G184" s="874">
        <v>0</v>
      </c>
      <c r="H184" s="874">
        <v>987006</v>
      </c>
      <c r="I184" s="877">
        <f t="shared" si="6"/>
        <v>987655</v>
      </c>
      <c r="J184" s="874"/>
      <c r="K184" s="874">
        <v>412482</v>
      </c>
      <c r="L184" s="874">
        <v>0</v>
      </c>
      <c r="M184" s="874">
        <v>2613120</v>
      </c>
      <c r="N184" s="874">
        <v>0</v>
      </c>
      <c r="O184" s="877">
        <f t="shared" si="7"/>
        <v>3025602</v>
      </c>
      <c r="P184" s="874"/>
      <c r="Q184" s="877">
        <f t="shared" si="8"/>
        <v>-81594</v>
      </c>
      <c r="R184" s="874">
        <v>207060</v>
      </c>
      <c r="S184" s="874">
        <v>125466</v>
      </c>
      <c r="T184" s="878"/>
      <c r="U184" s="878"/>
      <c r="V184" s="878"/>
      <c r="W184" s="878"/>
      <c r="X184" s="878"/>
      <c r="Y184" s="878"/>
      <c r="Z184" s="878"/>
      <c r="AA184" s="878"/>
      <c r="AB184" s="879"/>
      <c r="AC184" s="879"/>
      <c r="AD184" s="879"/>
      <c r="AE184" s="879"/>
      <c r="AF184" s="879"/>
      <c r="AG184" s="879"/>
      <c r="AH184" s="879"/>
      <c r="AI184" s="879"/>
    </row>
    <row r="185" spans="1:35" x14ac:dyDescent="0.25">
      <c r="A185" s="876">
        <v>35900</v>
      </c>
      <c r="B185" s="873" t="s">
        <v>1399</v>
      </c>
      <c r="C185" s="873">
        <v>73452157</v>
      </c>
      <c r="D185" s="874">
        <v>62407997</v>
      </c>
      <c r="E185" s="874">
        <v>0</v>
      </c>
      <c r="F185" s="874">
        <v>6712</v>
      </c>
      <c r="G185" s="874">
        <v>0</v>
      </c>
      <c r="H185" s="874">
        <v>347388</v>
      </c>
      <c r="I185" s="877">
        <f t="shared" si="6"/>
        <v>354100</v>
      </c>
      <c r="J185" s="874"/>
      <c r="K185" s="874">
        <v>4267734</v>
      </c>
      <c r="L185" s="874">
        <v>0</v>
      </c>
      <c r="M185" s="874">
        <v>27036585</v>
      </c>
      <c r="N185" s="874">
        <v>1896970</v>
      </c>
      <c r="O185" s="877">
        <f t="shared" si="7"/>
        <v>33201289</v>
      </c>
      <c r="P185" s="874"/>
      <c r="Q185" s="877">
        <f t="shared" si="8"/>
        <v>-844209</v>
      </c>
      <c r="R185" s="874">
        <v>-292547</v>
      </c>
      <c r="S185" s="874">
        <v>-1136756</v>
      </c>
      <c r="T185" s="878"/>
      <c r="U185" s="878"/>
      <c r="V185" s="878"/>
      <c r="W185" s="878"/>
      <c r="X185" s="878"/>
      <c r="Y185" s="878"/>
      <c r="Z185" s="878"/>
      <c r="AA185" s="878"/>
      <c r="AB185" s="879"/>
      <c r="AC185" s="879"/>
      <c r="AD185" s="879"/>
      <c r="AE185" s="879"/>
      <c r="AF185" s="879"/>
      <c r="AG185" s="879"/>
      <c r="AH185" s="879"/>
      <c r="AI185" s="879"/>
    </row>
    <row r="186" spans="1:35" x14ac:dyDescent="0.25">
      <c r="A186" s="876">
        <v>35905</v>
      </c>
      <c r="B186" s="873" t="s">
        <v>1400</v>
      </c>
      <c r="C186" s="873">
        <v>9532419</v>
      </c>
      <c r="D186" s="874">
        <v>7649760</v>
      </c>
      <c r="E186" s="874">
        <v>0</v>
      </c>
      <c r="F186" s="874">
        <v>823</v>
      </c>
      <c r="G186" s="874">
        <v>0</v>
      </c>
      <c r="H186" s="874">
        <v>0</v>
      </c>
      <c r="I186" s="877">
        <f t="shared" si="6"/>
        <v>823</v>
      </c>
      <c r="J186" s="874"/>
      <c r="K186" s="874">
        <v>523124</v>
      </c>
      <c r="L186" s="874">
        <v>0</v>
      </c>
      <c r="M186" s="874">
        <v>3314052</v>
      </c>
      <c r="N186" s="874">
        <v>771100</v>
      </c>
      <c r="O186" s="877">
        <f t="shared" si="7"/>
        <v>4608276</v>
      </c>
      <c r="P186" s="874"/>
      <c r="Q186" s="877">
        <f t="shared" si="8"/>
        <v>-103480</v>
      </c>
      <c r="R186" s="874">
        <v>-154749</v>
      </c>
      <c r="S186" s="874">
        <v>-258229</v>
      </c>
      <c r="T186" s="878"/>
      <c r="U186" s="878"/>
      <c r="V186" s="878"/>
      <c r="W186" s="878"/>
      <c r="X186" s="878"/>
      <c r="Y186" s="878"/>
      <c r="Z186" s="878"/>
      <c r="AA186" s="878"/>
      <c r="AB186" s="879"/>
      <c r="AC186" s="879"/>
      <c r="AD186" s="879"/>
      <c r="AE186" s="879"/>
      <c r="AF186" s="879"/>
      <c r="AG186" s="879"/>
      <c r="AH186" s="879"/>
      <c r="AI186" s="879"/>
    </row>
    <row r="187" spans="1:35" x14ac:dyDescent="0.25">
      <c r="A187" s="876">
        <v>36000</v>
      </c>
      <c r="B187" s="873" t="s">
        <v>1401</v>
      </c>
      <c r="C187" s="873">
        <v>1795538583</v>
      </c>
      <c r="D187" s="874">
        <v>1549039885</v>
      </c>
      <c r="E187" s="874">
        <v>0</v>
      </c>
      <c r="F187" s="874">
        <v>166591</v>
      </c>
      <c r="G187" s="874">
        <v>0</v>
      </c>
      <c r="H187" s="874">
        <v>69059444</v>
      </c>
      <c r="I187" s="877">
        <f t="shared" si="6"/>
        <v>69226035</v>
      </c>
      <c r="J187" s="874"/>
      <c r="K187" s="874">
        <v>105930178</v>
      </c>
      <c r="L187" s="874">
        <v>0</v>
      </c>
      <c r="M187" s="874">
        <v>671079840</v>
      </c>
      <c r="N187" s="874">
        <v>19700820</v>
      </c>
      <c r="O187" s="877">
        <f t="shared" si="7"/>
        <v>796710838</v>
      </c>
      <c r="P187" s="874"/>
      <c r="Q187" s="877">
        <f t="shared" si="8"/>
        <v>-20954258</v>
      </c>
      <c r="R187" s="874">
        <v>13324697</v>
      </c>
      <c r="S187" s="874">
        <v>-7629561</v>
      </c>
      <c r="T187" s="878"/>
      <c r="U187" s="878"/>
      <c r="V187" s="878"/>
      <c r="W187" s="878"/>
      <c r="X187" s="878"/>
      <c r="Y187" s="878"/>
      <c r="Z187" s="878"/>
      <c r="AA187" s="878"/>
      <c r="AB187" s="879"/>
      <c r="AC187" s="879"/>
      <c r="AD187" s="879"/>
      <c r="AE187" s="879"/>
      <c r="AF187" s="879"/>
      <c r="AG187" s="879"/>
      <c r="AH187" s="879"/>
      <c r="AI187" s="879"/>
    </row>
    <row r="188" spans="1:35" x14ac:dyDescent="0.25">
      <c r="A188" s="876">
        <v>36001</v>
      </c>
      <c r="B188" s="873" t="s">
        <v>1402</v>
      </c>
      <c r="C188" s="873">
        <v>972313</v>
      </c>
      <c r="D188" s="874">
        <v>0</v>
      </c>
      <c r="E188" s="874">
        <v>0</v>
      </c>
      <c r="F188" s="874">
        <v>0</v>
      </c>
      <c r="G188" s="874">
        <v>0</v>
      </c>
      <c r="H188" s="874">
        <v>84968</v>
      </c>
      <c r="I188" s="877">
        <f t="shared" si="6"/>
        <v>84968</v>
      </c>
      <c r="J188" s="874"/>
      <c r="K188" s="874">
        <v>0</v>
      </c>
      <c r="L188" s="874">
        <v>0</v>
      </c>
      <c r="M188" s="874">
        <v>0</v>
      </c>
      <c r="N188" s="874">
        <v>1091800</v>
      </c>
      <c r="O188" s="877">
        <f t="shared" si="7"/>
        <v>1091800</v>
      </c>
      <c r="P188" s="874"/>
      <c r="Q188" s="877">
        <f t="shared" si="8"/>
        <v>0</v>
      </c>
      <c r="R188" s="874">
        <v>-197120</v>
      </c>
      <c r="S188" s="874">
        <v>-197120</v>
      </c>
      <c r="T188" s="878"/>
      <c r="U188" s="878"/>
      <c r="V188" s="878"/>
      <c r="W188" s="878"/>
      <c r="X188" s="878"/>
      <c r="Y188" s="878"/>
      <c r="Z188" s="878"/>
      <c r="AA188" s="878"/>
      <c r="AB188" s="879"/>
      <c r="AC188" s="879"/>
      <c r="AD188" s="879"/>
      <c r="AE188" s="879"/>
      <c r="AF188" s="879"/>
      <c r="AG188" s="879"/>
      <c r="AH188" s="879"/>
      <c r="AI188" s="879"/>
    </row>
    <row r="189" spans="1:35" x14ac:dyDescent="0.25">
      <c r="A189" s="876">
        <v>36002</v>
      </c>
      <c r="B189" s="873" t="s">
        <v>1403</v>
      </c>
      <c r="C189" s="873">
        <v>719662</v>
      </c>
      <c r="D189" s="874">
        <v>0</v>
      </c>
      <c r="E189" s="874">
        <v>0</v>
      </c>
      <c r="F189" s="874">
        <v>0</v>
      </c>
      <c r="G189" s="874">
        <v>0</v>
      </c>
      <c r="H189" s="874">
        <v>0</v>
      </c>
      <c r="I189" s="877">
        <f t="shared" si="6"/>
        <v>0</v>
      </c>
      <c r="J189" s="874"/>
      <c r="K189" s="874">
        <v>0</v>
      </c>
      <c r="L189" s="874">
        <v>0</v>
      </c>
      <c r="M189" s="874">
        <v>0</v>
      </c>
      <c r="N189" s="874">
        <v>4441876</v>
      </c>
      <c r="O189" s="877">
        <f t="shared" si="7"/>
        <v>4441876</v>
      </c>
      <c r="P189" s="874"/>
      <c r="Q189" s="877">
        <f t="shared" si="8"/>
        <v>0</v>
      </c>
      <c r="R189" s="874">
        <v>-1070066</v>
      </c>
      <c r="S189" s="874">
        <v>-1070066</v>
      </c>
      <c r="T189" s="878"/>
      <c r="U189" s="878"/>
      <c r="V189" s="878"/>
      <c r="W189" s="878"/>
      <c r="X189" s="878"/>
      <c r="Y189" s="878"/>
      <c r="Z189" s="878"/>
      <c r="AA189" s="878"/>
      <c r="AB189" s="879"/>
      <c r="AC189" s="879"/>
      <c r="AD189" s="879"/>
      <c r="AE189" s="879"/>
      <c r="AF189" s="879"/>
      <c r="AG189" s="879"/>
      <c r="AH189" s="879"/>
      <c r="AI189" s="879"/>
    </row>
    <row r="190" spans="1:35" x14ac:dyDescent="0.25">
      <c r="A190" s="876">
        <v>36003</v>
      </c>
      <c r="B190" s="873" t="s">
        <v>1404</v>
      </c>
      <c r="C190" s="873">
        <v>13120512</v>
      </c>
      <c r="D190" s="874">
        <v>10694803</v>
      </c>
      <c r="E190" s="874">
        <v>0</v>
      </c>
      <c r="F190" s="874">
        <v>1150</v>
      </c>
      <c r="G190" s="874">
        <v>0</v>
      </c>
      <c r="H190" s="874">
        <v>309400</v>
      </c>
      <c r="I190" s="877">
        <f t="shared" si="6"/>
        <v>310550</v>
      </c>
      <c r="J190" s="874"/>
      <c r="K190" s="874">
        <v>731358</v>
      </c>
      <c r="L190" s="874">
        <v>0</v>
      </c>
      <c r="M190" s="874">
        <v>4633236</v>
      </c>
      <c r="N190" s="874">
        <v>960895</v>
      </c>
      <c r="O190" s="877">
        <f t="shared" si="7"/>
        <v>6325489</v>
      </c>
      <c r="P190" s="874"/>
      <c r="Q190" s="877">
        <f t="shared" si="8"/>
        <v>-144671</v>
      </c>
      <c r="R190" s="874">
        <v>-114828</v>
      </c>
      <c r="S190" s="874">
        <v>-259499</v>
      </c>
      <c r="T190" s="878"/>
      <c r="U190" s="878"/>
      <c r="V190" s="878"/>
      <c r="W190" s="878"/>
      <c r="X190" s="878"/>
      <c r="Y190" s="878"/>
      <c r="Z190" s="878"/>
      <c r="AA190" s="878"/>
      <c r="AB190" s="879"/>
      <c r="AC190" s="879"/>
      <c r="AD190" s="879"/>
      <c r="AE190" s="879"/>
      <c r="AF190" s="879"/>
      <c r="AG190" s="879"/>
      <c r="AH190" s="879"/>
      <c r="AI190" s="879"/>
    </row>
    <row r="191" spans="1:35" x14ac:dyDescent="0.25">
      <c r="A191" s="876">
        <v>36004</v>
      </c>
      <c r="B191" s="873" t="s">
        <v>1405</v>
      </c>
      <c r="C191" s="873">
        <v>7170858</v>
      </c>
      <c r="D191" s="874">
        <v>6429198</v>
      </c>
      <c r="E191" s="874">
        <v>0</v>
      </c>
      <c r="F191" s="874">
        <v>691</v>
      </c>
      <c r="G191" s="874">
        <v>0</v>
      </c>
      <c r="H191" s="874">
        <v>807153</v>
      </c>
      <c r="I191" s="877">
        <f t="shared" si="6"/>
        <v>807844</v>
      </c>
      <c r="J191" s="874"/>
      <c r="K191" s="874">
        <v>439657</v>
      </c>
      <c r="L191" s="874">
        <v>0</v>
      </c>
      <c r="M191" s="874">
        <v>2785277</v>
      </c>
      <c r="N191" s="874">
        <v>0</v>
      </c>
      <c r="O191" s="877">
        <f t="shared" si="7"/>
        <v>3224934</v>
      </c>
      <c r="P191" s="874"/>
      <c r="Q191" s="877">
        <f t="shared" si="8"/>
        <v>-86969</v>
      </c>
      <c r="R191" s="874">
        <v>190806</v>
      </c>
      <c r="S191" s="874">
        <v>103837</v>
      </c>
      <c r="T191" s="878"/>
      <c r="U191" s="878"/>
      <c r="V191" s="878"/>
      <c r="W191" s="878"/>
      <c r="X191" s="878"/>
      <c r="Y191" s="878"/>
      <c r="Z191" s="878"/>
      <c r="AA191" s="878"/>
      <c r="AB191" s="879"/>
      <c r="AC191" s="879"/>
      <c r="AD191" s="879"/>
      <c r="AE191" s="879"/>
      <c r="AF191" s="879"/>
      <c r="AG191" s="879"/>
      <c r="AH191" s="879"/>
      <c r="AI191" s="879"/>
    </row>
    <row r="192" spans="1:35" x14ac:dyDescent="0.25">
      <c r="A192" s="876">
        <v>36005</v>
      </c>
      <c r="B192" s="873" t="s">
        <v>1406</v>
      </c>
      <c r="C192" s="873">
        <v>136676625</v>
      </c>
      <c r="D192" s="874">
        <v>123390589</v>
      </c>
      <c r="E192" s="874">
        <v>0</v>
      </c>
      <c r="F192" s="874">
        <v>13270</v>
      </c>
      <c r="G192" s="874">
        <v>0</v>
      </c>
      <c r="H192" s="874">
        <v>6078270</v>
      </c>
      <c r="I192" s="877">
        <f t="shared" si="6"/>
        <v>6091540</v>
      </c>
      <c r="J192" s="874"/>
      <c r="K192" s="874">
        <v>8437993</v>
      </c>
      <c r="L192" s="874">
        <v>0</v>
      </c>
      <c r="M192" s="874">
        <v>53455652</v>
      </c>
      <c r="N192" s="874">
        <v>7812632</v>
      </c>
      <c r="O192" s="877">
        <f t="shared" si="7"/>
        <v>69706277</v>
      </c>
      <c r="P192" s="874"/>
      <c r="Q192" s="877">
        <f t="shared" si="8"/>
        <v>-1669136</v>
      </c>
      <c r="R192" s="874">
        <v>-737503</v>
      </c>
      <c r="S192" s="874">
        <v>-2406639</v>
      </c>
      <c r="T192" s="878"/>
      <c r="U192" s="878"/>
      <c r="V192" s="878"/>
      <c r="W192" s="878"/>
      <c r="X192" s="878"/>
      <c r="Y192" s="878"/>
      <c r="Z192" s="878"/>
      <c r="AA192" s="878"/>
      <c r="AB192" s="879"/>
      <c r="AC192" s="879"/>
      <c r="AD192" s="879"/>
      <c r="AE192" s="879"/>
      <c r="AF192" s="879"/>
      <c r="AG192" s="879"/>
      <c r="AH192" s="879"/>
      <c r="AI192" s="879"/>
    </row>
    <row r="193" spans="1:35" x14ac:dyDescent="0.25">
      <c r="A193" s="876">
        <v>36006</v>
      </c>
      <c r="B193" s="873" t="s">
        <v>1407</v>
      </c>
      <c r="C193" s="873">
        <v>17100148</v>
      </c>
      <c r="D193" s="874">
        <v>16582982</v>
      </c>
      <c r="E193" s="874">
        <v>0</v>
      </c>
      <c r="F193" s="874">
        <v>1783</v>
      </c>
      <c r="G193" s="874">
        <v>0</v>
      </c>
      <c r="H193" s="874">
        <v>3173105</v>
      </c>
      <c r="I193" s="877">
        <f t="shared" si="6"/>
        <v>3174888</v>
      </c>
      <c r="J193" s="874"/>
      <c r="K193" s="874">
        <v>1134017</v>
      </c>
      <c r="L193" s="874">
        <v>0</v>
      </c>
      <c r="M193" s="874">
        <v>7184130</v>
      </c>
      <c r="N193" s="874">
        <v>0</v>
      </c>
      <c r="O193" s="877">
        <f t="shared" si="7"/>
        <v>8318147</v>
      </c>
      <c r="P193" s="874"/>
      <c r="Q193" s="877">
        <f t="shared" si="8"/>
        <v>-224322</v>
      </c>
      <c r="R193" s="874">
        <v>686551</v>
      </c>
      <c r="S193" s="874">
        <v>462229</v>
      </c>
      <c r="T193" s="878"/>
      <c r="U193" s="878"/>
      <c r="V193" s="878"/>
      <c r="W193" s="878"/>
      <c r="X193" s="878"/>
      <c r="Y193" s="878"/>
      <c r="Z193" s="878"/>
      <c r="AA193" s="878"/>
      <c r="AB193" s="879"/>
      <c r="AC193" s="879"/>
      <c r="AD193" s="879"/>
      <c r="AE193" s="879"/>
      <c r="AF193" s="879"/>
      <c r="AG193" s="879"/>
      <c r="AH193" s="879"/>
      <c r="AI193" s="879"/>
    </row>
    <row r="194" spans="1:35" x14ac:dyDescent="0.25">
      <c r="A194" s="876">
        <v>36007</v>
      </c>
      <c r="B194" s="873" t="s">
        <v>1408</v>
      </c>
      <c r="C194" s="873">
        <v>5653271</v>
      </c>
      <c r="D194" s="874">
        <v>5210934</v>
      </c>
      <c r="E194" s="874">
        <v>0</v>
      </c>
      <c r="F194" s="874">
        <v>560</v>
      </c>
      <c r="G194" s="874">
        <v>0</v>
      </c>
      <c r="H194" s="874">
        <v>583536</v>
      </c>
      <c r="I194" s="877">
        <f t="shared" si="6"/>
        <v>584096</v>
      </c>
      <c r="J194" s="874"/>
      <c r="K194" s="874">
        <v>356347</v>
      </c>
      <c r="L194" s="874">
        <v>0</v>
      </c>
      <c r="M194" s="874">
        <v>2257497</v>
      </c>
      <c r="N194" s="874">
        <v>0</v>
      </c>
      <c r="O194" s="877">
        <f t="shared" si="7"/>
        <v>2613844</v>
      </c>
      <c r="P194" s="874"/>
      <c r="Q194" s="877">
        <f t="shared" si="8"/>
        <v>-70490</v>
      </c>
      <c r="R194" s="874">
        <v>127627</v>
      </c>
      <c r="S194" s="874">
        <v>57137</v>
      </c>
      <c r="T194" s="878"/>
      <c r="U194" s="878"/>
      <c r="V194" s="878"/>
      <c r="W194" s="878"/>
      <c r="X194" s="878"/>
      <c r="Y194" s="878"/>
      <c r="Z194" s="878"/>
      <c r="AA194" s="878"/>
      <c r="AB194" s="879"/>
      <c r="AC194" s="879"/>
      <c r="AD194" s="879"/>
      <c r="AE194" s="879"/>
      <c r="AF194" s="879"/>
      <c r="AG194" s="879"/>
      <c r="AH194" s="879"/>
      <c r="AI194" s="879"/>
    </row>
    <row r="195" spans="1:35" x14ac:dyDescent="0.25">
      <c r="A195" s="876">
        <v>36008</v>
      </c>
      <c r="B195" s="873" t="s">
        <v>1409</v>
      </c>
      <c r="C195" s="873">
        <v>18912044</v>
      </c>
      <c r="D195" s="874">
        <v>15278525</v>
      </c>
      <c r="E195" s="874">
        <v>0</v>
      </c>
      <c r="F195" s="874">
        <v>1643</v>
      </c>
      <c r="G195" s="874">
        <v>0</v>
      </c>
      <c r="H195" s="874">
        <v>1771128</v>
      </c>
      <c r="I195" s="877">
        <f t="shared" si="6"/>
        <v>1772771</v>
      </c>
      <c r="J195" s="874"/>
      <c r="K195" s="874">
        <v>1044813</v>
      </c>
      <c r="L195" s="874">
        <v>0</v>
      </c>
      <c r="M195" s="874">
        <v>6619010</v>
      </c>
      <c r="N195" s="874">
        <v>1599965</v>
      </c>
      <c r="O195" s="877">
        <f t="shared" si="7"/>
        <v>9263788</v>
      </c>
      <c r="P195" s="874"/>
      <c r="Q195" s="877">
        <f t="shared" si="8"/>
        <v>-206677</v>
      </c>
      <c r="R195" s="874">
        <v>122788</v>
      </c>
      <c r="S195" s="874">
        <v>-83889</v>
      </c>
      <c r="T195" s="878"/>
      <c r="U195" s="878"/>
      <c r="V195" s="878"/>
      <c r="W195" s="878"/>
      <c r="X195" s="878"/>
      <c r="Y195" s="878"/>
      <c r="Z195" s="878"/>
      <c r="AA195" s="878"/>
      <c r="AB195" s="879"/>
      <c r="AC195" s="879"/>
      <c r="AD195" s="879"/>
      <c r="AE195" s="879"/>
      <c r="AF195" s="879"/>
      <c r="AG195" s="879"/>
      <c r="AH195" s="879"/>
      <c r="AI195" s="879"/>
    </row>
    <row r="196" spans="1:35" x14ac:dyDescent="0.25">
      <c r="A196" s="876">
        <v>36009</v>
      </c>
      <c r="B196" s="873" t="s">
        <v>1410</v>
      </c>
      <c r="C196" s="873">
        <v>5403591</v>
      </c>
      <c r="D196" s="874">
        <v>3517151</v>
      </c>
      <c r="E196" s="874">
        <v>0</v>
      </c>
      <c r="F196" s="874">
        <v>378</v>
      </c>
      <c r="G196" s="874">
        <v>0</v>
      </c>
      <c r="H196" s="874">
        <v>122076</v>
      </c>
      <c r="I196" s="877">
        <f t="shared" si="6"/>
        <v>122454</v>
      </c>
      <c r="J196" s="874"/>
      <c r="K196" s="874">
        <v>240518</v>
      </c>
      <c r="L196" s="874">
        <v>0</v>
      </c>
      <c r="M196" s="874">
        <v>1523711</v>
      </c>
      <c r="N196" s="874">
        <v>1550825</v>
      </c>
      <c r="O196" s="877">
        <f t="shared" si="7"/>
        <v>3315054</v>
      </c>
      <c r="P196" s="874"/>
      <c r="Q196" s="877">
        <f t="shared" si="8"/>
        <v>-47577</v>
      </c>
      <c r="R196" s="874">
        <v>-279647</v>
      </c>
      <c r="S196" s="874">
        <v>-327224</v>
      </c>
      <c r="T196" s="878"/>
      <c r="U196" s="878"/>
      <c r="V196" s="878"/>
      <c r="W196" s="878"/>
      <c r="X196" s="878"/>
      <c r="Y196" s="878"/>
      <c r="Z196" s="878"/>
      <c r="AA196" s="878"/>
      <c r="AB196" s="879"/>
      <c r="AC196" s="879"/>
      <c r="AD196" s="879"/>
      <c r="AE196" s="879"/>
      <c r="AF196" s="879"/>
      <c r="AG196" s="879"/>
      <c r="AH196" s="879"/>
      <c r="AI196" s="879"/>
    </row>
    <row r="197" spans="1:35" x14ac:dyDescent="0.25">
      <c r="A197" s="876">
        <v>36100</v>
      </c>
      <c r="B197" s="873" t="s">
        <v>1411</v>
      </c>
      <c r="C197" s="873">
        <v>22205523</v>
      </c>
      <c r="D197" s="874">
        <v>18538938</v>
      </c>
      <c r="E197" s="874">
        <v>0</v>
      </c>
      <c r="F197" s="874">
        <v>1994</v>
      </c>
      <c r="G197" s="874">
        <v>0</v>
      </c>
      <c r="H197" s="874">
        <v>144704</v>
      </c>
      <c r="I197" s="877">
        <f t="shared" si="6"/>
        <v>146698</v>
      </c>
      <c r="J197" s="874"/>
      <c r="K197" s="874">
        <v>1267774</v>
      </c>
      <c r="L197" s="874">
        <v>0</v>
      </c>
      <c r="M197" s="874">
        <v>8031496</v>
      </c>
      <c r="N197" s="874">
        <v>959370</v>
      </c>
      <c r="O197" s="877">
        <f t="shared" si="7"/>
        <v>10258640</v>
      </c>
      <c r="P197" s="874"/>
      <c r="Q197" s="877">
        <f t="shared" si="8"/>
        <v>-250781</v>
      </c>
      <c r="R197" s="874">
        <v>-155702</v>
      </c>
      <c r="S197" s="874">
        <v>-406483</v>
      </c>
      <c r="T197" s="878"/>
      <c r="U197" s="878"/>
      <c r="V197" s="878"/>
      <c r="W197" s="878"/>
      <c r="X197" s="878"/>
      <c r="Y197" s="878"/>
      <c r="Z197" s="878"/>
      <c r="AA197" s="878"/>
      <c r="AB197" s="879"/>
      <c r="AC197" s="879"/>
      <c r="AD197" s="879"/>
      <c r="AE197" s="879"/>
      <c r="AF197" s="879"/>
      <c r="AG197" s="879"/>
      <c r="AH197" s="879"/>
      <c r="AI197" s="879"/>
    </row>
    <row r="198" spans="1:35" x14ac:dyDescent="0.25">
      <c r="A198" s="876">
        <v>36102</v>
      </c>
      <c r="B198" s="873" t="s">
        <v>1412</v>
      </c>
      <c r="C198" s="873">
        <v>6113381</v>
      </c>
      <c r="D198" s="874">
        <v>6847092</v>
      </c>
      <c r="E198" s="874">
        <v>0</v>
      </c>
      <c r="F198" s="874">
        <v>736</v>
      </c>
      <c r="G198" s="874">
        <v>0</v>
      </c>
      <c r="H198" s="874">
        <v>2598149</v>
      </c>
      <c r="I198" s="877">
        <f t="shared" si="6"/>
        <v>2598885</v>
      </c>
      <c r="J198" s="874"/>
      <c r="K198" s="874">
        <v>468234</v>
      </c>
      <c r="L198" s="874">
        <v>0</v>
      </c>
      <c r="M198" s="874">
        <v>2966318</v>
      </c>
      <c r="N198" s="874">
        <v>0</v>
      </c>
      <c r="O198" s="877">
        <f t="shared" si="7"/>
        <v>3434552</v>
      </c>
      <c r="P198" s="874"/>
      <c r="Q198" s="877">
        <f t="shared" si="8"/>
        <v>-92622</v>
      </c>
      <c r="R198" s="874">
        <v>552859</v>
      </c>
      <c r="S198" s="874">
        <v>460237</v>
      </c>
      <c r="T198" s="878"/>
      <c r="U198" s="878"/>
      <c r="V198" s="878"/>
      <c r="W198" s="878"/>
      <c r="X198" s="878"/>
      <c r="Y198" s="878"/>
      <c r="Z198" s="878"/>
      <c r="AA198" s="878"/>
      <c r="AB198" s="879"/>
      <c r="AC198" s="879"/>
      <c r="AD198" s="879"/>
      <c r="AE198" s="879"/>
      <c r="AF198" s="879"/>
      <c r="AG198" s="879"/>
      <c r="AH198" s="879"/>
      <c r="AI198" s="879"/>
    </row>
    <row r="199" spans="1:35" x14ac:dyDescent="0.25">
      <c r="A199" s="876">
        <v>36105</v>
      </c>
      <c r="B199" s="873" t="s">
        <v>1413</v>
      </c>
      <c r="C199" s="873">
        <v>11185651</v>
      </c>
      <c r="D199" s="874">
        <v>9824357</v>
      </c>
      <c r="E199" s="874">
        <v>0</v>
      </c>
      <c r="F199" s="874">
        <v>1057</v>
      </c>
      <c r="G199" s="874">
        <v>0</v>
      </c>
      <c r="H199" s="874">
        <v>153010</v>
      </c>
      <c r="I199" s="877">
        <f t="shared" ref="I199:I262" si="9">SUM(E199:H199)</f>
        <v>154067</v>
      </c>
      <c r="J199" s="874"/>
      <c r="K199" s="874">
        <v>671833</v>
      </c>
      <c r="L199" s="874">
        <v>0</v>
      </c>
      <c r="M199" s="874">
        <v>4256138</v>
      </c>
      <c r="N199" s="874">
        <v>68828</v>
      </c>
      <c r="O199" s="877">
        <f t="shared" ref="O199:O262" si="10">SUM(K199:N199)</f>
        <v>4996799</v>
      </c>
      <c r="P199" s="874"/>
      <c r="Q199" s="877">
        <f t="shared" ref="Q199:Q262" si="11">S199-R199</f>
        <v>-132897</v>
      </c>
      <c r="R199" s="874">
        <v>13396</v>
      </c>
      <c r="S199" s="874">
        <v>-119501</v>
      </c>
      <c r="T199" s="878"/>
      <c r="U199" s="878"/>
      <c r="V199" s="878"/>
      <c r="W199" s="878"/>
      <c r="X199" s="878"/>
      <c r="Y199" s="878"/>
      <c r="Z199" s="878"/>
      <c r="AA199" s="878"/>
      <c r="AB199" s="879"/>
      <c r="AC199" s="879"/>
      <c r="AD199" s="879"/>
      <c r="AE199" s="879"/>
      <c r="AF199" s="879"/>
      <c r="AG199" s="879"/>
      <c r="AH199" s="879"/>
      <c r="AI199" s="879"/>
    </row>
    <row r="200" spans="1:35" x14ac:dyDescent="0.25">
      <c r="A200" s="876">
        <v>36200</v>
      </c>
      <c r="B200" s="873" t="s">
        <v>1414</v>
      </c>
      <c r="C200" s="873">
        <v>47077718</v>
      </c>
      <c r="D200" s="874">
        <v>39051580</v>
      </c>
      <c r="E200" s="874">
        <v>0</v>
      </c>
      <c r="F200" s="874">
        <v>4200</v>
      </c>
      <c r="G200" s="874">
        <v>0</v>
      </c>
      <c r="H200" s="874">
        <v>1569016</v>
      </c>
      <c r="I200" s="877">
        <f t="shared" si="9"/>
        <v>1573216</v>
      </c>
      <c r="J200" s="874"/>
      <c r="K200" s="874">
        <v>2670519</v>
      </c>
      <c r="L200" s="874">
        <v>0</v>
      </c>
      <c r="M200" s="874">
        <v>16918046</v>
      </c>
      <c r="N200" s="874">
        <v>2369845</v>
      </c>
      <c r="O200" s="877">
        <f t="shared" si="10"/>
        <v>21958410</v>
      </c>
      <c r="P200" s="874"/>
      <c r="Q200" s="877">
        <f t="shared" si="11"/>
        <v>-528261</v>
      </c>
      <c r="R200" s="874">
        <v>-81714</v>
      </c>
      <c r="S200" s="874">
        <v>-609975</v>
      </c>
      <c r="T200" s="878"/>
      <c r="U200" s="878"/>
      <c r="V200" s="878"/>
      <c r="W200" s="878"/>
      <c r="X200" s="878"/>
      <c r="Y200" s="878"/>
      <c r="Z200" s="878"/>
      <c r="AA200" s="878"/>
      <c r="AB200" s="879"/>
      <c r="AC200" s="879"/>
      <c r="AD200" s="879"/>
      <c r="AE200" s="879"/>
      <c r="AF200" s="879"/>
      <c r="AG200" s="879"/>
      <c r="AH200" s="879"/>
      <c r="AI200" s="879"/>
    </row>
    <row r="201" spans="1:35" x14ac:dyDescent="0.25">
      <c r="A201" s="876">
        <v>36205</v>
      </c>
      <c r="B201" s="873" t="s">
        <v>1415</v>
      </c>
      <c r="C201" s="873">
        <v>7500935</v>
      </c>
      <c r="D201" s="874">
        <v>7093009</v>
      </c>
      <c r="E201" s="874">
        <v>0</v>
      </c>
      <c r="F201" s="874">
        <v>763</v>
      </c>
      <c r="G201" s="874">
        <v>0</v>
      </c>
      <c r="H201" s="874">
        <v>739270</v>
      </c>
      <c r="I201" s="877">
        <f t="shared" si="9"/>
        <v>740033</v>
      </c>
      <c r="J201" s="874"/>
      <c r="K201" s="874">
        <v>485051</v>
      </c>
      <c r="L201" s="874">
        <v>0</v>
      </c>
      <c r="M201" s="874">
        <v>3072855</v>
      </c>
      <c r="N201" s="874">
        <v>419128</v>
      </c>
      <c r="O201" s="877">
        <f t="shared" si="10"/>
        <v>3977034</v>
      </c>
      <c r="P201" s="874"/>
      <c r="Q201" s="877">
        <f t="shared" si="11"/>
        <v>-95949</v>
      </c>
      <c r="R201" s="874">
        <v>43067</v>
      </c>
      <c r="S201" s="874">
        <v>-52882</v>
      </c>
      <c r="T201" s="878"/>
      <c r="U201" s="878"/>
      <c r="V201" s="878"/>
      <c r="W201" s="878"/>
      <c r="X201" s="878"/>
      <c r="Y201" s="878"/>
      <c r="Z201" s="878"/>
      <c r="AA201" s="878"/>
      <c r="AB201" s="879"/>
      <c r="AC201" s="879"/>
      <c r="AD201" s="879"/>
      <c r="AE201" s="879"/>
      <c r="AF201" s="879"/>
      <c r="AG201" s="879"/>
      <c r="AH201" s="879"/>
      <c r="AI201" s="879"/>
    </row>
    <row r="202" spans="1:35" x14ac:dyDescent="0.25">
      <c r="A202" s="876">
        <v>36300</v>
      </c>
      <c r="B202" s="873" t="s">
        <v>1416</v>
      </c>
      <c r="C202" s="873">
        <v>151611555</v>
      </c>
      <c r="D202" s="874">
        <v>126359923</v>
      </c>
      <c r="E202" s="874">
        <v>0</v>
      </c>
      <c r="F202" s="874">
        <v>13589</v>
      </c>
      <c r="G202" s="874">
        <v>0</v>
      </c>
      <c r="H202" s="874">
        <v>7183824</v>
      </c>
      <c r="I202" s="877">
        <f t="shared" si="9"/>
        <v>7197413</v>
      </c>
      <c r="J202" s="874"/>
      <c r="K202" s="874">
        <v>8641049</v>
      </c>
      <c r="L202" s="874">
        <v>0</v>
      </c>
      <c r="M202" s="874">
        <v>54742036</v>
      </c>
      <c r="N202" s="874">
        <v>7128710</v>
      </c>
      <c r="O202" s="877">
        <f t="shared" si="10"/>
        <v>70511795</v>
      </c>
      <c r="P202" s="874"/>
      <c r="Q202" s="877">
        <f t="shared" si="11"/>
        <v>-1709303</v>
      </c>
      <c r="R202" s="874">
        <v>370214</v>
      </c>
      <c r="S202" s="874">
        <v>-1339089</v>
      </c>
      <c r="T202" s="878"/>
      <c r="U202" s="878"/>
      <c r="V202" s="878"/>
      <c r="W202" s="878"/>
      <c r="X202" s="878"/>
      <c r="Y202" s="878"/>
      <c r="Z202" s="878"/>
      <c r="AA202" s="878"/>
      <c r="AB202" s="879"/>
      <c r="AC202" s="879"/>
      <c r="AD202" s="879"/>
      <c r="AE202" s="879"/>
      <c r="AF202" s="879"/>
      <c r="AG202" s="879"/>
      <c r="AH202" s="879"/>
      <c r="AI202" s="879"/>
    </row>
    <row r="203" spans="1:35" x14ac:dyDescent="0.25">
      <c r="A203" s="876">
        <v>36301</v>
      </c>
      <c r="B203" s="873" t="s">
        <v>1417</v>
      </c>
      <c r="C203" s="873">
        <v>2324127</v>
      </c>
      <c r="D203" s="874">
        <v>2123217</v>
      </c>
      <c r="E203" s="874">
        <v>0</v>
      </c>
      <c r="F203" s="874">
        <v>228</v>
      </c>
      <c r="G203" s="874">
        <v>0</v>
      </c>
      <c r="H203" s="874">
        <v>536834</v>
      </c>
      <c r="I203" s="877">
        <f t="shared" si="9"/>
        <v>537062</v>
      </c>
      <c r="J203" s="874"/>
      <c r="K203" s="874">
        <v>145195</v>
      </c>
      <c r="L203" s="874">
        <v>0</v>
      </c>
      <c r="M203" s="874">
        <v>919827</v>
      </c>
      <c r="N203" s="874">
        <v>0</v>
      </c>
      <c r="O203" s="877">
        <f t="shared" si="10"/>
        <v>1065022</v>
      </c>
      <c r="P203" s="874"/>
      <c r="Q203" s="877">
        <f t="shared" si="11"/>
        <v>-28721</v>
      </c>
      <c r="R203" s="874">
        <v>127947</v>
      </c>
      <c r="S203" s="874">
        <v>99226</v>
      </c>
      <c r="T203" s="878"/>
      <c r="U203" s="878"/>
      <c r="V203" s="878"/>
      <c r="W203" s="878"/>
      <c r="X203" s="878"/>
      <c r="Y203" s="878"/>
      <c r="Z203" s="878"/>
      <c r="AA203" s="878"/>
      <c r="AB203" s="879"/>
      <c r="AC203" s="879"/>
      <c r="AD203" s="879"/>
      <c r="AE203" s="879"/>
      <c r="AF203" s="879"/>
      <c r="AG203" s="879"/>
      <c r="AH203" s="879"/>
      <c r="AI203" s="879"/>
    </row>
    <row r="204" spans="1:35" x14ac:dyDescent="0.25">
      <c r="A204" s="876">
        <v>36302</v>
      </c>
      <c r="B204" s="873" t="s">
        <v>1418</v>
      </c>
      <c r="C204" s="873">
        <v>3782975</v>
      </c>
      <c r="D204" s="874">
        <v>3281507</v>
      </c>
      <c r="E204" s="874">
        <v>0</v>
      </c>
      <c r="F204" s="874">
        <v>353</v>
      </c>
      <c r="G204" s="874">
        <v>0</v>
      </c>
      <c r="H204" s="874">
        <v>110708</v>
      </c>
      <c r="I204" s="877">
        <f t="shared" si="9"/>
        <v>111061</v>
      </c>
      <c r="J204" s="874"/>
      <c r="K204" s="874">
        <v>224404</v>
      </c>
      <c r="L204" s="874">
        <v>0</v>
      </c>
      <c r="M204" s="874">
        <v>1421625</v>
      </c>
      <c r="N204" s="874">
        <v>21835</v>
      </c>
      <c r="O204" s="877">
        <f t="shared" si="10"/>
        <v>1667864</v>
      </c>
      <c r="P204" s="874"/>
      <c r="Q204" s="877">
        <f t="shared" si="11"/>
        <v>-44390</v>
      </c>
      <c r="R204" s="874">
        <v>23306</v>
      </c>
      <c r="S204" s="874">
        <v>-21084</v>
      </c>
      <c r="T204" s="878"/>
      <c r="U204" s="878"/>
      <c r="V204" s="878"/>
      <c r="W204" s="878"/>
      <c r="X204" s="878"/>
      <c r="Y204" s="878"/>
      <c r="Z204" s="878"/>
      <c r="AA204" s="878"/>
      <c r="AB204" s="879"/>
      <c r="AC204" s="879"/>
      <c r="AD204" s="879"/>
      <c r="AE204" s="879"/>
      <c r="AF204" s="879"/>
      <c r="AG204" s="879"/>
      <c r="AH204" s="879"/>
      <c r="AI204" s="879"/>
    </row>
    <row r="205" spans="1:35" x14ac:dyDescent="0.25">
      <c r="A205" s="876">
        <v>36305</v>
      </c>
      <c r="B205" s="873" t="s">
        <v>1419</v>
      </c>
      <c r="C205" s="873">
        <v>26572084</v>
      </c>
      <c r="D205" s="874">
        <v>22820204</v>
      </c>
      <c r="E205" s="874">
        <v>0</v>
      </c>
      <c r="F205" s="874">
        <v>2454</v>
      </c>
      <c r="G205" s="874">
        <v>0</v>
      </c>
      <c r="H205" s="874">
        <v>0</v>
      </c>
      <c r="I205" s="877">
        <f t="shared" si="9"/>
        <v>2454</v>
      </c>
      <c r="J205" s="874"/>
      <c r="K205" s="874">
        <v>1560546</v>
      </c>
      <c r="L205" s="874">
        <v>0</v>
      </c>
      <c r="M205" s="874">
        <v>9886239</v>
      </c>
      <c r="N205" s="874">
        <v>2173653</v>
      </c>
      <c r="O205" s="877">
        <f t="shared" si="10"/>
        <v>13620438</v>
      </c>
      <c r="P205" s="874"/>
      <c r="Q205" s="877">
        <f t="shared" si="11"/>
        <v>-308695</v>
      </c>
      <c r="R205" s="874">
        <v>-530898</v>
      </c>
      <c r="S205" s="874">
        <v>-839593</v>
      </c>
      <c r="T205" s="878"/>
      <c r="U205" s="878"/>
      <c r="V205" s="878"/>
      <c r="W205" s="878"/>
      <c r="X205" s="878"/>
      <c r="Y205" s="878"/>
      <c r="Z205" s="878"/>
      <c r="AA205" s="878"/>
      <c r="AB205" s="879"/>
      <c r="AC205" s="879"/>
      <c r="AD205" s="879"/>
      <c r="AE205" s="879"/>
      <c r="AF205" s="879"/>
      <c r="AG205" s="879"/>
      <c r="AH205" s="879"/>
      <c r="AI205" s="879"/>
    </row>
    <row r="206" spans="1:35" x14ac:dyDescent="0.25">
      <c r="A206" s="876">
        <v>36310</v>
      </c>
      <c r="B206" s="873" t="s">
        <v>1420</v>
      </c>
      <c r="C206" s="874">
        <v>803427</v>
      </c>
      <c r="D206" s="874">
        <v>0</v>
      </c>
      <c r="E206" s="874">
        <v>0</v>
      </c>
      <c r="F206" s="874">
        <v>0</v>
      </c>
      <c r="G206" s="874">
        <v>0</v>
      </c>
      <c r="H206" s="874">
        <v>714356</v>
      </c>
      <c r="I206" s="877">
        <f t="shared" si="9"/>
        <v>714356</v>
      </c>
      <c r="J206" s="874"/>
      <c r="K206" s="874">
        <v>0</v>
      </c>
      <c r="L206" s="874">
        <v>0</v>
      </c>
      <c r="M206" s="874">
        <v>0</v>
      </c>
      <c r="N206" s="874">
        <v>899905</v>
      </c>
      <c r="O206" s="877">
        <f t="shared" si="10"/>
        <v>899905</v>
      </c>
      <c r="P206" s="874"/>
      <c r="Q206" s="877">
        <f t="shared" si="11"/>
        <v>0</v>
      </c>
      <c r="R206" s="874">
        <v>-1391</v>
      </c>
      <c r="S206" s="874">
        <v>-1391</v>
      </c>
      <c r="T206" s="878"/>
      <c r="U206" s="878"/>
      <c r="V206" s="878"/>
      <c r="W206" s="878"/>
      <c r="X206" s="878"/>
      <c r="Y206" s="878"/>
      <c r="Z206" s="878"/>
      <c r="AA206" s="878"/>
      <c r="AB206" s="879"/>
      <c r="AC206" s="879"/>
      <c r="AD206" s="879"/>
      <c r="AE206" s="879"/>
      <c r="AF206" s="879"/>
      <c r="AG206" s="879"/>
      <c r="AH206" s="879"/>
      <c r="AI206" s="879"/>
    </row>
    <row r="207" spans="1:35" x14ac:dyDescent="0.25">
      <c r="A207" s="876">
        <v>36400</v>
      </c>
      <c r="B207" s="873" t="s">
        <v>1421</v>
      </c>
      <c r="C207" s="873">
        <v>167007178</v>
      </c>
      <c r="D207" s="874">
        <v>138834918</v>
      </c>
      <c r="E207" s="874">
        <v>0</v>
      </c>
      <c r="F207" s="874">
        <v>14931</v>
      </c>
      <c r="G207" s="874">
        <v>0</v>
      </c>
      <c r="H207" s="874">
        <v>11723860</v>
      </c>
      <c r="I207" s="877">
        <f t="shared" si="9"/>
        <v>11738791</v>
      </c>
      <c r="J207" s="874"/>
      <c r="K207" s="874">
        <v>9494144</v>
      </c>
      <c r="L207" s="874">
        <v>0</v>
      </c>
      <c r="M207" s="874">
        <v>60146492</v>
      </c>
      <c r="N207" s="874">
        <v>8159375</v>
      </c>
      <c r="O207" s="877">
        <f t="shared" si="10"/>
        <v>77800011</v>
      </c>
      <c r="P207" s="874"/>
      <c r="Q207" s="877">
        <f t="shared" si="11"/>
        <v>-1878055</v>
      </c>
      <c r="R207" s="874">
        <v>1299089</v>
      </c>
      <c r="S207" s="874">
        <v>-578966</v>
      </c>
      <c r="T207" s="878"/>
      <c r="U207" s="878"/>
      <c r="V207" s="878"/>
      <c r="W207" s="878"/>
      <c r="X207" s="878"/>
      <c r="Y207" s="878"/>
      <c r="Z207" s="878"/>
      <c r="AA207" s="878"/>
      <c r="AB207" s="879"/>
      <c r="AC207" s="879"/>
      <c r="AD207" s="879"/>
      <c r="AE207" s="879"/>
      <c r="AF207" s="879"/>
      <c r="AG207" s="879"/>
      <c r="AH207" s="879"/>
      <c r="AI207" s="879"/>
    </row>
    <row r="208" spans="1:35" x14ac:dyDescent="0.25">
      <c r="A208" s="876">
        <v>36405</v>
      </c>
      <c r="B208" s="873" t="s">
        <v>1422</v>
      </c>
      <c r="C208" s="873">
        <v>25818414</v>
      </c>
      <c r="D208" s="874">
        <v>23076336</v>
      </c>
      <c r="E208" s="874">
        <v>0</v>
      </c>
      <c r="F208" s="874">
        <v>2482</v>
      </c>
      <c r="G208" s="874">
        <v>0</v>
      </c>
      <c r="H208" s="874">
        <v>801435</v>
      </c>
      <c r="I208" s="877">
        <f t="shared" si="9"/>
        <v>803917</v>
      </c>
      <c r="J208" s="874"/>
      <c r="K208" s="874">
        <v>1578062</v>
      </c>
      <c r="L208" s="874">
        <v>0</v>
      </c>
      <c r="M208" s="874">
        <v>9997201</v>
      </c>
      <c r="N208" s="874">
        <v>260436</v>
      </c>
      <c r="O208" s="877">
        <f t="shared" si="10"/>
        <v>11835699</v>
      </c>
      <c r="P208" s="874"/>
      <c r="Q208" s="877">
        <f t="shared" si="11"/>
        <v>-312159</v>
      </c>
      <c r="R208" s="874">
        <v>95174</v>
      </c>
      <c r="S208" s="874">
        <v>-216985</v>
      </c>
      <c r="T208" s="878"/>
      <c r="U208" s="878"/>
      <c r="V208" s="878"/>
      <c r="W208" s="878"/>
      <c r="X208" s="878"/>
      <c r="Y208" s="878"/>
      <c r="Z208" s="878"/>
      <c r="AA208" s="878"/>
      <c r="AB208" s="879"/>
      <c r="AC208" s="879"/>
      <c r="AD208" s="879"/>
      <c r="AE208" s="879"/>
      <c r="AF208" s="879"/>
      <c r="AG208" s="879"/>
      <c r="AH208" s="879"/>
      <c r="AI208" s="879"/>
    </row>
    <row r="209" spans="1:35" x14ac:dyDescent="0.25">
      <c r="A209" s="876">
        <v>36500</v>
      </c>
      <c r="B209" s="873" t="s">
        <v>1423</v>
      </c>
      <c r="C209" s="873">
        <v>323208169</v>
      </c>
      <c r="D209" s="874">
        <v>279785407</v>
      </c>
      <c r="E209" s="874">
        <v>0</v>
      </c>
      <c r="F209" s="874">
        <v>30089</v>
      </c>
      <c r="G209" s="874">
        <v>0</v>
      </c>
      <c r="H209" s="874">
        <v>16929772</v>
      </c>
      <c r="I209" s="877">
        <f t="shared" si="9"/>
        <v>16959861</v>
      </c>
      <c r="J209" s="874"/>
      <c r="K209" s="874">
        <v>19132960</v>
      </c>
      <c r="L209" s="874">
        <v>0</v>
      </c>
      <c r="M209" s="874">
        <v>121209497</v>
      </c>
      <c r="N209" s="874">
        <v>1851015</v>
      </c>
      <c r="O209" s="877">
        <f t="shared" si="10"/>
        <v>142193472</v>
      </c>
      <c r="P209" s="874"/>
      <c r="Q209" s="877">
        <f t="shared" si="11"/>
        <v>-3784729</v>
      </c>
      <c r="R209" s="874">
        <v>3862241</v>
      </c>
      <c r="S209" s="874">
        <v>77512</v>
      </c>
      <c r="T209" s="878"/>
      <c r="U209" s="878"/>
      <c r="V209" s="878"/>
      <c r="W209" s="878"/>
      <c r="X209" s="878"/>
      <c r="Y209" s="878"/>
      <c r="Z209" s="878"/>
      <c r="AA209" s="878"/>
      <c r="AB209" s="879"/>
      <c r="AC209" s="879"/>
      <c r="AD209" s="879"/>
      <c r="AE209" s="879"/>
      <c r="AF209" s="879"/>
      <c r="AG209" s="879"/>
      <c r="AH209" s="879"/>
      <c r="AI209" s="879"/>
    </row>
    <row r="210" spans="1:35" x14ac:dyDescent="0.25">
      <c r="A210" s="876">
        <v>36501</v>
      </c>
      <c r="B210" s="873" t="s">
        <v>1424</v>
      </c>
      <c r="C210" s="873">
        <v>4013507</v>
      </c>
      <c r="D210" s="874">
        <v>3758793</v>
      </c>
      <c r="E210" s="874">
        <v>0</v>
      </c>
      <c r="F210" s="874">
        <v>404</v>
      </c>
      <c r="G210" s="874">
        <v>0</v>
      </c>
      <c r="H210" s="874">
        <v>659284</v>
      </c>
      <c r="I210" s="877">
        <f t="shared" si="9"/>
        <v>659688</v>
      </c>
      <c r="J210" s="874"/>
      <c r="K210" s="874">
        <v>257043</v>
      </c>
      <c r="L210" s="874">
        <v>0</v>
      </c>
      <c r="M210" s="874">
        <v>1628396</v>
      </c>
      <c r="N210" s="874">
        <v>0</v>
      </c>
      <c r="O210" s="877">
        <f t="shared" si="10"/>
        <v>1885439</v>
      </c>
      <c r="P210" s="874"/>
      <c r="Q210" s="877">
        <f t="shared" si="11"/>
        <v>-50846</v>
      </c>
      <c r="R210" s="874">
        <v>148329</v>
      </c>
      <c r="S210" s="874">
        <v>97483</v>
      </c>
      <c r="T210" s="878"/>
      <c r="U210" s="878"/>
      <c r="V210" s="878"/>
      <c r="W210" s="878"/>
      <c r="X210" s="878"/>
      <c r="Y210" s="878"/>
      <c r="Z210" s="878"/>
      <c r="AA210" s="878"/>
      <c r="AB210" s="879"/>
      <c r="AC210" s="879"/>
      <c r="AD210" s="879"/>
      <c r="AE210" s="879"/>
      <c r="AF210" s="879"/>
      <c r="AG210" s="879"/>
      <c r="AH210" s="879"/>
      <c r="AI210" s="879"/>
    </row>
    <row r="211" spans="1:35" x14ac:dyDescent="0.25">
      <c r="A211" s="876">
        <v>36502</v>
      </c>
      <c r="B211" s="873" t="s">
        <v>1425</v>
      </c>
      <c r="C211" s="873">
        <v>1474358</v>
      </c>
      <c r="D211" s="874">
        <v>1341112</v>
      </c>
      <c r="E211" s="874">
        <v>0</v>
      </c>
      <c r="F211" s="874">
        <v>144</v>
      </c>
      <c r="G211" s="874">
        <v>0</v>
      </c>
      <c r="H211" s="874">
        <v>69205</v>
      </c>
      <c r="I211" s="877">
        <f t="shared" si="9"/>
        <v>69349</v>
      </c>
      <c r="J211" s="874"/>
      <c r="K211" s="874">
        <v>91711</v>
      </c>
      <c r="L211" s="874">
        <v>0</v>
      </c>
      <c r="M211" s="874">
        <v>581001</v>
      </c>
      <c r="N211" s="874">
        <v>25320</v>
      </c>
      <c r="O211" s="877">
        <f t="shared" si="10"/>
        <v>698032</v>
      </c>
      <c r="P211" s="874"/>
      <c r="Q211" s="877">
        <f t="shared" si="11"/>
        <v>-18142</v>
      </c>
      <c r="R211" s="874">
        <v>7513</v>
      </c>
      <c r="S211" s="874">
        <v>-10629</v>
      </c>
      <c r="T211" s="878"/>
      <c r="U211" s="878"/>
      <c r="V211" s="878"/>
      <c r="W211" s="878"/>
      <c r="X211" s="878"/>
      <c r="Y211" s="878"/>
      <c r="Z211" s="878"/>
      <c r="AA211" s="878"/>
      <c r="AB211" s="879"/>
      <c r="AC211" s="879"/>
      <c r="AD211" s="879"/>
      <c r="AE211" s="879"/>
      <c r="AF211" s="879"/>
      <c r="AG211" s="879"/>
      <c r="AH211" s="879"/>
      <c r="AI211" s="879"/>
    </row>
    <row r="212" spans="1:35" x14ac:dyDescent="0.25">
      <c r="A212" s="876">
        <v>36505</v>
      </c>
      <c r="B212" s="873" t="s">
        <v>1426</v>
      </c>
      <c r="C212" s="873">
        <v>61085621</v>
      </c>
      <c r="D212" s="874">
        <v>52758449</v>
      </c>
      <c r="E212" s="874">
        <v>0</v>
      </c>
      <c r="F212" s="874">
        <v>5674</v>
      </c>
      <c r="G212" s="874">
        <v>0</v>
      </c>
      <c r="H212" s="874">
        <v>515480</v>
      </c>
      <c r="I212" s="877">
        <f t="shared" si="9"/>
        <v>521154</v>
      </c>
      <c r="J212" s="874"/>
      <c r="K212" s="874">
        <v>3607855</v>
      </c>
      <c r="L212" s="874">
        <v>0</v>
      </c>
      <c r="M212" s="874">
        <v>22856178</v>
      </c>
      <c r="N212" s="874">
        <v>345905</v>
      </c>
      <c r="O212" s="877">
        <f t="shared" si="10"/>
        <v>26809938</v>
      </c>
      <c r="P212" s="874"/>
      <c r="Q212" s="877">
        <f t="shared" si="11"/>
        <v>-713677</v>
      </c>
      <c r="R212" s="874">
        <v>59685</v>
      </c>
      <c r="S212" s="874">
        <v>-653992</v>
      </c>
      <c r="T212" s="878"/>
      <c r="U212" s="878"/>
      <c r="V212" s="878"/>
      <c r="W212" s="878"/>
      <c r="X212" s="878"/>
      <c r="Y212" s="878"/>
      <c r="Z212" s="878"/>
      <c r="AA212" s="878"/>
      <c r="AB212" s="879"/>
      <c r="AC212" s="879"/>
      <c r="AD212" s="879"/>
      <c r="AE212" s="879"/>
      <c r="AF212" s="879"/>
      <c r="AG212" s="879"/>
      <c r="AH212" s="879"/>
      <c r="AI212" s="879"/>
    </row>
    <row r="213" spans="1:35" x14ac:dyDescent="0.25">
      <c r="A213" s="876">
        <v>36600</v>
      </c>
      <c r="B213" s="873" t="s">
        <v>1427</v>
      </c>
      <c r="C213" s="873">
        <v>22572008</v>
      </c>
      <c r="D213" s="874">
        <v>19339852</v>
      </c>
      <c r="E213" s="874">
        <v>0</v>
      </c>
      <c r="F213" s="874">
        <v>2080</v>
      </c>
      <c r="G213" s="874">
        <v>0</v>
      </c>
      <c r="H213" s="874">
        <v>173880</v>
      </c>
      <c r="I213" s="877">
        <f t="shared" si="9"/>
        <v>175960</v>
      </c>
      <c r="J213" s="874"/>
      <c r="K213" s="874">
        <v>1322544</v>
      </c>
      <c r="L213" s="874">
        <v>0</v>
      </c>
      <c r="M213" s="874">
        <v>8378470</v>
      </c>
      <c r="N213" s="874">
        <v>319070</v>
      </c>
      <c r="O213" s="877">
        <f t="shared" si="10"/>
        <v>10020084</v>
      </c>
      <c r="P213" s="874"/>
      <c r="Q213" s="877">
        <f t="shared" si="11"/>
        <v>-261615</v>
      </c>
      <c r="R213" s="874">
        <v>-20345</v>
      </c>
      <c r="S213" s="874">
        <v>-281960</v>
      </c>
      <c r="T213" s="878"/>
      <c r="U213" s="878"/>
      <c r="V213" s="878"/>
      <c r="W213" s="878"/>
      <c r="X213" s="878"/>
      <c r="Y213" s="878"/>
      <c r="Z213" s="878"/>
      <c r="AA213" s="878"/>
      <c r="AB213" s="879"/>
      <c r="AC213" s="879"/>
      <c r="AD213" s="879"/>
      <c r="AE213" s="879"/>
      <c r="AF213" s="879"/>
      <c r="AG213" s="879"/>
      <c r="AH213" s="879"/>
      <c r="AI213" s="879"/>
    </row>
    <row r="214" spans="1:35" x14ac:dyDescent="0.25">
      <c r="A214" s="876">
        <v>36601</v>
      </c>
      <c r="B214" s="873" t="s">
        <v>1428</v>
      </c>
      <c r="C214" s="873">
        <v>13832668</v>
      </c>
      <c r="D214" s="874">
        <v>12332736</v>
      </c>
      <c r="E214" s="874">
        <v>0</v>
      </c>
      <c r="F214" s="874">
        <v>1326</v>
      </c>
      <c r="G214" s="874">
        <v>0</v>
      </c>
      <c r="H214" s="874">
        <v>1830296</v>
      </c>
      <c r="I214" s="877">
        <f t="shared" si="9"/>
        <v>1831622</v>
      </c>
      <c r="J214" s="874"/>
      <c r="K214" s="874">
        <v>843367</v>
      </c>
      <c r="L214" s="874">
        <v>0</v>
      </c>
      <c r="M214" s="874">
        <v>5342826</v>
      </c>
      <c r="N214" s="874">
        <v>0</v>
      </c>
      <c r="O214" s="877">
        <f t="shared" si="10"/>
        <v>6186193</v>
      </c>
      <c r="P214" s="874"/>
      <c r="Q214" s="877">
        <f t="shared" si="11"/>
        <v>-166828</v>
      </c>
      <c r="R214" s="874">
        <v>441644</v>
      </c>
      <c r="S214" s="874">
        <v>274816</v>
      </c>
      <c r="T214" s="878"/>
      <c r="U214" s="878"/>
      <c r="V214" s="878"/>
      <c r="W214" s="878"/>
      <c r="X214" s="878"/>
      <c r="Y214" s="878"/>
      <c r="Z214" s="878"/>
      <c r="AA214" s="878"/>
      <c r="AB214" s="879"/>
      <c r="AC214" s="879"/>
      <c r="AD214" s="879"/>
      <c r="AE214" s="879"/>
      <c r="AF214" s="879"/>
      <c r="AG214" s="879"/>
      <c r="AH214" s="879"/>
      <c r="AI214" s="879"/>
    </row>
    <row r="215" spans="1:35" x14ac:dyDescent="0.25">
      <c r="A215" s="876">
        <v>36700</v>
      </c>
      <c r="B215" s="873" t="s">
        <v>1429</v>
      </c>
      <c r="C215" s="873">
        <v>272637438</v>
      </c>
      <c r="D215" s="874">
        <v>238274599</v>
      </c>
      <c r="E215" s="874">
        <v>0</v>
      </c>
      <c r="F215" s="874">
        <v>25625</v>
      </c>
      <c r="G215" s="874">
        <v>0</v>
      </c>
      <c r="H215" s="874">
        <v>9949464</v>
      </c>
      <c r="I215" s="877">
        <f t="shared" si="9"/>
        <v>9975089</v>
      </c>
      <c r="J215" s="874"/>
      <c r="K215" s="874">
        <v>16294268</v>
      </c>
      <c r="L215" s="874">
        <v>0</v>
      </c>
      <c r="M215" s="874">
        <v>103226057</v>
      </c>
      <c r="N215" s="874">
        <v>0</v>
      </c>
      <c r="O215" s="877">
        <f t="shared" si="10"/>
        <v>119520325</v>
      </c>
      <c r="P215" s="874"/>
      <c r="Q215" s="877">
        <f t="shared" si="11"/>
        <v>-3223201</v>
      </c>
      <c r="R215" s="874">
        <v>2420512</v>
      </c>
      <c r="S215" s="874">
        <v>-802689</v>
      </c>
      <c r="T215" s="878"/>
      <c r="U215" s="878"/>
      <c r="V215" s="878"/>
      <c r="W215" s="878"/>
      <c r="X215" s="878"/>
      <c r="Y215" s="878"/>
      <c r="Z215" s="878"/>
      <c r="AA215" s="878"/>
      <c r="AB215" s="879"/>
      <c r="AC215" s="879"/>
      <c r="AD215" s="879"/>
      <c r="AE215" s="879"/>
      <c r="AF215" s="879"/>
      <c r="AG215" s="879"/>
      <c r="AH215" s="879"/>
      <c r="AI215" s="879"/>
    </row>
    <row r="216" spans="1:35" x14ac:dyDescent="0.25">
      <c r="A216" s="876">
        <v>36701</v>
      </c>
      <c r="B216" s="873" t="s">
        <v>1430</v>
      </c>
      <c r="C216" s="873">
        <v>1019833</v>
      </c>
      <c r="D216" s="874">
        <v>823891</v>
      </c>
      <c r="E216" s="874">
        <v>0</v>
      </c>
      <c r="F216" s="874">
        <v>89</v>
      </c>
      <c r="G216" s="874">
        <v>0</v>
      </c>
      <c r="H216" s="874">
        <v>0</v>
      </c>
      <c r="I216" s="877">
        <f t="shared" si="9"/>
        <v>89</v>
      </c>
      <c r="J216" s="874"/>
      <c r="K216" s="874">
        <v>56341</v>
      </c>
      <c r="L216" s="874">
        <v>0</v>
      </c>
      <c r="M216" s="874">
        <v>356929</v>
      </c>
      <c r="N216" s="874">
        <v>375225</v>
      </c>
      <c r="O216" s="877">
        <f t="shared" si="10"/>
        <v>788495</v>
      </c>
      <c r="P216" s="874"/>
      <c r="Q216" s="877">
        <f t="shared" si="11"/>
        <v>-11145</v>
      </c>
      <c r="R216" s="874">
        <v>-89735</v>
      </c>
      <c r="S216" s="874">
        <v>-100880</v>
      </c>
      <c r="T216" s="878"/>
      <c r="U216" s="878"/>
      <c r="V216" s="878"/>
      <c r="W216" s="878"/>
      <c r="X216" s="878"/>
      <c r="Y216" s="878"/>
      <c r="Z216" s="878"/>
      <c r="AA216" s="878"/>
      <c r="AB216" s="879"/>
      <c r="AC216" s="879"/>
      <c r="AD216" s="879"/>
      <c r="AE216" s="879"/>
      <c r="AF216" s="879"/>
      <c r="AG216" s="879"/>
      <c r="AH216" s="879"/>
      <c r="AI216" s="879"/>
    </row>
    <row r="217" spans="1:35" x14ac:dyDescent="0.25">
      <c r="A217" s="876">
        <v>36705</v>
      </c>
      <c r="B217" s="873" t="s">
        <v>1431</v>
      </c>
      <c r="C217" s="873">
        <v>29319165</v>
      </c>
      <c r="D217" s="874">
        <v>27816087</v>
      </c>
      <c r="E217" s="874">
        <v>0</v>
      </c>
      <c r="F217" s="874">
        <v>2991</v>
      </c>
      <c r="G217" s="874">
        <v>0</v>
      </c>
      <c r="H217" s="874">
        <v>3014345</v>
      </c>
      <c r="I217" s="877">
        <f t="shared" si="9"/>
        <v>3017336</v>
      </c>
      <c r="J217" s="874"/>
      <c r="K217" s="874">
        <v>1902187</v>
      </c>
      <c r="L217" s="874">
        <v>0</v>
      </c>
      <c r="M217" s="874">
        <v>12050571</v>
      </c>
      <c r="N217" s="874">
        <v>986580</v>
      </c>
      <c r="O217" s="877">
        <f t="shared" si="10"/>
        <v>14939338</v>
      </c>
      <c r="P217" s="874"/>
      <c r="Q217" s="877">
        <f t="shared" si="11"/>
        <v>-376275</v>
      </c>
      <c r="R217" s="874">
        <v>356224</v>
      </c>
      <c r="S217" s="874">
        <v>-20051</v>
      </c>
      <c r="T217" s="878"/>
      <c r="U217" s="878"/>
      <c r="V217" s="878"/>
      <c r="W217" s="878"/>
      <c r="X217" s="878"/>
      <c r="Y217" s="878"/>
      <c r="Z217" s="878"/>
      <c r="AA217" s="878"/>
      <c r="AB217" s="879"/>
      <c r="AC217" s="879"/>
      <c r="AD217" s="879"/>
      <c r="AE217" s="879"/>
      <c r="AF217" s="879"/>
      <c r="AG217" s="879"/>
      <c r="AH217" s="879"/>
      <c r="AI217" s="879"/>
    </row>
    <row r="218" spans="1:35" x14ac:dyDescent="0.25">
      <c r="A218" s="876">
        <v>36800</v>
      </c>
      <c r="B218" s="873" t="s">
        <v>1432</v>
      </c>
      <c r="C218" s="873">
        <v>105035373</v>
      </c>
      <c r="D218" s="874">
        <v>90850434</v>
      </c>
      <c r="E218" s="874">
        <v>0</v>
      </c>
      <c r="F218" s="874">
        <v>9770</v>
      </c>
      <c r="G218" s="874">
        <v>0</v>
      </c>
      <c r="H218" s="874">
        <v>4982520</v>
      </c>
      <c r="I218" s="877">
        <f t="shared" si="9"/>
        <v>4992290</v>
      </c>
      <c r="J218" s="874"/>
      <c r="K218" s="874">
        <v>6212753</v>
      </c>
      <c r="L218" s="874">
        <v>0</v>
      </c>
      <c r="M218" s="874">
        <v>39358506</v>
      </c>
      <c r="N218" s="874">
        <v>675060</v>
      </c>
      <c r="O218" s="877">
        <f t="shared" si="10"/>
        <v>46246319</v>
      </c>
      <c r="P218" s="874"/>
      <c r="Q218" s="877">
        <f t="shared" si="11"/>
        <v>-1228957</v>
      </c>
      <c r="R218" s="874">
        <v>1110617</v>
      </c>
      <c r="S218" s="874">
        <v>-118340</v>
      </c>
      <c r="T218" s="878"/>
      <c r="U218" s="878"/>
      <c r="V218" s="878"/>
      <c r="W218" s="878"/>
      <c r="X218" s="878"/>
      <c r="Y218" s="878"/>
      <c r="Z218" s="878"/>
      <c r="AA218" s="878"/>
      <c r="AB218" s="879"/>
      <c r="AC218" s="879"/>
      <c r="AD218" s="879"/>
      <c r="AE218" s="879"/>
      <c r="AF218" s="879"/>
      <c r="AG218" s="879"/>
      <c r="AH218" s="879"/>
      <c r="AI218" s="879"/>
    </row>
    <row r="219" spans="1:35" x14ac:dyDescent="0.25">
      <c r="A219" s="876">
        <v>36802</v>
      </c>
      <c r="B219" s="873" t="s">
        <v>1433</v>
      </c>
      <c r="C219" s="873">
        <v>3711483</v>
      </c>
      <c r="D219" s="874">
        <v>4855202</v>
      </c>
      <c r="E219" s="874">
        <v>0</v>
      </c>
      <c r="F219" s="874">
        <v>522</v>
      </c>
      <c r="G219" s="874">
        <v>0</v>
      </c>
      <c r="H219" s="874">
        <v>2993235</v>
      </c>
      <c r="I219" s="877">
        <f t="shared" si="9"/>
        <v>2993757</v>
      </c>
      <c r="J219" s="874"/>
      <c r="K219" s="874">
        <v>332020</v>
      </c>
      <c r="L219" s="874">
        <v>0</v>
      </c>
      <c r="M219" s="874">
        <v>2103386</v>
      </c>
      <c r="N219" s="874">
        <v>0</v>
      </c>
      <c r="O219" s="877">
        <f t="shared" si="10"/>
        <v>2435406</v>
      </c>
      <c r="P219" s="874"/>
      <c r="Q219" s="877">
        <f t="shared" si="11"/>
        <v>-65678</v>
      </c>
      <c r="R219" s="874">
        <v>644108</v>
      </c>
      <c r="S219" s="874">
        <v>578430</v>
      </c>
      <c r="T219" s="878"/>
      <c r="U219" s="878"/>
      <c r="V219" s="878"/>
      <c r="W219" s="878"/>
      <c r="X219" s="878"/>
      <c r="Y219" s="878"/>
      <c r="Z219" s="878"/>
      <c r="AA219" s="878"/>
      <c r="AB219" s="879"/>
      <c r="AC219" s="879"/>
      <c r="AD219" s="879"/>
      <c r="AE219" s="879"/>
      <c r="AF219" s="879"/>
      <c r="AG219" s="879"/>
      <c r="AH219" s="879"/>
      <c r="AI219" s="879"/>
    </row>
    <row r="220" spans="1:35" x14ac:dyDescent="0.25">
      <c r="A220" s="876">
        <v>36810</v>
      </c>
      <c r="B220" s="873" t="s">
        <v>1434</v>
      </c>
      <c r="C220" s="873">
        <v>198969592</v>
      </c>
      <c r="D220" s="874">
        <v>171504963</v>
      </c>
      <c r="E220" s="874">
        <v>0</v>
      </c>
      <c r="F220" s="874">
        <v>18444</v>
      </c>
      <c r="G220" s="874">
        <v>0</v>
      </c>
      <c r="H220" s="874">
        <v>3755856</v>
      </c>
      <c r="I220" s="877">
        <f t="shared" si="9"/>
        <v>3774300</v>
      </c>
      <c r="J220" s="874"/>
      <c r="K220" s="874">
        <v>11728266</v>
      </c>
      <c r="L220" s="874">
        <v>0</v>
      </c>
      <c r="M220" s="874">
        <v>74299909</v>
      </c>
      <c r="N220" s="874">
        <v>2238510</v>
      </c>
      <c r="O220" s="877">
        <f t="shared" si="10"/>
        <v>88266685</v>
      </c>
      <c r="P220" s="874"/>
      <c r="Q220" s="877">
        <f t="shared" si="11"/>
        <v>-2319991</v>
      </c>
      <c r="R220" s="874">
        <v>491263</v>
      </c>
      <c r="S220" s="874">
        <v>-1828728</v>
      </c>
      <c r="T220" s="878"/>
      <c r="U220" s="878"/>
      <c r="V220" s="878"/>
      <c r="W220" s="878"/>
      <c r="X220" s="878"/>
      <c r="Y220" s="878"/>
      <c r="Z220" s="878"/>
      <c r="AA220" s="878"/>
      <c r="AB220" s="879"/>
      <c r="AC220" s="879"/>
      <c r="AD220" s="879"/>
      <c r="AE220" s="879"/>
      <c r="AF220" s="879"/>
      <c r="AG220" s="879"/>
      <c r="AH220" s="879"/>
      <c r="AI220" s="879"/>
    </row>
    <row r="221" spans="1:35" x14ac:dyDescent="0.25">
      <c r="A221" s="876">
        <v>36900</v>
      </c>
      <c r="B221" s="873" t="s">
        <v>1435</v>
      </c>
      <c r="C221" s="873">
        <v>19425969</v>
      </c>
      <c r="D221" s="874">
        <v>16118650</v>
      </c>
      <c r="E221" s="874">
        <v>0</v>
      </c>
      <c r="F221" s="874">
        <v>1733</v>
      </c>
      <c r="G221" s="874">
        <v>0</v>
      </c>
      <c r="H221" s="874">
        <v>756944</v>
      </c>
      <c r="I221" s="877">
        <f t="shared" si="9"/>
        <v>758677</v>
      </c>
      <c r="J221" s="874"/>
      <c r="K221" s="874">
        <v>1102264</v>
      </c>
      <c r="L221" s="874">
        <v>0</v>
      </c>
      <c r="M221" s="874">
        <v>6982971</v>
      </c>
      <c r="N221" s="874">
        <v>983625</v>
      </c>
      <c r="O221" s="877">
        <f t="shared" si="10"/>
        <v>9068860</v>
      </c>
      <c r="P221" s="874"/>
      <c r="Q221" s="877">
        <f t="shared" si="11"/>
        <v>-218041</v>
      </c>
      <c r="R221" s="874">
        <v>-7483</v>
      </c>
      <c r="S221" s="874">
        <v>-225524</v>
      </c>
      <c r="T221" s="878"/>
      <c r="U221" s="878"/>
      <c r="V221" s="878"/>
      <c r="W221" s="878"/>
      <c r="X221" s="878"/>
      <c r="Y221" s="878"/>
      <c r="Z221" s="878"/>
      <c r="AA221" s="878"/>
      <c r="AB221" s="879"/>
      <c r="AC221" s="879"/>
      <c r="AD221" s="879"/>
      <c r="AE221" s="879"/>
      <c r="AF221" s="879"/>
      <c r="AG221" s="879"/>
      <c r="AH221" s="879"/>
      <c r="AI221" s="879"/>
    </row>
    <row r="222" spans="1:35" x14ac:dyDescent="0.25">
      <c r="A222" s="876">
        <v>36901</v>
      </c>
      <c r="B222" s="873" t="s">
        <v>1436</v>
      </c>
      <c r="C222" s="873">
        <v>6611339</v>
      </c>
      <c r="D222" s="874">
        <v>5912414</v>
      </c>
      <c r="E222" s="874">
        <v>0</v>
      </c>
      <c r="F222" s="874">
        <v>636</v>
      </c>
      <c r="G222" s="874">
        <v>0</v>
      </c>
      <c r="H222" s="874">
        <v>684516</v>
      </c>
      <c r="I222" s="877">
        <f t="shared" si="9"/>
        <v>685152</v>
      </c>
      <c r="J222" s="874"/>
      <c r="K222" s="874">
        <v>404317</v>
      </c>
      <c r="L222" s="874">
        <v>0</v>
      </c>
      <c r="M222" s="874">
        <v>2561395</v>
      </c>
      <c r="N222" s="874">
        <v>0</v>
      </c>
      <c r="O222" s="877">
        <f t="shared" si="10"/>
        <v>2965712</v>
      </c>
      <c r="P222" s="874"/>
      <c r="Q222" s="877">
        <f t="shared" si="11"/>
        <v>-79979</v>
      </c>
      <c r="R222" s="874">
        <v>160559</v>
      </c>
      <c r="S222" s="874">
        <v>80580</v>
      </c>
      <c r="T222" s="878"/>
      <c r="U222" s="878"/>
      <c r="V222" s="878"/>
      <c r="W222" s="878"/>
      <c r="X222" s="878"/>
      <c r="Y222" s="878"/>
      <c r="Z222" s="878"/>
      <c r="AA222" s="878"/>
      <c r="AB222" s="879"/>
      <c r="AC222" s="879"/>
      <c r="AD222" s="879"/>
      <c r="AE222" s="879"/>
      <c r="AF222" s="879"/>
      <c r="AG222" s="879"/>
      <c r="AH222" s="879"/>
      <c r="AI222" s="879"/>
    </row>
    <row r="223" spans="1:35" x14ac:dyDescent="0.25">
      <c r="A223" s="876">
        <v>36905</v>
      </c>
      <c r="B223" s="873" t="s">
        <v>1437</v>
      </c>
      <c r="C223" s="873">
        <v>6003119</v>
      </c>
      <c r="D223" s="874">
        <v>5436489</v>
      </c>
      <c r="E223" s="874">
        <v>0</v>
      </c>
      <c r="F223" s="874">
        <v>585</v>
      </c>
      <c r="G223" s="874">
        <v>0</v>
      </c>
      <c r="H223" s="874">
        <v>727747</v>
      </c>
      <c r="I223" s="877">
        <f t="shared" si="9"/>
        <v>728332</v>
      </c>
      <c r="J223" s="874"/>
      <c r="K223" s="874">
        <v>371771</v>
      </c>
      <c r="L223" s="874">
        <v>0</v>
      </c>
      <c r="M223" s="874">
        <v>2355212</v>
      </c>
      <c r="N223" s="874">
        <v>0</v>
      </c>
      <c r="O223" s="877">
        <f t="shared" si="10"/>
        <v>2726983</v>
      </c>
      <c r="P223" s="874"/>
      <c r="Q223" s="877">
        <f t="shared" si="11"/>
        <v>-73541</v>
      </c>
      <c r="R223" s="874">
        <v>166399</v>
      </c>
      <c r="S223" s="874">
        <v>92858</v>
      </c>
      <c r="T223" s="878"/>
      <c r="U223" s="878"/>
      <c r="V223" s="878"/>
      <c r="W223" s="878"/>
      <c r="X223" s="878"/>
      <c r="Y223" s="878"/>
      <c r="Z223" s="878"/>
      <c r="AA223" s="878"/>
      <c r="AB223" s="879"/>
      <c r="AC223" s="879"/>
      <c r="AD223" s="879"/>
      <c r="AE223" s="879"/>
      <c r="AF223" s="879"/>
      <c r="AG223" s="879"/>
      <c r="AH223" s="879"/>
      <c r="AI223" s="879"/>
    </row>
    <row r="224" spans="1:35" ht="26.25" x14ac:dyDescent="0.25">
      <c r="A224" s="876">
        <v>37000</v>
      </c>
      <c r="B224" s="873" t="s">
        <v>1438</v>
      </c>
      <c r="C224" s="873">
        <v>64560874</v>
      </c>
      <c r="D224" s="874">
        <v>53907178</v>
      </c>
      <c r="E224" s="874">
        <v>0</v>
      </c>
      <c r="F224" s="874">
        <v>5797</v>
      </c>
      <c r="G224" s="874">
        <v>0</v>
      </c>
      <c r="H224" s="874">
        <v>376540</v>
      </c>
      <c r="I224" s="877">
        <f t="shared" si="9"/>
        <v>382337</v>
      </c>
      <c r="J224" s="874"/>
      <c r="K224" s="874">
        <v>3686411</v>
      </c>
      <c r="L224" s="874">
        <v>0</v>
      </c>
      <c r="M224" s="874">
        <v>23353834</v>
      </c>
      <c r="N224" s="874">
        <v>2871000</v>
      </c>
      <c r="O224" s="877">
        <f t="shared" si="10"/>
        <v>29911245</v>
      </c>
      <c r="P224" s="874"/>
      <c r="Q224" s="877">
        <f t="shared" si="11"/>
        <v>-729216</v>
      </c>
      <c r="R224" s="874">
        <v>-480065</v>
      </c>
      <c r="S224" s="874">
        <v>-1209281</v>
      </c>
      <c r="T224" s="878"/>
      <c r="U224" s="878"/>
      <c r="V224" s="878"/>
      <c r="W224" s="878"/>
      <c r="X224" s="878"/>
      <c r="Y224" s="878"/>
      <c r="Z224" s="878"/>
      <c r="AA224" s="878"/>
      <c r="AB224" s="879"/>
      <c r="AC224" s="879"/>
      <c r="AD224" s="879"/>
      <c r="AE224" s="879"/>
      <c r="AF224" s="879"/>
      <c r="AG224" s="879"/>
      <c r="AH224" s="879"/>
      <c r="AI224" s="879"/>
    </row>
    <row r="225" spans="1:35" x14ac:dyDescent="0.25">
      <c r="A225" s="876">
        <v>37001</v>
      </c>
      <c r="B225" s="873" t="s">
        <v>1168</v>
      </c>
      <c r="C225" s="873">
        <v>2539686</v>
      </c>
      <c r="D225" s="874">
        <v>2913823</v>
      </c>
      <c r="E225" s="874">
        <v>0</v>
      </c>
      <c r="F225" s="874">
        <v>313</v>
      </c>
      <c r="G225" s="874">
        <v>0</v>
      </c>
      <c r="H225" s="874">
        <v>2221121</v>
      </c>
      <c r="I225" s="877">
        <f t="shared" si="9"/>
        <v>2221434</v>
      </c>
      <c r="J225" s="874"/>
      <c r="K225" s="874">
        <v>199260</v>
      </c>
      <c r="L225" s="874">
        <v>0</v>
      </c>
      <c r="M225" s="874">
        <v>1262335</v>
      </c>
      <c r="N225" s="874">
        <v>0</v>
      </c>
      <c r="O225" s="877">
        <f t="shared" si="10"/>
        <v>1461595</v>
      </c>
      <c r="P225" s="874"/>
      <c r="Q225" s="877">
        <f t="shared" si="11"/>
        <v>-39416</v>
      </c>
      <c r="R225" s="874">
        <v>510330</v>
      </c>
      <c r="S225" s="874">
        <v>470914</v>
      </c>
      <c r="T225" s="878"/>
      <c r="U225" s="878"/>
      <c r="V225" s="878"/>
      <c r="W225" s="878"/>
      <c r="X225" s="878"/>
      <c r="Y225" s="878"/>
      <c r="Z225" s="878"/>
      <c r="AA225" s="878"/>
      <c r="AB225" s="879"/>
      <c r="AC225" s="879"/>
      <c r="AD225" s="879"/>
      <c r="AE225" s="879"/>
      <c r="AF225" s="879"/>
      <c r="AG225" s="879"/>
      <c r="AH225" s="879"/>
      <c r="AI225" s="879"/>
    </row>
    <row r="226" spans="1:35" x14ac:dyDescent="0.25">
      <c r="A226" s="876">
        <v>37005</v>
      </c>
      <c r="B226" s="873" t="s">
        <v>1439</v>
      </c>
      <c r="C226" s="873">
        <v>14559242</v>
      </c>
      <c r="D226" s="874">
        <v>12660696</v>
      </c>
      <c r="E226" s="874">
        <v>0</v>
      </c>
      <c r="F226" s="874">
        <v>1362</v>
      </c>
      <c r="G226" s="874">
        <v>0</v>
      </c>
      <c r="H226" s="874">
        <v>73455</v>
      </c>
      <c r="I226" s="877">
        <f t="shared" si="9"/>
        <v>74817</v>
      </c>
      <c r="J226" s="874"/>
      <c r="K226" s="874">
        <v>865794</v>
      </c>
      <c r="L226" s="874">
        <v>0</v>
      </c>
      <c r="M226" s="874">
        <v>5484906</v>
      </c>
      <c r="N226" s="874">
        <v>405992</v>
      </c>
      <c r="O226" s="877">
        <f t="shared" si="10"/>
        <v>6756692</v>
      </c>
      <c r="P226" s="874"/>
      <c r="Q226" s="877">
        <f t="shared" si="11"/>
        <v>-171264</v>
      </c>
      <c r="R226" s="874">
        <v>-86812</v>
      </c>
      <c r="S226" s="874">
        <v>-258076</v>
      </c>
      <c r="T226" s="878"/>
      <c r="U226" s="878"/>
      <c r="V226" s="878"/>
      <c r="W226" s="878"/>
      <c r="X226" s="878"/>
      <c r="Y226" s="878"/>
      <c r="Z226" s="878"/>
      <c r="AA226" s="878"/>
      <c r="AB226" s="879"/>
      <c r="AC226" s="879"/>
      <c r="AD226" s="879"/>
      <c r="AE226" s="879"/>
      <c r="AF226" s="879"/>
      <c r="AG226" s="879"/>
      <c r="AH226" s="879"/>
      <c r="AI226" s="879"/>
    </row>
    <row r="227" spans="1:35" x14ac:dyDescent="0.25">
      <c r="A227" s="876">
        <v>37100</v>
      </c>
      <c r="B227" s="873" t="s">
        <v>1440</v>
      </c>
      <c r="C227" s="873">
        <v>96270012</v>
      </c>
      <c r="D227" s="874">
        <v>82956834</v>
      </c>
      <c r="E227" s="874">
        <v>0</v>
      </c>
      <c r="F227" s="874">
        <v>8922</v>
      </c>
      <c r="G227" s="874">
        <v>0</v>
      </c>
      <c r="H227" s="874">
        <v>5113296</v>
      </c>
      <c r="I227" s="877">
        <f t="shared" si="9"/>
        <v>5122218</v>
      </c>
      <c r="J227" s="874"/>
      <c r="K227" s="874">
        <v>5672954</v>
      </c>
      <c r="L227" s="874">
        <v>0</v>
      </c>
      <c r="M227" s="874">
        <v>35938816</v>
      </c>
      <c r="N227" s="874">
        <v>1092010</v>
      </c>
      <c r="O227" s="877">
        <f t="shared" si="10"/>
        <v>42703780</v>
      </c>
      <c r="P227" s="874"/>
      <c r="Q227" s="877">
        <f t="shared" si="11"/>
        <v>-1122178</v>
      </c>
      <c r="R227" s="874">
        <v>1059921</v>
      </c>
      <c r="S227" s="874">
        <v>-62257</v>
      </c>
      <c r="T227" s="878"/>
      <c r="U227" s="878"/>
      <c r="V227" s="878"/>
      <c r="W227" s="878"/>
      <c r="X227" s="878"/>
      <c r="Y227" s="878"/>
      <c r="Z227" s="878"/>
      <c r="AA227" s="878"/>
      <c r="AB227" s="879"/>
      <c r="AC227" s="879"/>
      <c r="AD227" s="879"/>
      <c r="AE227" s="879"/>
      <c r="AF227" s="879"/>
      <c r="AG227" s="879"/>
      <c r="AH227" s="879"/>
      <c r="AI227" s="879"/>
    </row>
    <row r="228" spans="1:35" x14ac:dyDescent="0.25">
      <c r="A228" s="876">
        <v>37200</v>
      </c>
      <c r="B228" s="873" t="s">
        <v>1441</v>
      </c>
      <c r="C228" s="873">
        <v>21608379</v>
      </c>
      <c r="D228" s="874">
        <v>18039126</v>
      </c>
      <c r="E228" s="874">
        <v>0</v>
      </c>
      <c r="F228" s="874">
        <v>1940</v>
      </c>
      <c r="G228" s="874">
        <v>0</v>
      </c>
      <c r="H228" s="874">
        <v>1024868</v>
      </c>
      <c r="I228" s="877">
        <f t="shared" si="9"/>
        <v>1026808</v>
      </c>
      <c r="J228" s="874"/>
      <c r="K228" s="874">
        <v>1233595</v>
      </c>
      <c r="L228" s="874">
        <v>0</v>
      </c>
      <c r="M228" s="874">
        <v>7814966</v>
      </c>
      <c r="N228" s="874">
        <v>979655</v>
      </c>
      <c r="O228" s="877">
        <f t="shared" si="10"/>
        <v>10028216</v>
      </c>
      <c r="P228" s="874"/>
      <c r="Q228" s="877">
        <f t="shared" si="11"/>
        <v>-244020</v>
      </c>
      <c r="R228" s="874">
        <v>60286</v>
      </c>
      <c r="S228" s="874">
        <v>-183734</v>
      </c>
      <c r="T228" s="878"/>
      <c r="U228" s="878"/>
      <c r="V228" s="878"/>
      <c r="W228" s="878"/>
      <c r="X228" s="878"/>
      <c r="Y228" s="878"/>
      <c r="Z228" s="878"/>
      <c r="AA228" s="878"/>
      <c r="AB228" s="879"/>
      <c r="AC228" s="879"/>
      <c r="AD228" s="879"/>
      <c r="AE228" s="879"/>
      <c r="AF228" s="879"/>
      <c r="AG228" s="879"/>
      <c r="AH228" s="879"/>
      <c r="AI228" s="879"/>
    </row>
    <row r="229" spans="1:35" x14ac:dyDescent="0.25">
      <c r="A229" s="876">
        <v>37300</v>
      </c>
      <c r="B229" s="873" t="s">
        <v>1442</v>
      </c>
      <c r="C229" s="873">
        <v>57083907</v>
      </c>
      <c r="D229" s="874">
        <v>49167898</v>
      </c>
      <c r="E229" s="874">
        <v>0</v>
      </c>
      <c r="F229" s="874">
        <v>5288</v>
      </c>
      <c r="G229" s="874">
        <v>0</v>
      </c>
      <c r="H229" s="874">
        <v>2902832</v>
      </c>
      <c r="I229" s="877">
        <f t="shared" si="9"/>
        <v>2908120</v>
      </c>
      <c r="J229" s="874"/>
      <c r="K229" s="874">
        <v>3362318</v>
      </c>
      <c r="L229" s="874">
        <v>0</v>
      </c>
      <c r="M229" s="874">
        <v>21300668</v>
      </c>
      <c r="N229" s="874">
        <v>673480</v>
      </c>
      <c r="O229" s="877">
        <f t="shared" si="10"/>
        <v>25336466</v>
      </c>
      <c r="P229" s="874"/>
      <c r="Q229" s="877">
        <f t="shared" si="11"/>
        <v>-665107</v>
      </c>
      <c r="R229" s="874">
        <v>591017</v>
      </c>
      <c r="S229" s="874">
        <v>-74090</v>
      </c>
      <c r="T229" s="878"/>
      <c r="U229" s="878"/>
      <c r="V229" s="878"/>
      <c r="W229" s="878"/>
      <c r="X229" s="878"/>
      <c r="Y229" s="878"/>
      <c r="Z229" s="878"/>
      <c r="AA229" s="878"/>
      <c r="AB229" s="879"/>
      <c r="AC229" s="879"/>
      <c r="AD229" s="879"/>
      <c r="AE229" s="879"/>
      <c r="AF229" s="879"/>
      <c r="AG229" s="879"/>
      <c r="AH229" s="879"/>
      <c r="AI229" s="879"/>
    </row>
    <row r="230" spans="1:35" x14ac:dyDescent="0.25">
      <c r="A230" s="876">
        <v>37301</v>
      </c>
      <c r="B230" s="873" t="s">
        <v>1443</v>
      </c>
      <c r="C230" s="873">
        <v>6502496</v>
      </c>
      <c r="D230" s="874">
        <v>5429066</v>
      </c>
      <c r="E230" s="874">
        <v>0</v>
      </c>
      <c r="F230" s="874">
        <v>584</v>
      </c>
      <c r="G230" s="874">
        <v>0</v>
      </c>
      <c r="H230" s="874">
        <v>535876</v>
      </c>
      <c r="I230" s="877">
        <f t="shared" si="9"/>
        <v>536460</v>
      </c>
      <c r="J230" s="874"/>
      <c r="K230" s="874">
        <v>371263</v>
      </c>
      <c r="L230" s="874">
        <v>0</v>
      </c>
      <c r="M230" s="874">
        <v>2351997</v>
      </c>
      <c r="N230" s="874">
        <v>295350</v>
      </c>
      <c r="O230" s="877">
        <f t="shared" si="10"/>
        <v>3018610</v>
      </c>
      <c r="P230" s="874"/>
      <c r="Q230" s="877">
        <f t="shared" si="11"/>
        <v>-73440</v>
      </c>
      <c r="R230" s="874">
        <v>74897</v>
      </c>
      <c r="S230" s="874">
        <v>1457</v>
      </c>
      <c r="T230" s="878"/>
      <c r="U230" s="878"/>
      <c r="V230" s="878"/>
      <c r="W230" s="878"/>
      <c r="X230" s="878"/>
      <c r="Y230" s="878"/>
      <c r="Z230" s="878"/>
      <c r="AA230" s="878"/>
      <c r="AB230" s="879"/>
      <c r="AC230" s="879"/>
      <c r="AD230" s="879"/>
      <c r="AE230" s="879"/>
      <c r="AF230" s="879"/>
      <c r="AG230" s="879"/>
      <c r="AH230" s="879"/>
      <c r="AI230" s="879"/>
    </row>
    <row r="231" spans="1:35" x14ac:dyDescent="0.25">
      <c r="A231" s="876">
        <v>37305</v>
      </c>
      <c r="B231" s="873" t="s">
        <v>1444</v>
      </c>
      <c r="C231" s="873">
        <v>13636624</v>
      </c>
      <c r="D231" s="874">
        <v>11623498</v>
      </c>
      <c r="E231" s="874">
        <v>0</v>
      </c>
      <c r="F231" s="874">
        <v>1250</v>
      </c>
      <c r="G231" s="874">
        <v>0</v>
      </c>
      <c r="H231" s="874">
        <v>0</v>
      </c>
      <c r="I231" s="877">
        <f t="shared" si="9"/>
        <v>1250</v>
      </c>
      <c r="J231" s="874"/>
      <c r="K231" s="874">
        <v>794866</v>
      </c>
      <c r="L231" s="874">
        <v>0</v>
      </c>
      <c r="M231" s="874">
        <v>5035568</v>
      </c>
      <c r="N231" s="874">
        <v>1998769</v>
      </c>
      <c r="O231" s="877">
        <f t="shared" si="10"/>
        <v>7829203</v>
      </c>
      <c r="P231" s="874"/>
      <c r="Q231" s="877">
        <f t="shared" si="11"/>
        <v>-157234</v>
      </c>
      <c r="R231" s="874">
        <v>-489076</v>
      </c>
      <c r="S231" s="874">
        <v>-646310</v>
      </c>
      <c r="T231" s="878"/>
      <c r="U231" s="878"/>
      <c r="V231" s="878"/>
      <c r="W231" s="878"/>
      <c r="X231" s="878"/>
      <c r="Y231" s="878"/>
      <c r="Z231" s="878"/>
      <c r="AA231" s="878"/>
      <c r="AB231" s="879"/>
      <c r="AC231" s="879"/>
      <c r="AD231" s="879"/>
      <c r="AE231" s="879"/>
      <c r="AF231" s="879"/>
      <c r="AG231" s="879"/>
      <c r="AH231" s="879"/>
      <c r="AI231" s="879"/>
    </row>
    <row r="232" spans="1:35" x14ac:dyDescent="0.25">
      <c r="A232" s="876">
        <v>37400</v>
      </c>
      <c r="B232" s="873" t="s">
        <v>1445</v>
      </c>
      <c r="C232" s="873">
        <v>271053859</v>
      </c>
      <c r="D232" s="874">
        <v>230082539</v>
      </c>
      <c r="E232" s="874">
        <v>0</v>
      </c>
      <c r="F232" s="874">
        <v>24744</v>
      </c>
      <c r="G232" s="874">
        <v>0</v>
      </c>
      <c r="H232" s="874">
        <v>4980460</v>
      </c>
      <c r="I232" s="877">
        <f t="shared" si="9"/>
        <v>5005204</v>
      </c>
      <c r="J232" s="874"/>
      <c r="K232" s="874">
        <v>15734059</v>
      </c>
      <c r="L232" s="874">
        <v>0</v>
      </c>
      <c r="M232" s="874">
        <v>99677068</v>
      </c>
      <c r="N232" s="874">
        <v>7679805</v>
      </c>
      <c r="O232" s="877">
        <f t="shared" si="10"/>
        <v>123090932</v>
      </c>
      <c r="P232" s="874"/>
      <c r="Q232" s="877">
        <f t="shared" si="11"/>
        <v>-3112385</v>
      </c>
      <c r="R232" s="874">
        <v>-290844</v>
      </c>
      <c r="S232" s="874">
        <v>-3403229</v>
      </c>
      <c r="T232" s="878"/>
      <c r="U232" s="878"/>
      <c r="V232" s="878"/>
      <c r="W232" s="878"/>
      <c r="X232" s="878"/>
      <c r="Y232" s="878"/>
      <c r="Z232" s="878"/>
      <c r="AA232" s="878"/>
      <c r="AB232" s="879"/>
      <c r="AC232" s="879"/>
      <c r="AD232" s="879"/>
      <c r="AE232" s="879"/>
      <c r="AF232" s="879"/>
      <c r="AG232" s="879"/>
      <c r="AH232" s="879"/>
      <c r="AI232" s="879"/>
    </row>
    <row r="233" spans="1:35" x14ac:dyDescent="0.25">
      <c r="A233" s="876">
        <v>37405</v>
      </c>
      <c r="B233" s="873" t="s">
        <v>1446</v>
      </c>
      <c r="C233" s="873">
        <v>56845073</v>
      </c>
      <c r="D233" s="874">
        <v>50717589</v>
      </c>
      <c r="E233" s="874">
        <v>0</v>
      </c>
      <c r="F233" s="874">
        <v>5454</v>
      </c>
      <c r="G233" s="874">
        <v>0</v>
      </c>
      <c r="H233" s="874">
        <v>1679220</v>
      </c>
      <c r="I233" s="877">
        <f t="shared" si="9"/>
        <v>1684674</v>
      </c>
      <c r="J233" s="874"/>
      <c r="K233" s="874">
        <v>3468292</v>
      </c>
      <c r="L233" s="874">
        <v>0</v>
      </c>
      <c r="M233" s="874">
        <v>21972030</v>
      </c>
      <c r="N233" s="874">
        <v>1688868</v>
      </c>
      <c r="O233" s="877">
        <f t="shared" si="10"/>
        <v>27129190</v>
      </c>
      <c r="P233" s="874"/>
      <c r="Q233" s="877">
        <f t="shared" si="11"/>
        <v>-686070</v>
      </c>
      <c r="R233" s="874">
        <v>-86373</v>
      </c>
      <c r="S233" s="874">
        <v>-772443</v>
      </c>
      <c r="T233" s="878"/>
      <c r="U233" s="878"/>
      <c r="V233" s="878"/>
      <c r="W233" s="878"/>
      <c r="X233" s="878"/>
      <c r="Y233" s="878"/>
      <c r="Z233" s="878"/>
      <c r="AA233" s="878"/>
      <c r="AB233" s="879"/>
      <c r="AC233" s="879"/>
      <c r="AD233" s="879"/>
      <c r="AE233" s="879"/>
      <c r="AF233" s="879"/>
      <c r="AG233" s="879"/>
      <c r="AH233" s="879"/>
      <c r="AI233" s="879"/>
    </row>
    <row r="234" spans="1:35" x14ac:dyDescent="0.25">
      <c r="A234" s="876">
        <v>37500</v>
      </c>
      <c r="B234" s="873" t="s">
        <v>1447</v>
      </c>
      <c r="C234" s="873">
        <v>30162646</v>
      </c>
      <c r="D234" s="874">
        <v>25266365</v>
      </c>
      <c r="E234" s="874">
        <v>0</v>
      </c>
      <c r="F234" s="874">
        <v>2717</v>
      </c>
      <c r="G234" s="874">
        <v>0</v>
      </c>
      <c r="H234" s="874">
        <v>226664</v>
      </c>
      <c r="I234" s="877">
        <f t="shared" si="9"/>
        <v>229381</v>
      </c>
      <c r="J234" s="874"/>
      <c r="K234" s="874">
        <v>1727825</v>
      </c>
      <c r="L234" s="874">
        <v>0</v>
      </c>
      <c r="M234" s="874">
        <v>10945973</v>
      </c>
      <c r="N234" s="874">
        <v>1202425</v>
      </c>
      <c r="O234" s="877">
        <f t="shared" si="10"/>
        <v>13876223</v>
      </c>
      <c r="P234" s="874"/>
      <c r="Q234" s="877">
        <f t="shared" si="11"/>
        <v>-341785</v>
      </c>
      <c r="R234" s="874">
        <v>-183822</v>
      </c>
      <c r="S234" s="874">
        <v>-525607</v>
      </c>
      <c r="T234" s="878"/>
      <c r="U234" s="878"/>
      <c r="V234" s="878"/>
      <c r="W234" s="878"/>
      <c r="X234" s="878"/>
      <c r="Y234" s="878"/>
      <c r="Z234" s="878"/>
      <c r="AA234" s="878"/>
      <c r="AB234" s="879"/>
      <c r="AC234" s="879"/>
      <c r="AD234" s="879"/>
      <c r="AE234" s="879"/>
      <c r="AF234" s="879"/>
      <c r="AG234" s="879"/>
      <c r="AH234" s="879"/>
      <c r="AI234" s="879"/>
    </row>
    <row r="235" spans="1:35" x14ac:dyDescent="0.25">
      <c r="A235" s="876">
        <v>37600</v>
      </c>
      <c r="B235" s="873" t="s">
        <v>1448</v>
      </c>
      <c r="C235" s="873">
        <v>189232270</v>
      </c>
      <c r="D235" s="874">
        <v>157545106</v>
      </c>
      <c r="E235" s="874">
        <v>0</v>
      </c>
      <c r="F235" s="874">
        <v>16943</v>
      </c>
      <c r="G235" s="874">
        <v>0</v>
      </c>
      <c r="H235" s="874">
        <v>5414292</v>
      </c>
      <c r="I235" s="877">
        <f t="shared" si="9"/>
        <v>5431235</v>
      </c>
      <c r="J235" s="874"/>
      <c r="K235" s="874">
        <v>10773629</v>
      </c>
      <c r="L235" s="874">
        <v>0</v>
      </c>
      <c r="M235" s="874">
        <v>68252177</v>
      </c>
      <c r="N235" s="874">
        <v>9196895</v>
      </c>
      <c r="O235" s="877">
        <f t="shared" si="10"/>
        <v>88222701</v>
      </c>
      <c r="P235" s="874"/>
      <c r="Q235" s="877">
        <f t="shared" si="11"/>
        <v>-2131153</v>
      </c>
      <c r="R235" s="874">
        <v>-485810</v>
      </c>
      <c r="S235" s="874">
        <v>-2616963</v>
      </c>
      <c r="T235" s="878"/>
      <c r="U235" s="878"/>
      <c r="V235" s="878"/>
      <c r="W235" s="878"/>
      <c r="X235" s="878"/>
      <c r="Y235" s="878"/>
      <c r="Z235" s="878"/>
      <c r="AA235" s="878"/>
      <c r="AB235" s="879"/>
      <c r="AC235" s="879"/>
      <c r="AD235" s="879"/>
      <c r="AE235" s="879"/>
      <c r="AF235" s="879"/>
      <c r="AG235" s="879"/>
      <c r="AH235" s="879"/>
      <c r="AI235" s="879"/>
    </row>
    <row r="236" spans="1:35" x14ac:dyDescent="0.25">
      <c r="A236" s="876">
        <v>37601</v>
      </c>
      <c r="B236" s="873" t="s">
        <v>1449</v>
      </c>
      <c r="C236" s="873">
        <v>7704859</v>
      </c>
      <c r="D236" s="874">
        <v>8190844</v>
      </c>
      <c r="E236" s="874">
        <v>0</v>
      </c>
      <c r="F236" s="874">
        <v>881</v>
      </c>
      <c r="G236" s="874">
        <v>0</v>
      </c>
      <c r="H236" s="874">
        <v>3527884</v>
      </c>
      <c r="I236" s="877">
        <f t="shared" si="9"/>
        <v>3528765</v>
      </c>
      <c r="J236" s="874"/>
      <c r="K236" s="874">
        <v>560126</v>
      </c>
      <c r="L236" s="874">
        <v>0</v>
      </c>
      <c r="M236" s="874">
        <v>3548463</v>
      </c>
      <c r="N236" s="874">
        <v>0</v>
      </c>
      <c r="O236" s="877">
        <f t="shared" si="10"/>
        <v>4108589</v>
      </c>
      <c r="P236" s="874"/>
      <c r="Q236" s="877">
        <f t="shared" si="11"/>
        <v>-110800</v>
      </c>
      <c r="R236" s="874">
        <v>788565</v>
      </c>
      <c r="S236" s="874">
        <v>677765</v>
      </c>
      <c r="T236" s="878"/>
      <c r="U236" s="878"/>
      <c r="V236" s="878"/>
      <c r="W236" s="878"/>
      <c r="X236" s="878"/>
      <c r="Y236" s="878"/>
      <c r="Z236" s="878"/>
      <c r="AA236" s="878"/>
      <c r="AB236" s="879"/>
      <c r="AC236" s="879"/>
      <c r="AD236" s="879"/>
      <c r="AE236" s="879"/>
      <c r="AF236" s="879"/>
      <c r="AG236" s="879"/>
      <c r="AH236" s="879"/>
      <c r="AI236" s="879"/>
    </row>
    <row r="237" spans="1:35" x14ac:dyDescent="0.25">
      <c r="A237" s="876">
        <v>37605</v>
      </c>
      <c r="B237" s="873" t="s">
        <v>1450</v>
      </c>
      <c r="C237" s="873">
        <v>21546291</v>
      </c>
      <c r="D237" s="874">
        <v>19056518</v>
      </c>
      <c r="E237" s="874">
        <v>0</v>
      </c>
      <c r="F237" s="874">
        <v>2049</v>
      </c>
      <c r="G237" s="874">
        <v>0</v>
      </c>
      <c r="H237" s="874">
        <v>420770</v>
      </c>
      <c r="I237" s="877">
        <f t="shared" si="9"/>
        <v>422819</v>
      </c>
      <c r="J237" s="874"/>
      <c r="K237" s="874">
        <v>1303169</v>
      </c>
      <c r="L237" s="874">
        <v>0</v>
      </c>
      <c r="M237" s="874">
        <v>8255724</v>
      </c>
      <c r="N237" s="874">
        <v>412292</v>
      </c>
      <c r="O237" s="877">
        <f t="shared" si="10"/>
        <v>9971185</v>
      </c>
      <c r="P237" s="874"/>
      <c r="Q237" s="877">
        <f t="shared" si="11"/>
        <v>-257782</v>
      </c>
      <c r="R237" s="874">
        <v>-18922</v>
      </c>
      <c r="S237" s="874">
        <v>-276704</v>
      </c>
      <c r="T237" s="878"/>
      <c r="U237" s="878"/>
      <c r="V237" s="878"/>
      <c r="W237" s="878"/>
      <c r="X237" s="878"/>
      <c r="Y237" s="878"/>
      <c r="Z237" s="878"/>
      <c r="AA237" s="878"/>
      <c r="AB237" s="879"/>
      <c r="AC237" s="879"/>
      <c r="AD237" s="879"/>
      <c r="AE237" s="879"/>
      <c r="AF237" s="879"/>
      <c r="AG237" s="879"/>
      <c r="AH237" s="879"/>
      <c r="AI237" s="879"/>
    </row>
    <row r="238" spans="1:35" x14ac:dyDescent="0.25">
      <c r="A238" s="876">
        <v>37610</v>
      </c>
      <c r="B238" s="873" t="s">
        <v>1451</v>
      </c>
      <c r="C238" s="873">
        <v>59406863</v>
      </c>
      <c r="D238" s="874">
        <v>48037418</v>
      </c>
      <c r="E238" s="874">
        <v>0</v>
      </c>
      <c r="F238" s="874">
        <v>5166</v>
      </c>
      <c r="G238" s="874">
        <v>0</v>
      </c>
      <c r="H238" s="874">
        <v>2868008</v>
      </c>
      <c r="I238" s="877">
        <f t="shared" si="9"/>
        <v>2873174</v>
      </c>
      <c r="J238" s="874"/>
      <c r="K238" s="874">
        <v>3285011</v>
      </c>
      <c r="L238" s="874">
        <v>0</v>
      </c>
      <c r="M238" s="874">
        <v>20810919</v>
      </c>
      <c r="N238" s="874">
        <v>4756480</v>
      </c>
      <c r="O238" s="877">
        <f t="shared" si="10"/>
        <v>28852410</v>
      </c>
      <c r="P238" s="874"/>
      <c r="Q238" s="877">
        <f t="shared" si="11"/>
        <v>-649814</v>
      </c>
      <c r="R238" s="874">
        <v>-234298</v>
      </c>
      <c r="S238" s="874">
        <v>-884112</v>
      </c>
      <c r="T238" s="878"/>
      <c r="U238" s="878"/>
      <c r="V238" s="878"/>
      <c r="W238" s="878"/>
      <c r="X238" s="878"/>
      <c r="Y238" s="878"/>
      <c r="Z238" s="878"/>
      <c r="AA238" s="878"/>
      <c r="AB238" s="879"/>
      <c r="AC238" s="879"/>
      <c r="AD238" s="879"/>
      <c r="AE238" s="879"/>
      <c r="AF238" s="879"/>
      <c r="AG238" s="879"/>
      <c r="AH238" s="879"/>
      <c r="AI238" s="879"/>
    </row>
    <row r="239" spans="1:35" x14ac:dyDescent="0.25">
      <c r="A239" s="876">
        <v>37700</v>
      </c>
      <c r="B239" s="873" t="s">
        <v>1452</v>
      </c>
      <c r="C239" s="873">
        <v>79378771</v>
      </c>
      <c r="D239" s="874">
        <v>66705494</v>
      </c>
      <c r="E239" s="874">
        <v>0</v>
      </c>
      <c r="F239" s="874">
        <v>7174</v>
      </c>
      <c r="G239" s="874">
        <v>0</v>
      </c>
      <c r="H239" s="874">
        <v>1079252</v>
      </c>
      <c r="I239" s="877">
        <f t="shared" si="9"/>
        <v>1086426</v>
      </c>
      <c r="J239" s="874"/>
      <c r="K239" s="874">
        <v>4561616</v>
      </c>
      <c r="L239" s="874">
        <v>0</v>
      </c>
      <c r="M239" s="874">
        <v>28898360</v>
      </c>
      <c r="N239" s="874">
        <v>2999495</v>
      </c>
      <c r="O239" s="877">
        <f t="shared" si="10"/>
        <v>36459471</v>
      </c>
      <c r="P239" s="874"/>
      <c r="Q239" s="877">
        <f t="shared" si="11"/>
        <v>-902342</v>
      </c>
      <c r="R239" s="874">
        <v>-330083</v>
      </c>
      <c r="S239" s="874">
        <v>-1232425</v>
      </c>
      <c r="T239" s="878"/>
      <c r="U239" s="878"/>
      <c r="V239" s="878"/>
      <c r="W239" s="878"/>
      <c r="X239" s="878"/>
      <c r="Y239" s="878"/>
      <c r="Z239" s="878"/>
      <c r="AA239" s="878"/>
      <c r="AB239" s="879"/>
      <c r="AC239" s="879"/>
      <c r="AD239" s="879"/>
      <c r="AE239" s="879"/>
      <c r="AF239" s="879"/>
      <c r="AG239" s="879"/>
      <c r="AH239" s="879"/>
      <c r="AI239" s="879"/>
    </row>
    <row r="240" spans="1:35" x14ac:dyDescent="0.25">
      <c r="A240" s="876">
        <v>37705</v>
      </c>
      <c r="B240" s="873" t="s">
        <v>1453</v>
      </c>
      <c r="C240" s="873">
        <v>21974619</v>
      </c>
      <c r="D240" s="874">
        <v>20183736</v>
      </c>
      <c r="E240" s="874">
        <v>0</v>
      </c>
      <c r="F240" s="874">
        <v>2171</v>
      </c>
      <c r="G240" s="874">
        <v>0</v>
      </c>
      <c r="H240" s="874">
        <v>1416870</v>
      </c>
      <c r="I240" s="877">
        <f t="shared" si="9"/>
        <v>1419041</v>
      </c>
      <c r="J240" s="874"/>
      <c r="K240" s="874">
        <v>1380253</v>
      </c>
      <c r="L240" s="874">
        <v>0</v>
      </c>
      <c r="M240" s="874">
        <v>8744061</v>
      </c>
      <c r="N240" s="874">
        <v>582180</v>
      </c>
      <c r="O240" s="877">
        <f t="shared" si="10"/>
        <v>10706494</v>
      </c>
      <c r="P240" s="874"/>
      <c r="Q240" s="877">
        <f t="shared" si="11"/>
        <v>-273031</v>
      </c>
      <c r="R240" s="874">
        <v>137831</v>
      </c>
      <c r="S240" s="874">
        <v>-135200</v>
      </c>
      <c r="T240" s="878"/>
      <c r="U240" s="878"/>
      <c r="V240" s="878"/>
      <c r="W240" s="878"/>
      <c r="X240" s="878"/>
      <c r="Y240" s="878"/>
      <c r="Z240" s="878"/>
      <c r="AA240" s="878"/>
      <c r="AB240" s="879"/>
      <c r="AC240" s="879"/>
      <c r="AD240" s="879"/>
      <c r="AE240" s="879"/>
      <c r="AF240" s="879"/>
      <c r="AG240" s="879"/>
      <c r="AH240" s="879"/>
      <c r="AI240" s="879"/>
    </row>
    <row r="241" spans="1:35" x14ac:dyDescent="0.25">
      <c r="A241" s="876">
        <v>37800</v>
      </c>
      <c r="B241" s="873" t="s">
        <v>1454</v>
      </c>
      <c r="C241" s="873">
        <v>243610920</v>
      </c>
      <c r="D241" s="874">
        <v>209476067</v>
      </c>
      <c r="E241" s="874">
        <v>0</v>
      </c>
      <c r="F241" s="874">
        <v>22528</v>
      </c>
      <c r="G241" s="874">
        <v>0</v>
      </c>
      <c r="H241" s="874">
        <v>7330976</v>
      </c>
      <c r="I241" s="877">
        <f t="shared" si="9"/>
        <v>7353504</v>
      </c>
      <c r="J241" s="874"/>
      <c r="K241" s="874">
        <v>14324897</v>
      </c>
      <c r="L241" s="874">
        <v>0</v>
      </c>
      <c r="M241" s="874">
        <v>90749868</v>
      </c>
      <c r="N241" s="874">
        <v>2897255</v>
      </c>
      <c r="O241" s="877">
        <f t="shared" si="10"/>
        <v>107972020</v>
      </c>
      <c r="P241" s="874"/>
      <c r="Q241" s="877">
        <f t="shared" si="11"/>
        <v>-2833636</v>
      </c>
      <c r="R241" s="874">
        <v>1253296</v>
      </c>
      <c r="S241" s="874">
        <v>-1580340</v>
      </c>
      <c r="T241" s="878"/>
      <c r="U241" s="878"/>
      <c r="V241" s="878"/>
      <c r="W241" s="878"/>
      <c r="X241" s="878"/>
      <c r="Y241" s="878"/>
      <c r="Z241" s="878"/>
      <c r="AA241" s="878"/>
      <c r="AB241" s="879"/>
      <c r="AC241" s="879"/>
      <c r="AD241" s="879"/>
      <c r="AE241" s="879"/>
      <c r="AF241" s="879"/>
      <c r="AG241" s="879"/>
      <c r="AH241" s="879"/>
      <c r="AI241" s="879"/>
    </row>
    <row r="242" spans="1:35" x14ac:dyDescent="0.25">
      <c r="A242" s="876">
        <v>37801</v>
      </c>
      <c r="B242" s="873" t="s">
        <v>1455</v>
      </c>
      <c r="C242" s="873">
        <v>1962153</v>
      </c>
      <c r="D242" s="874">
        <v>1720496</v>
      </c>
      <c r="E242" s="874">
        <v>0</v>
      </c>
      <c r="F242" s="874">
        <v>185</v>
      </c>
      <c r="G242" s="874">
        <v>0</v>
      </c>
      <c r="H242" s="874">
        <v>428871</v>
      </c>
      <c r="I242" s="877">
        <f t="shared" si="9"/>
        <v>429056</v>
      </c>
      <c r="J242" s="874"/>
      <c r="K242" s="874">
        <v>117655</v>
      </c>
      <c r="L242" s="874">
        <v>0</v>
      </c>
      <c r="M242" s="874">
        <v>745358</v>
      </c>
      <c r="N242" s="874">
        <v>0</v>
      </c>
      <c r="O242" s="877">
        <f t="shared" si="10"/>
        <v>863013</v>
      </c>
      <c r="P242" s="874"/>
      <c r="Q242" s="877">
        <f t="shared" si="11"/>
        <v>-23274</v>
      </c>
      <c r="R242" s="874">
        <v>106857</v>
      </c>
      <c r="S242" s="874">
        <v>83583</v>
      </c>
      <c r="T242" s="878"/>
      <c r="U242" s="878"/>
      <c r="V242" s="878"/>
      <c r="W242" s="878"/>
      <c r="X242" s="878"/>
      <c r="Y242" s="878"/>
      <c r="Z242" s="878"/>
      <c r="AA242" s="878"/>
      <c r="AB242" s="879"/>
      <c r="AC242" s="879"/>
      <c r="AD242" s="879"/>
      <c r="AE242" s="879"/>
      <c r="AF242" s="879"/>
      <c r="AG242" s="879"/>
      <c r="AH242" s="879"/>
      <c r="AI242" s="879"/>
    </row>
    <row r="243" spans="1:35" x14ac:dyDescent="0.25">
      <c r="A243" s="876">
        <v>37805</v>
      </c>
      <c r="B243" s="873" t="s">
        <v>1456</v>
      </c>
      <c r="C243" s="873">
        <v>17457246</v>
      </c>
      <c r="D243" s="874">
        <v>15477223</v>
      </c>
      <c r="E243" s="874">
        <v>0</v>
      </c>
      <c r="F243" s="874">
        <v>1664</v>
      </c>
      <c r="G243" s="874">
        <v>0</v>
      </c>
      <c r="H243" s="874">
        <v>417215</v>
      </c>
      <c r="I243" s="877">
        <f t="shared" si="9"/>
        <v>418879</v>
      </c>
      <c r="J243" s="874"/>
      <c r="K243" s="874">
        <v>1058401</v>
      </c>
      <c r="L243" s="874">
        <v>0</v>
      </c>
      <c r="M243" s="874">
        <v>6705090</v>
      </c>
      <c r="N243" s="874">
        <v>1568616</v>
      </c>
      <c r="O243" s="877">
        <f t="shared" si="10"/>
        <v>9332107</v>
      </c>
      <c r="P243" s="874"/>
      <c r="Q243" s="877">
        <f t="shared" si="11"/>
        <v>-209364</v>
      </c>
      <c r="R243" s="874">
        <v>-308713</v>
      </c>
      <c r="S243" s="874">
        <v>-518077</v>
      </c>
      <c r="T243" s="878"/>
      <c r="U243" s="878"/>
      <c r="V243" s="878"/>
      <c r="W243" s="878"/>
      <c r="X243" s="878"/>
      <c r="Y243" s="878"/>
      <c r="Z243" s="878"/>
      <c r="AA243" s="878"/>
      <c r="AB243" s="879"/>
      <c r="AC243" s="879"/>
      <c r="AD243" s="879"/>
      <c r="AE243" s="879"/>
      <c r="AF243" s="879"/>
      <c r="AG243" s="879"/>
      <c r="AH243" s="879"/>
      <c r="AI243" s="879"/>
    </row>
    <row r="244" spans="1:35" x14ac:dyDescent="0.25">
      <c r="A244" s="876">
        <v>37900</v>
      </c>
      <c r="B244" s="873" t="s">
        <v>1457</v>
      </c>
      <c r="C244" s="873">
        <v>129941774</v>
      </c>
      <c r="D244" s="874">
        <v>106821567</v>
      </c>
      <c r="E244" s="874">
        <v>0</v>
      </c>
      <c r="F244" s="874">
        <v>11488</v>
      </c>
      <c r="G244" s="874">
        <v>0</v>
      </c>
      <c r="H244" s="874">
        <v>1639628</v>
      </c>
      <c r="I244" s="877">
        <f t="shared" si="9"/>
        <v>1651116</v>
      </c>
      <c r="J244" s="874"/>
      <c r="K244" s="874">
        <v>7304930</v>
      </c>
      <c r="L244" s="874">
        <v>0</v>
      </c>
      <c r="M244" s="874">
        <v>46277570</v>
      </c>
      <c r="N244" s="874">
        <v>7909185</v>
      </c>
      <c r="O244" s="877">
        <f t="shared" si="10"/>
        <v>61491685</v>
      </c>
      <c r="P244" s="874"/>
      <c r="Q244" s="877">
        <f t="shared" si="11"/>
        <v>-1445003</v>
      </c>
      <c r="R244" s="874">
        <v>-1171925</v>
      </c>
      <c r="S244" s="874">
        <v>-2616928</v>
      </c>
      <c r="T244" s="878"/>
      <c r="U244" s="878"/>
      <c r="V244" s="878"/>
      <c r="W244" s="878"/>
      <c r="X244" s="878"/>
      <c r="Y244" s="878"/>
      <c r="Z244" s="878"/>
      <c r="AA244" s="878"/>
      <c r="AB244" s="879"/>
      <c r="AC244" s="879"/>
      <c r="AD244" s="879"/>
      <c r="AE244" s="879"/>
      <c r="AF244" s="879"/>
      <c r="AG244" s="879"/>
      <c r="AH244" s="879"/>
      <c r="AI244" s="879"/>
    </row>
    <row r="245" spans="1:35" x14ac:dyDescent="0.25">
      <c r="A245" s="876">
        <v>37901</v>
      </c>
      <c r="B245" s="873" t="s">
        <v>1458</v>
      </c>
      <c r="C245" s="873">
        <v>1789948</v>
      </c>
      <c r="D245" s="874">
        <v>2106393</v>
      </c>
      <c r="E245" s="874">
        <v>0</v>
      </c>
      <c r="F245" s="874">
        <v>227</v>
      </c>
      <c r="G245" s="874">
        <v>0</v>
      </c>
      <c r="H245" s="874">
        <v>707780</v>
      </c>
      <c r="I245" s="877">
        <f t="shared" si="9"/>
        <v>708007</v>
      </c>
      <c r="J245" s="874"/>
      <c r="K245" s="874">
        <v>144044</v>
      </c>
      <c r="L245" s="874">
        <v>0</v>
      </c>
      <c r="M245" s="874">
        <v>912538</v>
      </c>
      <c r="N245" s="874">
        <v>89024</v>
      </c>
      <c r="O245" s="877">
        <f t="shared" si="10"/>
        <v>1145606</v>
      </c>
      <c r="P245" s="874"/>
      <c r="Q245" s="877">
        <f t="shared" si="11"/>
        <v>-28494</v>
      </c>
      <c r="R245" s="874">
        <v>119296</v>
      </c>
      <c r="S245" s="874">
        <v>90802</v>
      </c>
      <c r="T245" s="878"/>
      <c r="U245" s="878"/>
      <c r="V245" s="878"/>
      <c r="W245" s="878"/>
      <c r="X245" s="878"/>
      <c r="Y245" s="878"/>
      <c r="Z245" s="878"/>
      <c r="AA245" s="878"/>
      <c r="AB245" s="879"/>
      <c r="AC245" s="879"/>
      <c r="AD245" s="879"/>
      <c r="AE245" s="879"/>
      <c r="AF245" s="879"/>
      <c r="AG245" s="879"/>
      <c r="AH245" s="879"/>
      <c r="AI245" s="879"/>
    </row>
    <row r="246" spans="1:35" x14ac:dyDescent="0.25">
      <c r="A246" s="876">
        <v>37905</v>
      </c>
      <c r="B246" s="873" t="s">
        <v>1459</v>
      </c>
      <c r="C246" s="873">
        <v>14524188</v>
      </c>
      <c r="D246" s="874">
        <v>11886892</v>
      </c>
      <c r="E246" s="874">
        <v>0</v>
      </c>
      <c r="F246" s="874">
        <v>1278</v>
      </c>
      <c r="G246" s="874">
        <v>0</v>
      </c>
      <c r="H246" s="874">
        <v>0</v>
      </c>
      <c r="I246" s="877">
        <f t="shared" si="9"/>
        <v>1278</v>
      </c>
      <c r="J246" s="874"/>
      <c r="K246" s="874">
        <v>812878</v>
      </c>
      <c r="L246" s="874">
        <v>0</v>
      </c>
      <c r="M246" s="874">
        <v>5149676</v>
      </c>
      <c r="N246" s="874">
        <v>902646</v>
      </c>
      <c r="O246" s="877">
        <f t="shared" si="10"/>
        <v>6865200</v>
      </c>
      <c r="P246" s="874"/>
      <c r="Q246" s="877">
        <f t="shared" si="11"/>
        <v>-160797</v>
      </c>
      <c r="R246" s="874">
        <v>-180773</v>
      </c>
      <c r="S246" s="874">
        <v>-341570</v>
      </c>
      <c r="T246" s="878"/>
      <c r="U246" s="878"/>
      <c r="V246" s="878"/>
      <c r="W246" s="878"/>
      <c r="X246" s="878"/>
      <c r="Y246" s="878"/>
      <c r="Z246" s="878"/>
      <c r="AA246" s="878"/>
      <c r="AB246" s="879"/>
      <c r="AC246" s="879"/>
      <c r="AD246" s="879"/>
      <c r="AE246" s="879"/>
      <c r="AF246" s="879"/>
      <c r="AG246" s="879"/>
      <c r="AH246" s="879"/>
      <c r="AI246" s="879"/>
    </row>
    <row r="247" spans="1:35" x14ac:dyDescent="0.25">
      <c r="A247" s="876">
        <v>38000</v>
      </c>
      <c r="B247" s="873" t="s">
        <v>1460</v>
      </c>
      <c r="C247" s="873">
        <v>214289224</v>
      </c>
      <c r="D247" s="874">
        <v>184012858</v>
      </c>
      <c r="E247" s="874">
        <v>0</v>
      </c>
      <c r="F247" s="874">
        <v>19790</v>
      </c>
      <c r="G247" s="874">
        <v>0</v>
      </c>
      <c r="H247" s="874">
        <v>8132392</v>
      </c>
      <c r="I247" s="877">
        <f t="shared" si="9"/>
        <v>8152182</v>
      </c>
      <c r="J247" s="874"/>
      <c r="K247" s="874">
        <v>12583611</v>
      </c>
      <c r="L247" s="874">
        <v>0</v>
      </c>
      <c r="M247" s="874">
        <v>79718619</v>
      </c>
      <c r="N247" s="874">
        <v>3095820</v>
      </c>
      <c r="O247" s="877">
        <f t="shared" si="10"/>
        <v>95398050</v>
      </c>
      <c r="P247" s="874"/>
      <c r="Q247" s="877">
        <f t="shared" si="11"/>
        <v>-2489189</v>
      </c>
      <c r="R247" s="874">
        <v>1413937</v>
      </c>
      <c r="S247" s="874">
        <v>-1075252</v>
      </c>
      <c r="T247" s="878"/>
      <c r="U247" s="878"/>
      <c r="V247" s="878"/>
      <c r="W247" s="878"/>
      <c r="X247" s="878"/>
      <c r="Y247" s="878"/>
      <c r="Z247" s="878"/>
      <c r="AA247" s="878"/>
      <c r="AB247" s="879"/>
      <c r="AC247" s="879"/>
      <c r="AD247" s="879"/>
      <c r="AE247" s="879"/>
      <c r="AF247" s="879"/>
      <c r="AG247" s="879"/>
      <c r="AH247" s="879"/>
      <c r="AI247" s="879"/>
    </row>
    <row r="248" spans="1:35" x14ac:dyDescent="0.25">
      <c r="A248" s="876">
        <v>38005</v>
      </c>
      <c r="B248" s="873" t="s">
        <v>1461</v>
      </c>
      <c r="C248" s="873">
        <v>38369410</v>
      </c>
      <c r="D248" s="874">
        <v>33133899</v>
      </c>
      <c r="E248" s="874">
        <v>0</v>
      </c>
      <c r="F248" s="874">
        <v>3563</v>
      </c>
      <c r="G248" s="874">
        <v>0</v>
      </c>
      <c r="H248" s="874">
        <v>0</v>
      </c>
      <c r="I248" s="877">
        <f t="shared" si="9"/>
        <v>3563</v>
      </c>
      <c r="J248" s="874"/>
      <c r="K248" s="874">
        <v>2265842</v>
      </c>
      <c r="L248" s="874">
        <v>0</v>
      </c>
      <c r="M248" s="874">
        <v>14354370</v>
      </c>
      <c r="N248" s="874">
        <v>4816952</v>
      </c>
      <c r="O248" s="877">
        <f t="shared" si="10"/>
        <v>21437164</v>
      </c>
      <c r="P248" s="874"/>
      <c r="Q248" s="877">
        <f t="shared" si="11"/>
        <v>-448211</v>
      </c>
      <c r="R248" s="874">
        <v>-1192981</v>
      </c>
      <c r="S248" s="874">
        <v>-1641192</v>
      </c>
      <c r="T248" s="878"/>
      <c r="U248" s="878"/>
      <c r="V248" s="878"/>
      <c r="W248" s="878"/>
      <c r="X248" s="878"/>
      <c r="Y248" s="878"/>
      <c r="Z248" s="878"/>
      <c r="AA248" s="878"/>
      <c r="AB248" s="879"/>
      <c r="AC248" s="879"/>
      <c r="AD248" s="879"/>
      <c r="AE248" s="879"/>
      <c r="AF248" s="879"/>
      <c r="AG248" s="879"/>
      <c r="AH248" s="879"/>
      <c r="AI248" s="879"/>
    </row>
    <row r="249" spans="1:35" x14ac:dyDescent="0.25">
      <c r="A249" s="876">
        <v>38100</v>
      </c>
      <c r="B249" s="873" t="s">
        <v>1462</v>
      </c>
      <c r="C249" s="873">
        <v>94338193</v>
      </c>
      <c r="D249" s="874">
        <v>81870896</v>
      </c>
      <c r="E249" s="874">
        <v>0</v>
      </c>
      <c r="F249" s="874">
        <v>8805</v>
      </c>
      <c r="G249" s="874">
        <v>0</v>
      </c>
      <c r="H249" s="874">
        <v>1044076</v>
      </c>
      <c r="I249" s="877">
        <f t="shared" si="9"/>
        <v>1052881</v>
      </c>
      <c r="J249" s="874"/>
      <c r="K249" s="874">
        <v>5598693</v>
      </c>
      <c r="L249" s="874">
        <v>0</v>
      </c>
      <c r="M249" s="874">
        <v>35468362</v>
      </c>
      <c r="N249" s="874">
        <v>172500</v>
      </c>
      <c r="O249" s="877">
        <f t="shared" si="10"/>
        <v>41239555</v>
      </c>
      <c r="P249" s="874"/>
      <c r="Q249" s="877">
        <f t="shared" si="11"/>
        <v>-1107489</v>
      </c>
      <c r="R249" s="874">
        <v>226519</v>
      </c>
      <c r="S249" s="874">
        <v>-880970</v>
      </c>
      <c r="T249" s="878"/>
      <c r="U249" s="878"/>
      <c r="V249" s="878"/>
      <c r="W249" s="878"/>
      <c r="X249" s="878"/>
      <c r="Y249" s="878"/>
      <c r="Z249" s="878"/>
      <c r="AA249" s="878"/>
      <c r="AB249" s="879"/>
      <c r="AC249" s="879"/>
      <c r="AD249" s="879"/>
      <c r="AE249" s="879"/>
      <c r="AF249" s="879"/>
      <c r="AG249" s="879"/>
      <c r="AH249" s="879"/>
      <c r="AI249" s="879"/>
    </row>
    <row r="250" spans="1:35" x14ac:dyDescent="0.25">
      <c r="A250" s="876">
        <v>38105</v>
      </c>
      <c r="B250" s="873" t="s">
        <v>1463</v>
      </c>
      <c r="C250" s="873">
        <v>18100313</v>
      </c>
      <c r="D250" s="874">
        <v>15532779</v>
      </c>
      <c r="E250" s="874">
        <v>0</v>
      </c>
      <c r="F250" s="874">
        <v>1670</v>
      </c>
      <c r="G250" s="874">
        <v>0</v>
      </c>
      <c r="H250" s="874">
        <v>0</v>
      </c>
      <c r="I250" s="877">
        <f t="shared" si="9"/>
        <v>1670</v>
      </c>
      <c r="J250" s="874"/>
      <c r="K250" s="874">
        <v>1062200</v>
      </c>
      <c r="L250" s="874">
        <v>0</v>
      </c>
      <c r="M250" s="874">
        <v>6729159</v>
      </c>
      <c r="N250" s="874">
        <v>1579048</v>
      </c>
      <c r="O250" s="877">
        <f t="shared" si="10"/>
        <v>9370407</v>
      </c>
      <c r="P250" s="874"/>
      <c r="Q250" s="877">
        <f t="shared" si="11"/>
        <v>-210116</v>
      </c>
      <c r="R250" s="874">
        <v>-383110</v>
      </c>
      <c r="S250" s="874">
        <v>-593226</v>
      </c>
      <c r="T250" s="878"/>
      <c r="U250" s="878"/>
      <c r="V250" s="878"/>
      <c r="W250" s="878"/>
      <c r="X250" s="878"/>
      <c r="Y250" s="878"/>
      <c r="Z250" s="878"/>
      <c r="AA250" s="878"/>
      <c r="AB250" s="879"/>
      <c r="AC250" s="879"/>
      <c r="AD250" s="879"/>
      <c r="AE250" s="879"/>
      <c r="AF250" s="879"/>
      <c r="AG250" s="879"/>
      <c r="AH250" s="879"/>
      <c r="AI250" s="879"/>
    </row>
    <row r="251" spans="1:35" x14ac:dyDescent="0.25">
      <c r="A251" s="876">
        <v>38200</v>
      </c>
      <c r="B251" s="873" t="s">
        <v>1464</v>
      </c>
      <c r="C251" s="873">
        <v>92211906</v>
      </c>
      <c r="D251" s="874">
        <v>76765735</v>
      </c>
      <c r="E251" s="874">
        <v>0</v>
      </c>
      <c r="F251" s="874">
        <v>8256</v>
      </c>
      <c r="G251" s="874">
        <v>0</v>
      </c>
      <c r="H251" s="874">
        <v>326260</v>
      </c>
      <c r="I251" s="877">
        <f t="shared" si="9"/>
        <v>334516</v>
      </c>
      <c r="J251" s="874"/>
      <c r="K251" s="874">
        <v>5249580</v>
      </c>
      <c r="L251" s="874">
        <v>0</v>
      </c>
      <c r="M251" s="874">
        <v>33256689</v>
      </c>
      <c r="N251" s="874">
        <v>4420910</v>
      </c>
      <c r="O251" s="877">
        <f t="shared" si="10"/>
        <v>42927179</v>
      </c>
      <c r="P251" s="874"/>
      <c r="Q251" s="877">
        <f t="shared" si="11"/>
        <v>-1038430</v>
      </c>
      <c r="R251" s="874">
        <v>-802617</v>
      </c>
      <c r="S251" s="874">
        <v>-1841047</v>
      </c>
      <c r="T251" s="878"/>
      <c r="U251" s="878"/>
      <c r="V251" s="878"/>
      <c r="W251" s="878"/>
      <c r="X251" s="878"/>
      <c r="Y251" s="878"/>
      <c r="Z251" s="878"/>
      <c r="AA251" s="878"/>
      <c r="AB251" s="879"/>
      <c r="AC251" s="879"/>
      <c r="AD251" s="879"/>
      <c r="AE251" s="879"/>
      <c r="AF251" s="879"/>
      <c r="AG251" s="879"/>
      <c r="AH251" s="879"/>
      <c r="AI251" s="879"/>
    </row>
    <row r="252" spans="1:35" x14ac:dyDescent="0.25">
      <c r="A252" s="876">
        <v>38205</v>
      </c>
      <c r="B252" s="873" t="s">
        <v>1465</v>
      </c>
      <c r="C252" s="873">
        <v>12184541</v>
      </c>
      <c r="D252" s="874">
        <v>10713389</v>
      </c>
      <c r="E252" s="874">
        <v>0</v>
      </c>
      <c r="F252" s="874">
        <v>1152</v>
      </c>
      <c r="G252" s="874">
        <v>0</v>
      </c>
      <c r="H252" s="874">
        <v>181940</v>
      </c>
      <c r="I252" s="877">
        <f t="shared" si="9"/>
        <v>183092</v>
      </c>
      <c r="J252" s="874"/>
      <c r="K252" s="874">
        <v>732629</v>
      </c>
      <c r="L252" s="874">
        <v>0</v>
      </c>
      <c r="M252" s="874">
        <v>4641287</v>
      </c>
      <c r="N252" s="874">
        <v>286460</v>
      </c>
      <c r="O252" s="877">
        <f t="shared" si="10"/>
        <v>5660376</v>
      </c>
      <c r="P252" s="874"/>
      <c r="Q252" s="877">
        <f t="shared" si="11"/>
        <v>-144923</v>
      </c>
      <c r="R252" s="874">
        <v>-35229</v>
      </c>
      <c r="S252" s="874">
        <v>-180152</v>
      </c>
      <c r="T252" s="878"/>
      <c r="U252" s="878"/>
      <c r="V252" s="878"/>
      <c r="W252" s="878"/>
      <c r="X252" s="878"/>
      <c r="Y252" s="878"/>
      <c r="Z252" s="878"/>
      <c r="AA252" s="878"/>
      <c r="AB252" s="879"/>
      <c r="AC252" s="879"/>
      <c r="AD252" s="879"/>
      <c r="AE252" s="879"/>
      <c r="AF252" s="879"/>
      <c r="AG252" s="879"/>
      <c r="AH252" s="879"/>
      <c r="AI252" s="879"/>
    </row>
    <row r="253" spans="1:35" x14ac:dyDescent="0.25">
      <c r="A253" s="876">
        <v>38210</v>
      </c>
      <c r="B253" s="873" t="s">
        <v>1466</v>
      </c>
      <c r="C253" s="873">
        <v>34900169</v>
      </c>
      <c r="D253" s="874">
        <v>29677361</v>
      </c>
      <c r="E253" s="874">
        <v>0</v>
      </c>
      <c r="F253" s="874">
        <v>3192</v>
      </c>
      <c r="G253" s="874">
        <v>0</v>
      </c>
      <c r="H253" s="874">
        <v>1169340</v>
      </c>
      <c r="I253" s="877">
        <f t="shared" si="9"/>
        <v>1172532</v>
      </c>
      <c r="J253" s="874"/>
      <c r="K253" s="874">
        <v>2029469</v>
      </c>
      <c r="L253" s="874">
        <v>0</v>
      </c>
      <c r="M253" s="874">
        <v>12856918</v>
      </c>
      <c r="N253" s="874">
        <v>870505</v>
      </c>
      <c r="O253" s="877">
        <f t="shared" si="10"/>
        <v>15756892</v>
      </c>
      <c r="P253" s="874"/>
      <c r="Q253" s="877">
        <f t="shared" si="11"/>
        <v>-401453</v>
      </c>
      <c r="R253" s="874">
        <v>118232</v>
      </c>
      <c r="S253" s="874">
        <v>-283221</v>
      </c>
      <c r="T253" s="878"/>
      <c r="U253" s="878"/>
      <c r="V253" s="878"/>
      <c r="W253" s="878"/>
      <c r="X253" s="878"/>
      <c r="Y253" s="878"/>
      <c r="Z253" s="878"/>
      <c r="AA253" s="878"/>
      <c r="AB253" s="879"/>
      <c r="AC253" s="879"/>
      <c r="AD253" s="879"/>
      <c r="AE253" s="879"/>
      <c r="AF253" s="879"/>
      <c r="AG253" s="879"/>
      <c r="AH253" s="879"/>
      <c r="AI253" s="879"/>
    </row>
    <row r="254" spans="1:35" x14ac:dyDescent="0.25">
      <c r="A254" s="876">
        <v>38300</v>
      </c>
      <c r="B254" s="873" t="s">
        <v>1467</v>
      </c>
      <c r="C254" s="873">
        <v>72417487</v>
      </c>
      <c r="D254" s="874">
        <v>60652731</v>
      </c>
      <c r="E254" s="874">
        <v>0</v>
      </c>
      <c r="F254" s="874">
        <v>6523</v>
      </c>
      <c r="G254" s="874">
        <v>0</v>
      </c>
      <c r="H254" s="874">
        <v>1073472</v>
      </c>
      <c r="I254" s="877">
        <f t="shared" si="9"/>
        <v>1079995</v>
      </c>
      <c r="J254" s="874"/>
      <c r="K254" s="874">
        <v>4147701</v>
      </c>
      <c r="L254" s="874">
        <v>0</v>
      </c>
      <c r="M254" s="874">
        <v>26276163</v>
      </c>
      <c r="N254" s="874">
        <v>2996275</v>
      </c>
      <c r="O254" s="877">
        <f t="shared" si="10"/>
        <v>33420139</v>
      </c>
      <c r="P254" s="874"/>
      <c r="Q254" s="877">
        <f t="shared" si="11"/>
        <v>-820465</v>
      </c>
      <c r="R254" s="874">
        <v>-330891</v>
      </c>
      <c r="S254" s="874">
        <v>-1151356</v>
      </c>
      <c r="T254" s="878"/>
      <c r="U254" s="878"/>
      <c r="V254" s="878"/>
      <c r="W254" s="878"/>
      <c r="X254" s="878"/>
      <c r="Y254" s="878"/>
      <c r="Z254" s="878"/>
      <c r="AA254" s="878"/>
      <c r="AB254" s="879"/>
      <c r="AC254" s="879"/>
      <c r="AD254" s="879"/>
      <c r="AE254" s="879"/>
      <c r="AF254" s="879"/>
      <c r="AG254" s="879"/>
      <c r="AH254" s="879"/>
      <c r="AI254" s="879"/>
    </row>
    <row r="255" spans="1:35" x14ac:dyDescent="0.25">
      <c r="A255" s="876">
        <v>38400</v>
      </c>
      <c r="B255" s="873" t="s">
        <v>1468</v>
      </c>
      <c r="C255" s="873">
        <v>89804118</v>
      </c>
      <c r="D255" s="874">
        <v>75981458</v>
      </c>
      <c r="E255" s="874">
        <v>0</v>
      </c>
      <c r="F255" s="874">
        <v>8171</v>
      </c>
      <c r="G255" s="874">
        <v>0</v>
      </c>
      <c r="H255" s="874">
        <v>1236828</v>
      </c>
      <c r="I255" s="877">
        <f t="shared" si="9"/>
        <v>1244999</v>
      </c>
      <c r="J255" s="874"/>
      <c r="K255" s="874">
        <v>5195947</v>
      </c>
      <c r="L255" s="874">
        <v>0</v>
      </c>
      <c r="M255" s="874">
        <v>32916922</v>
      </c>
      <c r="N255" s="874">
        <v>2692965</v>
      </c>
      <c r="O255" s="877">
        <f t="shared" si="10"/>
        <v>40805834</v>
      </c>
      <c r="P255" s="874"/>
      <c r="Q255" s="877">
        <f t="shared" si="11"/>
        <v>-1027821</v>
      </c>
      <c r="R255" s="874">
        <v>-229387</v>
      </c>
      <c r="S255" s="874">
        <v>-1257208</v>
      </c>
      <c r="T255" s="878"/>
      <c r="U255" s="878"/>
      <c r="V255" s="878"/>
      <c r="W255" s="878"/>
      <c r="X255" s="878"/>
      <c r="Y255" s="878"/>
      <c r="Z255" s="878"/>
      <c r="AA255" s="878"/>
      <c r="AB255" s="879"/>
      <c r="AC255" s="879"/>
      <c r="AD255" s="879"/>
      <c r="AE255" s="879"/>
      <c r="AF255" s="879"/>
      <c r="AG255" s="879"/>
      <c r="AH255" s="879"/>
      <c r="AI255" s="879"/>
    </row>
    <row r="256" spans="1:35" x14ac:dyDescent="0.25">
      <c r="A256" s="876">
        <v>38402</v>
      </c>
      <c r="B256" s="873" t="s">
        <v>1469</v>
      </c>
      <c r="C256" s="873">
        <v>3680058</v>
      </c>
      <c r="D256" s="874">
        <v>5284694</v>
      </c>
      <c r="E256" s="874">
        <v>0</v>
      </c>
      <c r="F256" s="874">
        <v>568</v>
      </c>
      <c r="G256" s="874">
        <v>0</v>
      </c>
      <c r="H256" s="874">
        <v>3116887</v>
      </c>
      <c r="I256" s="877">
        <f t="shared" si="9"/>
        <v>3117455</v>
      </c>
      <c r="J256" s="874"/>
      <c r="K256" s="874">
        <v>361391</v>
      </c>
      <c r="L256" s="874">
        <v>0</v>
      </c>
      <c r="M256" s="874">
        <v>2289452</v>
      </c>
      <c r="N256" s="874">
        <v>0</v>
      </c>
      <c r="O256" s="877">
        <f t="shared" si="10"/>
        <v>2650843</v>
      </c>
      <c r="P256" s="874"/>
      <c r="Q256" s="877">
        <f t="shared" si="11"/>
        <v>-71487</v>
      </c>
      <c r="R256" s="874">
        <v>645908</v>
      </c>
      <c r="S256" s="874">
        <v>574421</v>
      </c>
      <c r="T256" s="878"/>
      <c r="U256" s="878"/>
      <c r="V256" s="878"/>
      <c r="W256" s="878"/>
      <c r="X256" s="878"/>
      <c r="Y256" s="878"/>
      <c r="Z256" s="878"/>
      <c r="AA256" s="878"/>
      <c r="AB256" s="879"/>
      <c r="AC256" s="879"/>
      <c r="AD256" s="879"/>
      <c r="AE256" s="879"/>
      <c r="AF256" s="879"/>
      <c r="AG256" s="879"/>
      <c r="AH256" s="879"/>
      <c r="AI256" s="879"/>
    </row>
    <row r="257" spans="1:35" x14ac:dyDescent="0.25">
      <c r="A257" s="876">
        <v>38405</v>
      </c>
      <c r="B257" s="873" t="s">
        <v>1470</v>
      </c>
      <c r="C257" s="873">
        <v>21532223</v>
      </c>
      <c r="D257" s="874">
        <v>20104789</v>
      </c>
      <c r="E257" s="874">
        <v>0</v>
      </c>
      <c r="F257" s="874">
        <v>2162</v>
      </c>
      <c r="G257" s="874">
        <v>0</v>
      </c>
      <c r="H257" s="874">
        <v>1768305</v>
      </c>
      <c r="I257" s="877">
        <f t="shared" si="9"/>
        <v>1770467</v>
      </c>
      <c r="J257" s="874"/>
      <c r="K257" s="874">
        <v>1374854</v>
      </c>
      <c r="L257" s="874">
        <v>0</v>
      </c>
      <c r="M257" s="874">
        <v>8709859</v>
      </c>
      <c r="N257" s="874">
        <v>890100</v>
      </c>
      <c r="O257" s="877">
        <f t="shared" si="10"/>
        <v>10974813</v>
      </c>
      <c r="P257" s="874"/>
      <c r="Q257" s="877">
        <f t="shared" si="11"/>
        <v>-271963</v>
      </c>
      <c r="R257" s="874">
        <v>131135</v>
      </c>
      <c r="S257" s="874">
        <v>-140828</v>
      </c>
      <c r="T257" s="878"/>
      <c r="U257" s="878"/>
      <c r="V257" s="878"/>
      <c r="W257" s="878"/>
      <c r="X257" s="878"/>
      <c r="Y257" s="878"/>
      <c r="Z257" s="878"/>
      <c r="AA257" s="878"/>
      <c r="AB257" s="879"/>
      <c r="AC257" s="879"/>
      <c r="AD257" s="879"/>
      <c r="AE257" s="879"/>
      <c r="AF257" s="879"/>
      <c r="AG257" s="879"/>
      <c r="AH257" s="879"/>
      <c r="AI257" s="879"/>
    </row>
    <row r="258" spans="1:35" x14ac:dyDescent="0.25">
      <c r="A258" s="876">
        <v>38500</v>
      </c>
      <c r="B258" s="873" t="s">
        <v>1471</v>
      </c>
      <c r="C258" s="873">
        <v>70162741</v>
      </c>
      <c r="D258" s="874">
        <v>58569543</v>
      </c>
      <c r="E258" s="874">
        <v>0</v>
      </c>
      <c r="F258" s="874">
        <v>6299</v>
      </c>
      <c r="G258" s="874">
        <v>0</v>
      </c>
      <c r="H258" s="874">
        <v>0</v>
      </c>
      <c r="I258" s="877">
        <f t="shared" si="9"/>
        <v>6299</v>
      </c>
      <c r="J258" s="874"/>
      <c r="K258" s="874">
        <v>4005244</v>
      </c>
      <c r="L258" s="874">
        <v>0</v>
      </c>
      <c r="M258" s="874">
        <v>25373678</v>
      </c>
      <c r="N258" s="874">
        <v>3759927</v>
      </c>
      <c r="O258" s="877">
        <f t="shared" si="10"/>
        <v>33138849</v>
      </c>
      <c r="P258" s="874"/>
      <c r="Q258" s="877">
        <f t="shared" si="11"/>
        <v>-792285</v>
      </c>
      <c r="R258" s="874">
        <v>-783504</v>
      </c>
      <c r="S258" s="874">
        <v>-1575789</v>
      </c>
      <c r="T258" s="878"/>
      <c r="U258" s="878"/>
      <c r="V258" s="878"/>
      <c r="W258" s="878"/>
      <c r="X258" s="878"/>
      <c r="Y258" s="878"/>
      <c r="Z258" s="878"/>
      <c r="AA258" s="878"/>
      <c r="AB258" s="879"/>
      <c r="AC258" s="879"/>
      <c r="AD258" s="879"/>
      <c r="AE258" s="879"/>
      <c r="AF258" s="879"/>
      <c r="AG258" s="879"/>
      <c r="AH258" s="879"/>
      <c r="AI258" s="879"/>
    </row>
    <row r="259" spans="1:35" x14ac:dyDescent="0.25">
      <c r="A259" s="876">
        <v>38600</v>
      </c>
      <c r="B259" s="873" t="s">
        <v>1472</v>
      </c>
      <c r="C259" s="873">
        <v>90312846</v>
      </c>
      <c r="D259" s="874">
        <v>75362160</v>
      </c>
      <c r="E259" s="874">
        <v>0</v>
      </c>
      <c r="F259" s="874">
        <v>8105</v>
      </c>
      <c r="G259" s="874">
        <v>0</v>
      </c>
      <c r="H259" s="874">
        <v>3144888</v>
      </c>
      <c r="I259" s="877">
        <f t="shared" si="9"/>
        <v>3152993</v>
      </c>
      <c r="J259" s="874"/>
      <c r="K259" s="874">
        <v>5153597</v>
      </c>
      <c r="L259" s="874">
        <v>0</v>
      </c>
      <c r="M259" s="874">
        <v>32648628</v>
      </c>
      <c r="N259" s="874">
        <v>4100945</v>
      </c>
      <c r="O259" s="877">
        <f t="shared" si="10"/>
        <v>41903170</v>
      </c>
      <c r="P259" s="874"/>
      <c r="Q259" s="877">
        <f t="shared" si="11"/>
        <v>-1019443</v>
      </c>
      <c r="R259" s="874">
        <v>-33967</v>
      </c>
      <c r="S259" s="874">
        <v>-1053410</v>
      </c>
      <c r="T259" s="878"/>
      <c r="U259" s="878"/>
      <c r="V259" s="878"/>
      <c r="W259" s="878"/>
      <c r="X259" s="878"/>
      <c r="Y259" s="878"/>
      <c r="Z259" s="878"/>
      <c r="AA259" s="878"/>
      <c r="AB259" s="879"/>
      <c r="AC259" s="879"/>
      <c r="AD259" s="879"/>
      <c r="AE259" s="879"/>
      <c r="AF259" s="879"/>
      <c r="AG259" s="879"/>
      <c r="AH259" s="879"/>
      <c r="AI259" s="879"/>
    </row>
    <row r="260" spans="1:35" x14ac:dyDescent="0.25">
      <c r="A260" s="876">
        <v>38601</v>
      </c>
      <c r="B260" s="873" t="s">
        <v>1473</v>
      </c>
      <c r="C260" s="873">
        <v>1053326</v>
      </c>
      <c r="D260" s="874">
        <v>995136</v>
      </c>
      <c r="E260" s="874">
        <v>0</v>
      </c>
      <c r="F260" s="874">
        <v>107</v>
      </c>
      <c r="G260" s="874">
        <v>0</v>
      </c>
      <c r="H260" s="874">
        <v>98360</v>
      </c>
      <c r="I260" s="877">
        <f t="shared" si="9"/>
        <v>98467</v>
      </c>
      <c r="J260" s="874"/>
      <c r="K260" s="874">
        <v>68052</v>
      </c>
      <c r="L260" s="874">
        <v>0</v>
      </c>
      <c r="M260" s="874">
        <v>431116</v>
      </c>
      <c r="N260" s="874">
        <v>150940</v>
      </c>
      <c r="O260" s="877">
        <f t="shared" si="10"/>
        <v>650108</v>
      </c>
      <c r="P260" s="874"/>
      <c r="Q260" s="877">
        <f t="shared" si="11"/>
        <v>-13461</v>
      </c>
      <c r="R260" s="874">
        <v>-18065</v>
      </c>
      <c r="S260" s="874">
        <v>-31526</v>
      </c>
      <c r="T260" s="878"/>
      <c r="U260" s="878"/>
      <c r="V260" s="878"/>
      <c r="W260" s="878"/>
      <c r="X260" s="878"/>
      <c r="Y260" s="878"/>
      <c r="Z260" s="878"/>
      <c r="AA260" s="878"/>
      <c r="AB260" s="879"/>
      <c r="AC260" s="879"/>
      <c r="AD260" s="879"/>
      <c r="AE260" s="879"/>
      <c r="AF260" s="879"/>
      <c r="AG260" s="879"/>
      <c r="AH260" s="879"/>
      <c r="AI260" s="879"/>
    </row>
    <row r="261" spans="1:35" x14ac:dyDescent="0.25">
      <c r="A261" s="876">
        <v>38602</v>
      </c>
      <c r="B261" s="873" t="s">
        <v>1474</v>
      </c>
      <c r="C261" s="873">
        <v>6551021</v>
      </c>
      <c r="D261" s="874">
        <v>6343561</v>
      </c>
      <c r="E261" s="874">
        <v>0</v>
      </c>
      <c r="F261" s="874">
        <v>682</v>
      </c>
      <c r="G261" s="874">
        <v>0</v>
      </c>
      <c r="H261" s="874">
        <v>1780467</v>
      </c>
      <c r="I261" s="877">
        <f t="shared" si="9"/>
        <v>1781149</v>
      </c>
      <c r="J261" s="874"/>
      <c r="K261" s="874">
        <v>433801</v>
      </c>
      <c r="L261" s="874">
        <v>0</v>
      </c>
      <c r="M261" s="874">
        <v>2748177</v>
      </c>
      <c r="N261" s="874">
        <v>0</v>
      </c>
      <c r="O261" s="877">
        <f t="shared" si="10"/>
        <v>3181978</v>
      </c>
      <c r="P261" s="874"/>
      <c r="Q261" s="877">
        <f t="shared" si="11"/>
        <v>-85811</v>
      </c>
      <c r="R261" s="874">
        <v>403688</v>
      </c>
      <c r="S261" s="874">
        <v>317877</v>
      </c>
      <c r="T261" s="878"/>
      <c r="U261" s="878"/>
      <c r="V261" s="878"/>
      <c r="W261" s="878"/>
      <c r="X261" s="878"/>
      <c r="Y261" s="878"/>
      <c r="Z261" s="878"/>
      <c r="AA261" s="878"/>
      <c r="AB261" s="879"/>
      <c r="AC261" s="879"/>
      <c r="AD261" s="879"/>
      <c r="AE261" s="879"/>
      <c r="AF261" s="879"/>
      <c r="AG261" s="879"/>
      <c r="AH261" s="879"/>
      <c r="AI261" s="879"/>
    </row>
    <row r="262" spans="1:35" x14ac:dyDescent="0.25">
      <c r="A262" s="876">
        <v>38605</v>
      </c>
      <c r="B262" s="873" t="s">
        <v>1475</v>
      </c>
      <c r="C262" s="873">
        <v>23144077</v>
      </c>
      <c r="D262" s="874">
        <v>19755709</v>
      </c>
      <c r="E262" s="874">
        <v>0</v>
      </c>
      <c r="F262" s="874">
        <v>2125</v>
      </c>
      <c r="G262" s="874">
        <v>0</v>
      </c>
      <c r="H262" s="874">
        <v>0</v>
      </c>
      <c r="I262" s="877">
        <f t="shared" si="9"/>
        <v>2125</v>
      </c>
      <c r="J262" s="874"/>
      <c r="K262" s="874">
        <v>1350983</v>
      </c>
      <c r="L262" s="874">
        <v>0</v>
      </c>
      <c r="M262" s="874">
        <v>8558629</v>
      </c>
      <c r="N262" s="874">
        <v>1565849</v>
      </c>
      <c r="O262" s="877">
        <f t="shared" si="10"/>
        <v>11475461</v>
      </c>
      <c r="P262" s="874"/>
      <c r="Q262" s="877">
        <f t="shared" si="11"/>
        <v>-267241</v>
      </c>
      <c r="R262" s="874">
        <v>-369665</v>
      </c>
      <c r="S262" s="874">
        <v>-636906</v>
      </c>
      <c r="T262" s="878"/>
      <c r="U262" s="878"/>
      <c r="V262" s="878"/>
      <c r="W262" s="878"/>
      <c r="X262" s="878"/>
      <c r="Y262" s="878"/>
      <c r="Z262" s="878"/>
      <c r="AA262" s="878"/>
      <c r="AB262" s="879"/>
      <c r="AC262" s="879"/>
      <c r="AD262" s="879"/>
      <c r="AE262" s="879"/>
      <c r="AF262" s="879"/>
      <c r="AG262" s="879"/>
      <c r="AH262" s="879"/>
      <c r="AI262" s="879"/>
    </row>
    <row r="263" spans="1:35" x14ac:dyDescent="0.25">
      <c r="A263" s="876">
        <v>38610</v>
      </c>
      <c r="B263" s="873" t="s">
        <v>1476</v>
      </c>
      <c r="C263" s="873">
        <v>17980947</v>
      </c>
      <c r="D263" s="874">
        <v>15475508</v>
      </c>
      <c r="E263" s="874">
        <v>0</v>
      </c>
      <c r="F263" s="874">
        <v>1664</v>
      </c>
      <c r="G263" s="874">
        <v>0</v>
      </c>
      <c r="H263" s="874">
        <v>0</v>
      </c>
      <c r="I263" s="877">
        <f t="shared" ref="I263:I312" si="12">SUM(E263:H263)</f>
        <v>1664</v>
      </c>
      <c r="J263" s="874"/>
      <c r="K263" s="874">
        <v>1058283</v>
      </c>
      <c r="L263" s="874">
        <v>0</v>
      </c>
      <c r="M263" s="874">
        <v>6704347</v>
      </c>
      <c r="N263" s="874">
        <v>303744</v>
      </c>
      <c r="O263" s="877">
        <f t="shared" ref="O263:O312" si="13">SUM(K263:N263)</f>
        <v>8066374</v>
      </c>
      <c r="P263" s="874"/>
      <c r="Q263" s="877">
        <f t="shared" ref="Q263:Q312" si="14">S263-R263</f>
        <v>-209341</v>
      </c>
      <c r="R263" s="874">
        <v>-67030</v>
      </c>
      <c r="S263" s="874">
        <v>-276371</v>
      </c>
      <c r="T263" s="878"/>
      <c r="U263" s="878"/>
      <c r="V263" s="878"/>
      <c r="W263" s="878"/>
      <c r="X263" s="878"/>
      <c r="Y263" s="878"/>
      <c r="Z263" s="878"/>
      <c r="AA263" s="878"/>
      <c r="AB263" s="879"/>
      <c r="AC263" s="879"/>
      <c r="AD263" s="879"/>
      <c r="AE263" s="879"/>
      <c r="AF263" s="879"/>
      <c r="AG263" s="879"/>
      <c r="AH263" s="879"/>
      <c r="AI263" s="879"/>
    </row>
    <row r="264" spans="1:35" x14ac:dyDescent="0.25">
      <c r="A264" s="876">
        <v>38620</v>
      </c>
      <c r="B264" s="873" t="s">
        <v>1477</v>
      </c>
      <c r="C264" s="873">
        <v>14646449</v>
      </c>
      <c r="D264" s="874">
        <v>12161455</v>
      </c>
      <c r="E264" s="874">
        <v>0</v>
      </c>
      <c r="F264" s="874">
        <v>1308</v>
      </c>
      <c r="G264" s="874">
        <v>0</v>
      </c>
      <c r="H264" s="874">
        <v>0</v>
      </c>
      <c r="I264" s="877">
        <f t="shared" si="12"/>
        <v>1308</v>
      </c>
      <c r="J264" s="874"/>
      <c r="K264" s="874">
        <v>831654</v>
      </c>
      <c r="L264" s="874">
        <v>0</v>
      </c>
      <c r="M264" s="874">
        <v>5268623</v>
      </c>
      <c r="N264" s="874">
        <v>1086185</v>
      </c>
      <c r="O264" s="877">
        <f t="shared" si="13"/>
        <v>7186462</v>
      </c>
      <c r="P264" s="874"/>
      <c r="Q264" s="877">
        <f t="shared" si="14"/>
        <v>-164511</v>
      </c>
      <c r="R264" s="874">
        <v>-234939</v>
      </c>
      <c r="S264" s="874">
        <v>-399450</v>
      </c>
      <c r="T264" s="878"/>
      <c r="U264" s="878"/>
      <c r="V264" s="878"/>
      <c r="W264" s="878"/>
      <c r="X264" s="878"/>
      <c r="Y264" s="878"/>
      <c r="Z264" s="878"/>
      <c r="AA264" s="878"/>
      <c r="AB264" s="879"/>
      <c r="AC264" s="879"/>
      <c r="AD264" s="879"/>
      <c r="AE264" s="879"/>
      <c r="AF264" s="879"/>
      <c r="AG264" s="879"/>
      <c r="AH264" s="879"/>
      <c r="AI264" s="879"/>
    </row>
    <row r="265" spans="1:35" x14ac:dyDescent="0.25">
      <c r="A265" s="876">
        <v>38700</v>
      </c>
      <c r="B265" s="873" t="s">
        <v>1478</v>
      </c>
      <c r="C265" s="873">
        <v>26980726</v>
      </c>
      <c r="D265" s="874">
        <v>22720343</v>
      </c>
      <c r="E265" s="874">
        <v>0</v>
      </c>
      <c r="F265" s="874">
        <v>2443</v>
      </c>
      <c r="G265" s="874">
        <v>0</v>
      </c>
      <c r="H265" s="874">
        <v>893456</v>
      </c>
      <c r="I265" s="877">
        <f t="shared" si="12"/>
        <v>895899</v>
      </c>
      <c r="J265" s="874"/>
      <c r="K265" s="874">
        <v>1553717</v>
      </c>
      <c r="L265" s="874">
        <v>0</v>
      </c>
      <c r="M265" s="874">
        <v>9842977</v>
      </c>
      <c r="N265" s="874">
        <v>1000970</v>
      </c>
      <c r="O265" s="877">
        <f t="shared" si="13"/>
        <v>12397664</v>
      </c>
      <c r="P265" s="874"/>
      <c r="Q265" s="877">
        <f t="shared" si="14"/>
        <v>-307344</v>
      </c>
      <c r="R265" s="874">
        <v>23169</v>
      </c>
      <c r="S265" s="874">
        <v>-284175</v>
      </c>
      <c r="T265" s="878"/>
      <c r="U265" s="878"/>
      <c r="V265" s="878"/>
      <c r="W265" s="878"/>
      <c r="X265" s="878"/>
      <c r="Y265" s="878"/>
      <c r="Z265" s="878"/>
      <c r="AA265" s="878"/>
      <c r="AB265" s="879"/>
      <c r="AC265" s="879"/>
      <c r="AD265" s="879"/>
      <c r="AE265" s="879"/>
      <c r="AF265" s="879"/>
      <c r="AG265" s="879"/>
      <c r="AH265" s="879"/>
      <c r="AI265" s="879"/>
    </row>
    <row r="266" spans="1:35" x14ac:dyDescent="0.25">
      <c r="A266" s="876">
        <v>38701</v>
      </c>
      <c r="B266" s="873" t="s">
        <v>1479</v>
      </c>
      <c r="C266" s="873">
        <v>1581166</v>
      </c>
      <c r="D266" s="874">
        <v>1350506</v>
      </c>
      <c r="E266" s="874">
        <v>0</v>
      </c>
      <c r="F266" s="874">
        <v>145</v>
      </c>
      <c r="G266" s="874">
        <v>0</v>
      </c>
      <c r="H266" s="874">
        <v>0</v>
      </c>
      <c r="I266" s="877">
        <f t="shared" si="12"/>
        <v>145</v>
      </c>
      <c r="J266" s="874"/>
      <c r="K266" s="874">
        <v>92354</v>
      </c>
      <c r="L266" s="874">
        <v>0</v>
      </c>
      <c r="M266" s="874">
        <v>585070</v>
      </c>
      <c r="N266" s="874">
        <v>93940</v>
      </c>
      <c r="O266" s="877">
        <f t="shared" si="13"/>
        <v>771364</v>
      </c>
      <c r="P266" s="874"/>
      <c r="Q266" s="877">
        <f t="shared" si="14"/>
        <v>-18269</v>
      </c>
      <c r="R266" s="874">
        <v>-22132</v>
      </c>
      <c r="S266" s="874">
        <v>-40401</v>
      </c>
      <c r="T266" s="878"/>
      <c r="U266" s="878"/>
      <c r="V266" s="878"/>
      <c r="W266" s="878"/>
      <c r="X266" s="878"/>
      <c r="Y266" s="878"/>
      <c r="Z266" s="878"/>
      <c r="AA266" s="878"/>
      <c r="AB266" s="879"/>
      <c r="AC266" s="879"/>
      <c r="AD266" s="879"/>
      <c r="AE266" s="879"/>
      <c r="AF266" s="879"/>
      <c r="AG266" s="879"/>
      <c r="AH266" s="879"/>
      <c r="AI266" s="879"/>
    </row>
    <row r="267" spans="1:35" x14ac:dyDescent="0.25">
      <c r="A267" s="876">
        <v>38800</v>
      </c>
      <c r="B267" s="873" t="s">
        <v>1480</v>
      </c>
      <c r="C267" s="873">
        <v>45915902</v>
      </c>
      <c r="D267" s="874">
        <v>38855529</v>
      </c>
      <c r="E267" s="874">
        <v>0</v>
      </c>
      <c r="F267" s="874">
        <v>4179</v>
      </c>
      <c r="G267" s="874">
        <v>0</v>
      </c>
      <c r="H267" s="874">
        <v>657488</v>
      </c>
      <c r="I267" s="877">
        <f t="shared" si="12"/>
        <v>661667</v>
      </c>
      <c r="J267" s="874"/>
      <c r="K267" s="874">
        <v>2657112</v>
      </c>
      <c r="L267" s="874">
        <v>0</v>
      </c>
      <c r="M267" s="874">
        <v>16833112</v>
      </c>
      <c r="N267" s="874">
        <v>1399285</v>
      </c>
      <c r="O267" s="877">
        <f t="shared" si="13"/>
        <v>20889509</v>
      </c>
      <c r="P267" s="874"/>
      <c r="Q267" s="877">
        <f t="shared" si="14"/>
        <v>-525609</v>
      </c>
      <c r="R267" s="874">
        <v>-115486</v>
      </c>
      <c r="S267" s="874">
        <v>-641095</v>
      </c>
      <c r="T267" s="878"/>
      <c r="U267" s="878"/>
      <c r="V267" s="878"/>
      <c r="W267" s="878"/>
      <c r="X267" s="878"/>
      <c r="Y267" s="878"/>
      <c r="Z267" s="878"/>
      <c r="AA267" s="878"/>
      <c r="AB267" s="879"/>
      <c r="AC267" s="879"/>
      <c r="AD267" s="879"/>
      <c r="AE267" s="879"/>
      <c r="AF267" s="879"/>
      <c r="AG267" s="879"/>
      <c r="AH267" s="879"/>
      <c r="AI267" s="879"/>
    </row>
    <row r="268" spans="1:35" x14ac:dyDescent="0.25">
      <c r="A268" s="876">
        <v>38801</v>
      </c>
      <c r="B268" s="873" t="s">
        <v>1481</v>
      </c>
      <c r="C268" s="873">
        <v>3788251</v>
      </c>
      <c r="D268" s="874">
        <v>3470685</v>
      </c>
      <c r="E268" s="874">
        <v>0</v>
      </c>
      <c r="F268" s="874">
        <v>373</v>
      </c>
      <c r="G268" s="874">
        <v>0</v>
      </c>
      <c r="H268" s="874">
        <v>824524</v>
      </c>
      <c r="I268" s="877">
        <f t="shared" si="12"/>
        <v>824897</v>
      </c>
      <c r="J268" s="874"/>
      <c r="K268" s="874">
        <v>237341</v>
      </c>
      <c r="L268" s="874">
        <v>0</v>
      </c>
      <c r="M268" s="874">
        <v>1503581</v>
      </c>
      <c r="N268" s="874">
        <v>0</v>
      </c>
      <c r="O268" s="877">
        <f t="shared" si="13"/>
        <v>1740922</v>
      </c>
      <c r="P268" s="874"/>
      <c r="Q268" s="877">
        <f t="shared" si="14"/>
        <v>-46949</v>
      </c>
      <c r="R268" s="874">
        <v>195755</v>
      </c>
      <c r="S268" s="874">
        <v>148806</v>
      </c>
      <c r="T268" s="878"/>
      <c r="U268" s="878"/>
      <c r="V268" s="878"/>
      <c r="W268" s="878"/>
      <c r="X268" s="878"/>
      <c r="Y268" s="878"/>
      <c r="Z268" s="878"/>
      <c r="AA268" s="878"/>
      <c r="AB268" s="879"/>
      <c r="AC268" s="879"/>
      <c r="AD268" s="879"/>
      <c r="AE268" s="879"/>
      <c r="AF268" s="879"/>
      <c r="AG268" s="879"/>
      <c r="AH268" s="879"/>
      <c r="AI268" s="879"/>
    </row>
    <row r="269" spans="1:35" x14ac:dyDescent="0.25">
      <c r="A269" s="876">
        <v>38900</v>
      </c>
      <c r="B269" s="873" t="s">
        <v>1482</v>
      </c>
      <c r="C269" s="873">
        <v>9625201</v>
      </c>
      <c r="D269" s="874">
        <v>8351698</v>
      </c>
      <c r="E269" s="874">
        <v>0</v>
      </c>
      <c r="F269" s="874">
        <v>898</v>
      </c>
      <c r="G269" s="874">
        <v>0</v>
      </c>
      <c r="H269" s="874">
        <v>0</v>
      </c>
      <c r="I269" s="877">
        <f t="shared" si="12"/>
        <v>898</v>
      </c>
      <c r="J269" s="874"/>
      <c r="K269" s="874">
        <v>571126</v>
      </c>
      <c r="L269" s="874">
        <v>0</v>
      </c>
      <c r="M269" s="874">
        <v>3618148</v>
      </c>
      <c r="N269" s="874">
        <v>394465</v>
      </c>
      <c r="O269" s="877">
        <f t="shared" si="13"/>
        <v>4583739</v>
      </c>
      <c r="P269" s="874"/>
      <c r="Q269" s="877">
        <f t="shared" si="14"/>
        <v>-112976</v>
      </c>
      <c r="R269" s="874">
        <v>-97970</v>
      </c>
      <c r="S269" s="874">
        <v>-210946</v>
      </c>
      <c r="T269" s="878"/>
      <c r="U269" s="878"/>
      <c r="V269" s="878"/>
      <c r="W269" s="878"/>
      <c r="X269" s="878"/>
      <c r="Y269" s="878"/>
      <c r="Z269" s="878"/>
      <c r="AA269" s="878"/>
      <c r="AB269" s="879"/>
      <c r="AC269" s="879"/>
      <c r="AD269" s="879"/>
      <c r="AE269" s="879"/>
      <c r="AF269" s="879"/>
      <c r="AG269" s="879"/>
      <c r="AH269" s="879"/>
      <c r="AI269" s="879"/>
    </row>
    <row r="270" spans="1:35" x14ac:dyDescent="0.25">
      <c r="A270" s="876">
        <v>39000</v>
      </c>
      <c r="B270" s="873" t="s">
        <v>1483</v>
      </c>
      <c r="C270" s="873">
        <v>477021010</v>
      </c>
      <c r="D270" s="874">
        <v>394819992</v>
      </c>
      <c r="E270" s="874">
        <v>0</v>
      </c>
      <c r="F270" s="874">
        <v>42461</v>
      </c>
      <c r="G270" s="874">
        <v>0</v>
      </c>
      <c r="H270" s="874">
        <v>17376308</v>
      </c>
      <c r="I270" s="877">
        <f t="shared" si="12"/>
        <v>17418769</v>
      </c>
      <c r="J270" s="874"/>
      <c r="K270" s="874">
        <v>26999532</v>
      </c>
      <c r="L270" s="874">
        <v>0</v>
      </c>
      <c r="M270" s="874">
        <v>171045135</v>
      </c>
      <c r="N270" s="874">
        <v>26356880</v>
      </c>
      <c r="O270" s="877">
        <f t="shared" si="13"/>
        <v>224401547</v>
      </c>
      <c r="P270" s="874"/>
      <c r="Q270" s="877">
        <f t="shared" si="14"/>
        <v>-5340831</v>
      </c>
      <c r="R270" s="874">
        <v>-927299</v>
      </c>
      <c r="S270" s="874">
        <v>-6268130</v>
      </c>
      <c r="T270" s="878"/>
      <c r="U270" s="878"/>
      <c r="V270" s="878"/>
      <c r="W270" s="878"/>
      <c r="X270" s="878"/>
      <c r="Y270" s="878"/>
      <c r="Z270" s="878"/>
      <c r="AA270" s="878"/>
      <c r="AB270" s="879"/>
      <c r="AC270" s="879"/>
      <c r="AD270" s="879"/>
      <c r="AE270" s="879"/>
      <c r="AF270" s="879"/>
      <c r="AG270" s="879"/>
      <c r="AH270" s="879"/>
      <c r="AI270" s="879"/>
    </row>
    <row r="271" spans="1:35" x14ac:dyDescent="0.25">
      <c r="A271" s="876">
        <v>39100</v>
      </c>
      <c r="B271" s="873" t="s">
        <v>1484</v>
      </c>
      <c r="C271" s="873">
        <v>68727085</v>
      </c>
      <c r="D271" s="874">
        <v>55355517</v>
      </c>
      <c r="E271" s="874">
        <v>0</v>
      </c>
      <c r="F271" s="874">
        <v>5953</v>
      </c>
      <c r="G271" s="874">
        <v>0</v>
      </c>
      <c r="H271" s="874">
        <v>0</v>
      </c>
      <c r="I271" s="877">
        <f t="shared" si="12"/>
        <v>5953</v>
      </c>
      <c r="J271" s="874"/>
      <c r="K271" s="874">
        <v>3785454</v>
      </c>
      <c r="L271" s="874">
        <v>0</v>
      </c>
      <c r="M271" s="874">
        <v>23981288</v>
      </c>
      <c r="N271" s="874">
        <v>6631876</v>
      </c>
      <c r="O271" s="877">
        <f t="shared" si="13"/>
        <v>34398618</v>
      </c>
      <c r="P271" s="874"/>
      <c r="Q271" s="877">
        <f t="shared" si="14"/>
        <v>-748808</v>
      </c>
      <c r="R271" s="874">
        <v>-1379396</v>
      </c>
      <c r="S271" s="874">
        <v>-2128204</v>
      </c>
      <c r="T271" s="878"/>
      <c r="U271" s="878"/>
      <c r="V271" s="878"/>
      <c r="W271" s="878"/>
      <c r="X271" s="878"/>
      <c r="Y271" s="878"/>
      <c r="Z271" s="878"/>
      <c r="AA271" s="878"/>
      <c r="AB271" s="879"/>
      <c r="AC271" s="879"/>
      <c r="AD271" s="879"/>
      <c r="AE271" s="879"/>
      <c r="AF271" s="879"/>
      <c r="AG271" s="879"/>
      <c r="AH271" s="879"/>
      <c r="AI271" s="879"/>
    </row>
    <row r="272" spans="1:35" x14ac:dyDescent="0.25">
      <c r="A272" s="876">
        <v>39101</v>
      </c>
      <c r="B272" s="873" t="s">
        <v>1485</v>
      </c>
      <c r="C272" s="873">
        <v>5792209</v>
      </c>
      <c r="D272" s="874">
        <v>5696743</v>
      </c>
      <c r="E272" s="874">
        <v>0</v>
      </c>
      <c r="F272" s="874">
        <v>613</v>
      </c>
      <c r="G272" s="874">
        <v>0</v>
      </c>
      <c r="H272" s="874">
        <v>1566847</v>
      </c>
      <c r="I272" s="877">
        <f t="shared" si="12"/>
        <v>1567460</v>
      </c>
      <c r="J272" s="874"/>
      <c r="K272" s="874">
        <v>389568</v>
      </c>
      <c r="L272" s="874">
        <v>0</v>
      </c>
      <c r="M272" s="874">
        <v>2467960</v>
      </c>
      <c r="N272" s="874">
        <v>0</v>
      </c>
      <c r="O272" s="877">
        <f t="shared" si="13"/>
        <v>2857528</v>
      </c>
      <c r="P272" s="874"/>
      <c r="Q272" s="877">
        <f t="shared" si="14"/>
        <v>-77061</v>
      </c>
      <c r="R272" s="874">
        <v>348799</v>
      </c>
      <c r="S272" s="874">
        <v>271738</v>
      </c>
      <c r="T272" s="878"/>
      <c r="U272" s="878"/>
      <c r="V272" s="878"/>
      <c r="W272" s="878"/>
      <c r="X272" s="878"/>
      <c r="Y272" s="878"/>
      <c r="Z272" s="878"/>
      <c r="AA272" s="878"/>
      <c r="AB272" s="879"/>
      <c r="AC272" s="879"/>
      <c r="AD272" s="879"/>
      <c r="AE272" s="879"/>
      <c r="AF272" s="879"/>
      <c r="AG272" s="879"/>
      <c r="AH272" s="879"/>
      <c r="AI272" s="879"/>
    </row>
    <row r="273" spans="1:35" x14ac:dyDescent="0.25">
      <c r="A273" s="876">
        <v>39105</v>
      </c>
      <c r="B273" s="873" t="s">
        <v>1486</v>
      </c>
      <c r="C273" s="873">
        <v>26774696</v>
      </c>
      <c r="D273" s="874">
        <v>22228128</v>
      </c>
      <c r="E273" s="874">
        <v>0</v>
      </c>
      <c r="F273" s="874">
        <v>2391</v>
      </c>
      <c r="G273" s="874">
        <v>0</v>
      </c>
      <c r="H273" s="874">
        <v>0</v>
      </c>
      <c r="I273" s="877">
        <f t="shared" si="12"/>
        <v>2391</v>
      </c>
      <c r="J273" s="874"/>
      <c r="K273" s="874">
        <v>1520057</v>
      </c>
      <c r="L273" s="874">
        <v>0</v>
      </c>
      <c r="M273" s="874">
        <v>9629738</v>
      </c>
      <c r="N273" s="874">
        <v>3191026</v>
      </c>
      <c r="O273" s="877">
        <f t="shared" si="13"/>
        <v>14340821</v>
      </c>
      <c r="P273" s="874"/>
      <c r="Q273" s="877">
        <f t="shared" si="14"/>
        <v>-300686</v>
      </c>
      <c r="R273" s="874">
        <v>-730550</v>
      </c>
      <c r="S273" s="874">
        <v>-1031236</v>
      </c>
      <c r="T273" s="878"/>
      <c r="U273" s="878"/>
      <c r="V273" s="878"/>
      <c r="W273" s="878"/>
      <c r="X273" s="878"/>
      <c r="Y273" s="878"/>
      <c r="Z273" s="878"/>
      <c r="AA273" s="878"/>
      <c r="AB273" s="879"/>
      <c r="AC273" s="879"/>
      <c r="AD273" s="879"/>
      <c r="AE273" s="879"/>
      <c r="AF273" s="879"/>
      <c r="AG273" s="879"/>
      <c r="AH273" s="879"/>
      <c r="AI273" s="879"/>
    </row>
    <row r="274" spans="1:35" x14ac:dyDescent="0.25">
      <c r="A274" s="876">
        <v>39200</v>
      </c>
      <c r="B274" s="873" t="s">
        <v>1487</v>
      </c>
      <c r="C274" s="873">
        <v>1971459508</v>
      </c>
      <c r="D274" s="874">
        <v>1688971688</v>
      </c>
      <c r="E274" s="874">
        <v>0</v>
      </c>
      <c r="F274" s="874">
        <v>181640</v>
      </c>
      <c r="G274" s="874">
        <v>0</v>
      </c>
      <c r="H274" s="874">
        <v>109656184</v>
      </c>
      <c r="I274" s="877">
        <f t="shared" si="12"/>
        <v>109837824</v>
      </c>
      <c r="J274" s="874"/>
      <c r="K274" s="874">
        <v>115499332</v>
      </c>
      <c r="L274" s="874">
        <v>0</v>
      </c>
      <c r="M274" s="874">
        <v>731701527</v>
      </c>
      <c r="N274" s="874">
        <v>35570315</v>
      </c>
      <c r="O274" s="877">
        <f t="shared" si="13"/>
        <v>882771174</v>
      </c>
      <c r="P274" s="874"/>
      <c r="Q274" s="877">
        <f t="shared" si="14"/>
        <v>-22847151</v>
      </c>
      <c r="R274" s="874">
        <v>20299979</v>
      </c>
      <c r="S274" s="874">
        <v>-2547172</v>
      </c>
      <c r="T274" s="878"/>
      <c r="U274" s="878"/>
      <c r="V274" s="878"/>
      <c r="W274" s="878"/>
      <c r="X274" s="878"/>
      <c r="Y274" s="878"/>
      <c r="Z274" s="878"/>
      <c r="AA274" s="878"/>
      <c r="AB274" s="879"/>
      <c r="AC274" s="879"/>
      <c r="AD274" s="879"/>
      <c r="AE274" s="879"/>
      <c r="AF274" s="879"/>
      <c r="AG274" s="879"/>
      <c r="AH274" s="879"/>
      <c r="AI274" s="879"/>
    </row>
    <row r="275" spans="1:35" x14ac:dyDescent="0.25">
      <c r="A275" s="876">
        <v>39201</v>
      </c>
      <c r="B275" s="873" t="s">
        <v>1488</v>
      </c>
      <c r="C275" s="873">
        <v>6046700</v>
      </c>
      <c r="D275" s="874">
        <v>5215396</v>
      </c>
      <c r="E275" s="874">
        <v>0</v>
      </c>
      <c r="F275" s="874">
        <v>561</v>
      </c>
      <c r="G275" s="874">
        <v>0</v>
      </c>
      <c r="H275" s="874">
        <v>122248</v>
      </c>
      <c r="I275" s="877">
        <f t="shared" si="12"/>
        <v>122809</v>
      </c>
      <c r="J275" s="874"/>
      <c r="K275" s="874">
        <v>356652</v>
      </c>
      <c r="L275" s="874">
        <v>0</v>
      </c>
      <c r="M275" s="874">
        <v>2259430</v>
      </c>
      <c r="N275" s="874">
        <v>94340</v>
      </c>
      <c r="O275" s="877">
        <f t="shared" si="13"/>
        <v>2710422</v>
      </c>
      <c r="P275" s="874"/>
      <c r="Q275" s="877">
        <f t="shared" si="14"/>
        <v>-70550</v>
      </c>
      <c r="R275" s="874">
        <v>11697</v>
      </c>
      <c r="S275" s="874">
        <v>-58853</v>
      </c>
      <c r="T275" s="878"/>
      <c r="U275" s="878"/>
      <c r="V275" s="878"/>
      <c r="W275" s="878"/>
      <c r="X275" s="878"/>
      <c r="Y275" s="878"/>
      <c r="Z275" s="878"/>
      <c r="AA275" s="878"/>
      <c r="AB275" s="879"/>
      <c r="AC275" s="879"/>
      <c r="AD275" s="879"/>
      <c r="AE275" s="879"/>
      <c r="AF275" s="879"/>
      <c r="AG275" s="879"/>
      <c r="AH275" s="879"/>
      <c r="AI275" s="879"/>
    </row>
    <row r="276" spans="1:35" x14ac:dyDescent="0.25">
      <c r="A276" s="876">
        <v>39204</v>
      </c>
      <c r="B276" s="873" t="s">
        <v>1489</v>
      </c>
      <c r="C276" s="873">
        <v>5162785</v>
      </c>
      <c r="D276" s="874">
        <v>5716378</v>
      </c>
      <c r="E276" s="874">
        <v>0</v>
      </c>
      <c r="F276" s="874">
        <v>615</v>
      </c>
      <c r="G276" s="874">
        <v>0</v>
      </c>
      <c r="H276" s="874">
        <v>2740651</v>
      </c>
      <c r="I276" s="877">
        <f t="shared" si="12"/>
        <v>2741266</v>
      </c>
      <c r="J276" s="874"/>
      <c r="K276" s="874">
        <v>390911</v>
      </c>
      <c r="L276" s="874">
        <v>0</v>
      </c>
      <c r="M276" s="874">
        <v>2476467</v>
      </c>
      <c r="N276" s="874">
        <v>0</v>
      </c>
      <c r="O276" s="877">
        <f t="shared" si="13"/>
        <v>2867378</v>
      </c>
      <c r="P276" s="874"/>
      <c r="Q276" s="877">
        <f t="shared" si="14"/>
        <v>-77327</v>
      </c>
      <c r="R276" s="874">
        <v>606811</v>
      </c>
      <c r="S276" s="874">
        <v>529484</v>
      </c>
      <c r="T276" s="878"/>
      <c r="U276" s="878"/>
      <c r="V276" s="878"/>
      <c r="W276" s="878"/>
      <c r="X276" s="878"/>
      <c r="Y276" s="878"/>
      <c r="Z276" s="878"/>
      <c r="AA276" s="878"/>
      <c r="AB276" s="879"/>
      <c r="AC276" s="879"/>
      <c r="AD276" s="879"/>
      <c r="AE276" s="879"/>
      <c r="AF276" s="879"/>
      <c r="AG276" s="879"/>
      <c r="AH276" s="879"/>
      <c r="AI276" s="879"/>
    </row>
    <row r="277" spans="1:35" x14ac:dyDescent="0.25">
      <c r="A277" s="876">
        <v>39205</v>
      </c>
      <c r="B277" s="873" t="s">
        <v>1490</v>
      </c>
      <c r="C277" s="873">
        <v>145956593</v>
      </c>
      <c r="D277" s="874">
        <v>132949041</v>
      </c>
      <c r="E277" s="874">
        <v>0</v>
      </c>
      <c r="F277" s="874">
        <v>14298</v>
      </c>
      <c r="G277" s="874">
        <v>0</v>
      </c>
      <c r="H277" s="874">
        <v>10309680</v>
      </c>
      <c r="I277" s="877">
        <f t="shared" si="12"/>
        <v>10323978</v>
      </c>
      <c r="J277" s="874"/>
      <c r="K277" s="874">
        <v>9091642</v>
      </c>
      <c r="L277" s="874">
        <v>0</v>
      </c>
      <c r="M277" s="874">
        <v>57596594</v>
      </c>
      <c r="N277" s="874">
        <v>0</v>
      </c>
      <c r="O277" s="877">
        <f t="shared" si="13"/>
        <v>66688236</v>
      </c>
      <c r="P277" s="874"/>
      <c r="Q277" s="877">
        <f t="shared" si="14"/>
        <v>-1798436</v>
      </c>
      <c r="R277" s="874">
        <v>2177837</v>
      </c>
      <c r="S277" s="874">
        <v>379401</v>
      </c>
      <c r="T277" s="878"/>
      <c r="U277" s="878"/>
      <c r="V277" s="878"/>
      <c r="W277" s="878"/>
      <c r="X277" s="878"/>
      <c r="Y277" s="878"/>
      <c r="Z277" s="878"/>
      <c r="AA277" s="878"/>
      <c r="AB277" s="879"/>
      <c r="AC277" s="879"/>
      <c r="AD277" s="879"/>
      <c r="AE277" s="879"/>
      <c r="AF277" s="879"/>
      <c r="AG277" s="879"/>
      <c r="AH277" s="879"/>
      <c r="AI277" s="879"/>
    </row>
    <row r="278" spans="1:35" x14ac:dyDescent="0.25">
      <c r="A278" s="876">
        <v>39208</v>
      </c>
      <c r="B278" s="873" t="s">
        <v>1491</v>
      </c>
      <c r="C278" s="873">
        <v>11860088</v>
      </c>
      <c r="D278" s="874">
        <v>10221742</v>
      </c>
      <c r="E278" s="874">
        <v>0</v>
      </c>
      <c r="F278" s="874">
        <v>1099</v>
      </c>
      <c r="G278" s="874">
        <v>0</v>
      </c>
      <c r="H278" s="874">
        <v>0</v>
      </c>
      <c r="I278" s="877">
        <f t="shared" si="12"/>
        <v>1099</v>
      </c>
      <c r="J278" s="874"/>
      <c r="K278" s="874">
        <v>699008</v>
      </c>
      <c r="L278" s="874">
        <v>0</v>
      </c>
      <c r="M278" s="874">
        <v>4428294</v>
      </c>
      <c r="N278" s="874">
        <v>190724</v>
      </c>
      <c r="O278" s="877">
        <f t="shared" si="13"/>
        <v>5318026</v>
      </c>
      <c r="P278" s="874"/>
      <c r="Q278" s="877">
        <f t="shared" si="14"/>
        <v>-138272</v>
      </c>
      <c r="R278" s="874">
        <v>-39230</v>
      </c>
      <c r="S278" s="874">
        <v>-177502</v>
      </c>
      <c r="T278" s="878"/>
      <c r="U278" s="878"/>
      <c r="V278" s="878"/>
      <c r="W278" s="878"/>
      <c r="X278" s="878"/>
      <c r="Y278" s="878"/>
      <c r="Z278" s="878"/>
      <c r="AA278" s="878"/>
      <c r="AB278" s="879"/>
      <c r="AC278" s="879"/>
      <c r="AD278" s="879"/>
      <c r="AE278" s="879"/>
      <c r="AF278" s="879"/>
      <c r="AG278" s="879"/>
      <c r="AH278" s="879"/>
      <c r="AI278" s="879"/>
    </row>
    <row r="279" spans="1:35" x14ac:dyDescent="0.25">
      <c r="A279" s="876">
        <v>39209</v>
      </c>
      <c r="B279" s="873" t="s">
        <v>1492</v>
      </c>
      <c r="C279" s="873">
        <v>6111570</v>
      </c>
      <c r="D279" s="874">
        <v>5106603</v>
      </c>
      <c r="E279" s="874">
        <v>0</v>
      </c>
      <c r="F279" s="874">
        <v>549</v>
      </c>
      <c r="G279" s="874">
        <v>0</v>
      </c>
      <c r="H279" s="874">
        <v>224432</v>
      </c>
      <c r="I279" s="877">
        <f t="shared" si="12"/>
        <v>224981</v>
      </c>
      <c r="J279" s="874"/>
      <c r="K279" s="874">
        <v>349212</v>
      </c>
      <c r="L279" s="874">
        <v>0</v>
      </c>
      <c r="M279" s="874">
        <v>2212298</v>
      </c>
      <c r="N279" s="874">
        <v>297555</v>
      </c>
      <c r="O279" s="877">
        <f t="shared" si="13"/>
        <v>2859065</v>
      </c>
      <c r="P279" s="874"/>
      <c r="Q279" s="877">
        <f t="shared" si="14"/>
        <v>-69078</v>
      </c>
      <c r="R279" s="874">
        <v>-3404</v>
      </c>
      <c r="S279" s="874">
        <v>-72482</v>
      </c>
      <c r="T279" s="878"/>
      <c r="U279" s="878"/>
      <c r="V279" s="878"/>
      <c r="W279" s="878"/>
      <c r="X279" s="878"/>
      <c r="Y279" s="878"/>
      <c r="Z279" s="878"/>
      <c r="AA279" s="878"/>
      <c r="AB279" s="879"/>
      <c r="AC279" s="879"/>
      <c r="AD279" s="879"/>
      <c r="AE279" s="879"/>
      <c r="AF279" s="879"/>
      <c r="AG279" s="879"/>
      <c r="AH279" s="879"/>
      <c r="AI279" s="879"/>
    </row>
    <row r="280" spans="1:35" x14ac:dyDescent="0.25">
      <c r="A280" s="876">
        <v>39300</v>
      </c>
      <c r="B280" s="873" t="s">
        <v>1493</v>
      </c>
      <c r="C280" s="873">
        <v>26150045</v>
      </c>
      <c r="D280" s="874">
        <v>20457229</v>
      </c>
      <c r="E280" s="874">
        <v>0</v>
      </c>
      <c r="F280" s="874">
        <v>2200</v>
      </c>
      <c r="G280" s="874">
        <v>0</v>
      </c>
      <c r="H280" s="874">
        <v>0</v>
      </c>
      <c r="I280" s="877">
        <f t="shared" si="12"/>
        <v>2200</v>
      </c>
      <c r="J280" s="874"/>
      <c r="K280" s="874">
        <v>1398956</v>
      </c>
      <c r="L280" s="874">
        <v>0</v>
      </c>
      <c r="M280" s="874">
        <v>8862544</v>
      </c>
      <c r="N280" s="874">
        <v>4271440</v>
      </c>
      <c r="O280" s="877">
        <f t="shared" si="13"/>
        <v>14532940</v>
      </c>
      <c r="P280" s="874"/>
      <c r="Q280" s="877">
        <f t="shared" si="14"/>
        <v>-276730</v>
      </c>
      <c r="R280" s="874">
        <v>-923202</v>
      </c>
      <c r="S280" s="874">
        <v>-1199932</v>
      </c>
      <c r="T280" s="878"/>
      <c r="U280" s="878"/>
      <c r="V280" s="878"/>
      <c r="W280" s="878"/>
      <c r="X280" s="878"/>
      <c r="Y280" s="878"/>
      <c r="Z280" s="878"/>
      <c r="AA280" s="878"/>
      <c r="AB280" s="879"/>
      <c r="AC280" s="879"/>
      <c r="AD280" s="879"/>
      <c r="AE280" s="879"/>
      <c r="AF280" s="879"/>
      <c r="AG280" s="879"/>
      <c r="AH280" s="879"/>
      <c r="AI280" s="879"/>
    </row>
    <row r="281" spans="1:35" x14ac:dyDescent="0.25">
      <c r="A281" s="876">
        <v>39301</v>
      </c>
      <c r="B281" s="873" t="s">
        <v>1494</v>
      </c>
      <c r="C281" s="873">
        <v>1875079</v>
      </c>
      <c r="D281" s="874">
        <v>1063488</v>
      </c>
      <c r="E281" s="874">
        <v>0</v>
      </c>
      <c r="F281" s="874">
        <v>114</v>
      </c>
      <c r="G281" s="874">
        <v>0</v>
      </c>
      <c r="H281" s="874">
        <v>249072</v>
      </c>
      <c r="I281" s="877">
        <f t="shared" si="12"/>
        <v>249186</v>
      </c>
      <c r="J281" s="874"/>
      <c r="K281" s="874">
        <v>72726</v>
      </c>
      <c r="L281" s="874">
        <v>0</v>
      </c>
      <c r="M281" s="874">
        <v>460727</v>
      </c>
      <c r="N281" s="874">
        <v>733330</v>
      </c>
      <c r="O281" s="877">
        <f t="shared" si="13"/>
        <v>1266783</v>
      </c>
      <c r="P281" s="874"/>
      <c r="Q281" s="877">
        <f t="shared" si="14"/>
        <v>-14386</v>
      </c>
      <c r="R281" s="874">
        <v>-84400</v>
      </c>
      <c r="S281" s="874">
        <v>-98786</v>
      </c>
      <c r="T281" s="878"/>
      <c r="U281" s="878"/>
      <c r="V281" s="878"/>
      <c r="W281" s="878"/>
      <c r="X281" s="878"/>
      <c r="Y281" s="878"/>
      <c r="Z281" s="878"/>
      <c r="AA281" s="878"/>
      <c r="AB281" s="879"/>
      <c r="AC281" s="879"/>
      <c r="AD281" s="879"/>
      <c r="AE281" s="879"/>
      <c r="AF281" s="879"/>
      <c r="AG281" s="879"/>
      <c r="AH281" s="879"/>
      <c r="AI281" s="879"/>
    </row>
    <row r="282" spans="1:35" x14ac:dyDescent="0.25">
      <c r="A282" s="876">
        <v>39400</v>
      </c>
      <c r="B282" s="873" t="s">
        <v>1495</v>
      </c>
      <c r="C282" s="873">
        <v>17845774</v>
      </c>
      <c r="D282" s="874">
        <v>15424676</v>
      </c>
      <c r="E282" s="874">
        <v>0</v>
      </c>
      <c r="F282" s="874">
        <v>1659</v>
      </c>
      <c r="G282" s="874">
        <v>0</v>
      </c>
      <c r="H282" s="874">
        <v>0</v>
      </c>
      <c r="I282" s="877">
        <f t="shared" si="12"/>
        <v>1659</v>
      </c>
      <c r="J282" s="874"/>
      <c r="K282" s="874">
        <v>1054807</v>
      </c>
      <c r="L282" s="874">
        <v>0</v>
      </c>
      <c r="M282" s="874">
        <v>6682326</v>
      </c>
      <c r="N282" s="874">
        <v>741342</v>
      </c>
      <c r="O282" s="877">
        <f t="shared" si="13"/>
        <v>8478475</v>
      </c>
      <c r="P282" s="874"/>
      <c r="Q282" s="877">
        <f t="shared" si="14"/>
        <v>-208654</v>
      </c>
      <c r="R282" s="874">
        <v>-181828</v>
      </c>
      <c r="S282" s="874">
        <v>-390482</v>
      </c>
      <c r="T282" s="878"/>
      <c r="U282" s="878"/>
      <c r="V282" s="878"/>
      <c r="W282" s="878"/>
      <c r="X282" s="878"/>
      <c r="Y282" s="878"/>
      <c r="Z282" s="878"/>
      <c r="AA282" s="878"/>
      <c r="AB282" s="879"/>
      <c r="AC282" s="879"/>
      <c r="AD282" s="879"/>
      <c r="AE282" s="879"/>
      <c r="AF282" s="879"/>
      <c r="AG282" s="879"/>
      <c r="AH282" s="879"/>
      <c r="AI282" s="879"/>
    </row>
    <row r="283" spans="1:35" x14ac:dyDescent="0.25">
      <c r="A283" s="876">
        <v>39401</v>
      </c>
      <c r="B283" s="873" t="s">
        <v>1496</v>
      </c>
      <c r="C283" s="873">
        <v>9358530</v>
      </c>
      <c r="D283" s="874">
        <v>9830555</v>
      </c>
      <c r="E283" s="874">
        <v>0</v>
      </c>
      <c r="F283" s="874">
        <v>1057</v>
      </c>
      <c r="G283" s="874">
        <v>0</v>
      </c>
      <c r="H283" s="874">
        <v>4638177</v>
      </c>
      <c r="I283" s="877">
        <f t="shared" si="12"/>
        <v>4639234</v>
      </c>
      <c r="J283" s="874"/>
      <c r="K283" s="874">
        <v>672257</v>
      </c>
      <c r="L283" s="874">
        <v>0</v>
      </c>
      <c r="M283" s="874">
        <v>4258823</v>
      </c>
      <c r="N283" s="874">
        <v>0</v>
      </c>
      <c r="O283" s="877">
        <f t="shared" si="13"/>
        <v>4931080</v>
      </c>
      <c r="P283" s="874"/>
      <c r="Q283" s="877">
        <f t="shared" si="14"/>
        <v>-132980</v>
      </c>
      <c r="R283" s="874">
        <v>1053605</v>
      </c>
      <c r="S283" s="874">
        <v>920625</v>
      </c>
      <c r="T283" s="878"/>
      <c r="U283" s="878"/>
      <c r="V283" s="878"/>
      <c r="W283" s="878"/>
      <c r="X283" s="878"/>
      <c r="Y283" s="878"/>
      <c r="Z283" s="878"/>
      <c r="AA283" s="878"/>
      <c r="AB283" s="879"/>
      <c r="AC283" s="879"/>
      <c r="AD283" s="879"/>
      <c r="AE283" s="879"/>
      <c r="AF283" s="879"/>
      <c r="AG283" s="879"/>
      <c r="AH283" s="879"/>
      <c r="AI283" s="879"/>
    </row>
    <row r="284" spans="1:35" x14ac:dyDescent="0.25">
      <c r="A284" s="876">
        <v>39500</v>
      </c>
      <c r="B284" s="873" t="s">
        <v>1497</v>
      </c>
      <c r="C284" s="873">
        <v>58945383</v>
      </c>
      <c r="D284" s="874">
        <v>50695094</v>
      </c>
      <c r="E284" s="874">
        <v>0</v>
      </c>
      <c r="F284" s="874">
        <v>5452</v>
      </c>
      <c r="G284" s="874">
        <v>0</v>
      </c>
      <c r="H284" s="874">
        <v>2044948</v>
      </c>
      <c r="I284" s="877">
        <f t="shared" si="12"/>
        <v>2050400</v>
      </c>
      <c r="J284" s="874"/>
      <c r="K284" s="874">
        <v>3466754</v>
      </c>
      <c r="L284" s="874">
        <v>0</v>
      </c>
      <c r="M284" s="874">
        <v>21962285</v>
      </c>
      <c r="N284" s="874">
        <v>751935</v>
      </c>
      <c r="O284" s="877">
        <f t="shared" si="13"/>
        <v>26180974</v>
      </c>
      <c r="P284" s="874"/>
      <c r="Q284" s="877">
        <f t="shared" si="14"/>
        <v>-685765</v>
      </c>
      <c r="R284" s="874">
        <v>360851</v>
      </c>
      <c r="S284" s="874">
        <v>-324914</v>
      </c>
      <c r="T284" s="878"/>
      <c r="U284" s="878"/>
      <c r="V284" s="878"/>
      <c r="W284" s="878"/>
      <c r="X284" s="878"/>
      <c r="Y284" s="878"/>
      <c r="Z284" s="878"/>
      <c r="AA284" s="878"/>
      <c r="AB284" s="879"/>
      <c r="AC284" s="879"/>
      <c r="AD284" s="879"/>
      <c r="AE284" s="879"/>
      <c r="AF284" s="879"/>
      <c r="AG284" s="879"/>
      <c r="AH284" s="879"/>
      <c r="AI284" s="879"/>
    </row>
    <row r="285" spans="1:35" x14ac:dyDescent="0.25">
      <c r="A285" s="876">
        <v>39501</v>
      </c>
      <c r="B285" s="873" t="s">
        <v>1498</v>
      </c>
      <c r="C285" s="873">
        <v>1889920</v>
      </c>
      <c r="D285" s="874">
        <v>1557467</v>
      </c>
      <c r="E285" s="874">
        <v>0</v>
      </c>
      <c r="F285" s="874">
        <v>167</v>
      </c>
      <c r="G285" s="874">
        <v>0</v>
      </c>
      <c r="H285" s="874">
        <v>22436</v>
      </c>
      <c r="I285" s="877">
        <f t="shared" si="12"/>
        <v>22603</v>
      </c>
      <c r="J285" s="874"/>
      <c r="K285" s="874">
        <v>106506</v>
      </c>
      <c r="L285" s="874">
        <v>0</v>
      </c>
      <c r="M285" s="874">
        <v>674730</v>
      </c>
      <c r="N285" s="874">
        <v>116060</v>
      </c>
      <c r="O285" s="877">
        <f t="shared" si="13"/>
        <v>897296</v>
      </c>
      <c r="P285" s="874"/>
      <c r="Q285" s="877">
        <f t="shared" si="14"/>
        <v>-21068</v>
      </c>
      <c r="R285" s="874">
        <v>-17603</v>
      </c>
      <c r="S285" s="874">
        <v>-38671</v>
      </c>
      <c r="T285" s="878"/>
      <c r="U285" s="878"/>
      <c r="V285" s="878"/>
      <c r="W285" s="878"/>
      <c r="X285" s="878"/>
      <c r="Y285" s="878"/>
      <c r="Z285" s="878"/>
      <c r="AA285" s="878"/>
      <c r="AB285" s="879"/>
      <c r="AC285" s="879"/>
      <c r="AD285" s="879"/>
      <c r="AE285" s="879"/>
      <c r="AF285" s="879"/>
      <c r="AG285" s="879"/>
      <c r="AH285" s="879"/>
      <c r="AI285" s="879"/>
    </row>
    <row r="286" spans="1:35" x14ac:dyDescent="0.25">
      <c r="A286" s="876">
        <v>39600</v>
      </c>
      <c r="B286" s="873" t="s">
        <v>1499</v>
      </c>
      <c r="C286" s="873">
        <v>191786814</v>
      </c>
      <c r="D286" s="874">
        <v>163367703</v>
      </c>
      <c r="E286" s="874">
        <v>0</v>
      </c>
      <c r="F286" s="874">
        <v>17569</v>
      </c>
      <c r="G286" s="874">
        <v>0</v>
      </c>
      <c r="H286" s="874">
        <v>7931416</v>
      </c>
      <c r="I286" s="877">
        <f t="shared" si="12"/>
        <v>7948985</v>
      </c>
      <c r="J286" s="874"/>
      <c r="K286" s="874">
        <v>11171804</v>
      </c>
      <c r="L286" s="874">
        <v>0</v>
      </c>
      <c r="M286" s="874">
        <v>70774660</v>
      </c>
      <c r="N286" s="874">
        <v>4258025</v>
      </c>
      <c r="O286" s="877">
        <f t="shared" si="13"/>
        <v>86204489</v>
      </c>
      <c r="P286" s="874"/>
      <c r="Q286" s="877">
        <f t="shared" si="14"/>
        <v>-2209917</v>
      </c>
      <c r="R286" s="874">
        <v>1131251</v>
      </c>
      <c r="S286" s="874">
        <v>-1078666</v>
      </c>
      <c r="T286" s="878"/>
      <c r="U286" s="878"/>
      <c r="V286" s="878"/>
      <c r="W286" s="878"/>
      <c r="X286" s="878"/>
      <c r="Y286" s="878"/>
      <c r="Z286" s="878"/>
      <c r="AA286" s="878"/>
      <c r="AB286" s="879"/>
      <c r="AC286" s="879"/>
      <c r="AD286" s="879"/>
      <c r="AE286" s="879"/>
      <c r="AF286" s="879"/>
      <c r="AG286" s="879"/>
      <c r="AH286" s="879"/>
      <c r="AI286" s="879"/>
    </row>
    <row r="287" spans="1:35" x14ac:dyDescent="0.25">
      <c r="A287" s="876">
        <v>39605</v>
      </c>
      <c r="B287" s="873" t="s">
        <v>1500</v>
      </c>
      <c r="C287" s="873">
        <v>25826219</v>
      </c>
      <c r="D287" s="874">
        <v>24005888</v>
      </c>
      <c r="E287" s="874">
        <v>0</v>
      </c>
      <c r="F287" s="874">
        <v>2582</v>
      </c>
      <c r="G287" s="874">
        <v>0</v>
      </c>
      <c r="H287" s="874">
        <v>2050715</v>
      </c>
      <c r="I287" s="877">
        <f t="shared" si="12"/>
        <v>2053297</v>
      </c>
      <c r="J287" s="874"/>
      <c r="K287" s="874">
        <v>1641628</v>
      </c>
      <c r="L287" s="874">
        <v>0</v>
      </c>
      <c r="M287" s="874">
        <v>10399905</v>
      </c>
      <c r="N287" s="874">
        <v>376228</v>
      </c>
      <c r="O287" s="877">
        <f t="shared" si="13"/>
        <v>12417761</v>
      </c>
      <c r="P287" s="874"/>
      <c r="Q287" s="877">
        <f t="shared" si="14"/>
        <v>-324734</v>
      </c>
      <c r="R287" s="874">
        <v>316091</v>
      </c>
      <c r="S287" s="874">
        <v>-8643</v>
      </c>
      <c r="T287" s="878"/>
      <c r="U287" s="878"/>
      <c r="V287" s="878"/>
      <c r="W287" s="878"/>
      <c r="X287" s="878"/>
      <c r="Y287" s="878"/>
      <c r="Z287" s="878"/>
      <c r="AA287" s="878"/>
      <c r="AB287" s="879"/>
      <c r="AC287" s="879"/>
      <c r="AD287" s="879"/>
      <c r="AE287" s="879"/>
      <c r="AF287" s="879"/>
      <c r="AG287" s="879"/>
      <c r="AH287" s="879"/>
      <c r="AI287" s="879"/>
    </row>
    <row r="288" spans="1:35" x14ac:dyDescent="0.25">
      <c r="A288" s="876">
        <v>39700</v>
      </c>
      <c r="B288" s="873" t="s">
        <v>1501</v>
      </c>
      <c r="C288" s="873">
        <v>112661025</v>
      </c>
      <c r="D288" s="874">
        <v>92156930</v>
      </c>
      <c r="E288" s="874">
        <v>0</v>
      </c>
      <c r="F288" s="874">
        <v>9911</v>
      </c>
      <c r="G288" s="874">
        <v>0</v>
      </c>
      <c r="H288" s="874">
        <v>1530920</v>
      </c>
      <c r="I288" s="877">
        <f t="shared" si="12"/>
        <v>1540831</v>
      </c>
      <c r="J288" s="874"/>
      <c r="K288" s="874">
        <v>6302097</v>
      </c>
      <c r="L288" s="874">
        <v>0</v>
      </c>
      <c r="M288" s="874">
        <v>39924510</v>
      </c>
      <c r="N288" s="874">
        <v>7537495</v>
      </c>
      <c r="O288" s="877">
        <f t="shared" si="13"/>
        <v>53764102</v>
      </c>
      <c r="P288" s="874"/>
      <c r="Q288" s="877">
        <f t="shared" si="14"/>
        <v>-1246630</v>
      </c>
      <c r="R288" s="874">
        <v>-1124769</v>
      </c>
      <c r="S288" s="874">
        <v>-2371399</v>
      </c>
      <c r="T288" s="878"/>
      <c r="U288" s="878"/>
      <c r="V288" s="878"/>
      <c r="W288" s="878"/>
      <c r="X288" s="878"/>
      <c r="Y288" s="878"/>
      <c r="Z288" s="878"/>
      <c r="AA288" s="878"/>
      <c r="AB288" s="879"/>
      <c r="AC288" s="879"/>
      <c r="AD288" s="879"/>
      <c r="AE288" s="879"/>
      <c r="AF288" s="879"/>
      <c r="AG288" s="879"/>
      <c r="AH288" s="879"/>
      <c r="AI288" s="879"/>
    </row>
    <row r="289" spans="1:35" x14ac:dyDescent="0.25">
      <c r="A289" s="876">
        <v>39703</v>
      </c>
      <c r="B289" s="873" t="s">
        <v>1502</v>
      </c>
      <c r="C289" s="873">
        <v>4599680</v>
      </c>
      <c r="D289" s="874">
        <v>5590430</v>
      </c>
      <c r="E289" s="874">
        <v>0</v>
      </c>
      <c r="F289" s="874">
        <v>601</v>
      </c>
      <c r="G289" s="874">
        <v>0</v>
      </c>
      <c r="H289" s="874">
        <v>3021524</v>
      </c>
      <c r="I289" s="877">
        <f t="shared" si="12"/>
        <v>3022125</v>
      </c>
      <c r="J289" s="874"/>
      <c r="K289" s="874">
        <v>382298</v>
      </c>
      <c r="L289" s="874">
        <v>0</v>
      </c>
      <c r="M289" s="874">
        <v>2421903</v>
      </c>
      <c r="N289" s="874">
        <v>0</v>
      </c>
      <c r="O289" s="877">
        <f t="shared" si="13"/>
        <v>2804201</v>
      </c>
      <c r="P289" s="874"/>
      <c r="Q289" s="877">
        <f t="shared" si="14"/>
        <v>-75623</v>
      </c>
      <c r="R289" s="874">
        <v>654097</v>
      </c>
      <c r="S289" s="874">
        <v>578474</v>
      </c>
      <c r="T289" s="878"/>
      <c r="U289" s="878"/>
      <c r="V289" s="878"/>
      <c r="W289" s="878"/>
      <c r="X289" s="878"/>
      <c r="Y289" s="878"/>
      <c r="Z289" s="878"/>
      <c r="AA289" s="878"/>
      <c r="AB289" s="879"/>
      <c r="AC289" s="879"/>
      <c r="AD289" s="879"/>
      <c r="AE289" s="879"/>
      <c r="AF289" s="879"/>
      <c r="AG289" s="879"/>
      <c r="AH289" s="879"/>
      <c r="AI289" s="879"/>
    </row>
    <row r="290" spans="1:35" x14ac:dyDescent="0.25">
      <c r="A290" s="876">
        <v>39705</v>
      </c>
      <c r="B290" s="873" t="s">
        <v>1503</v>
      </c>
      <c r="C290" s="873">
        <v>24476663</v>
      </c>
      <c r="D290" s="874">
        <v>21795943</v>
      </c>
      <c r="E290" s="874">
        <v>0</v>
      </c>
      <c r="F290" s="874">
        <v>2344</v>
      </c>
      <c r="G290" s="874">
        <v>0</v>
      </c>
      <c r="H290" s="874">
        <v>719135</v>
      </c>
      <c r="I290" s="877">
        <f t="shared" si="12"/>
        <v>721479</v>
      </c>
      <c r="J290" s="874"/>
      <c r="K290" s="874">
        <v>1490503</v>
      </c>
      <c r="L290" s="874">
        <v>0</v>
      </c>
      <c r="M290" s="874">
        <v>9442506</v>
      </c>
      <c r="N290" s="874">
        <v>1281340</v>
      </c>
      <c r="O290" s="877">
        <f t="shared" si="13"/>
        <v>12214349</v>
      </c>
      <c r="P290" s="874"/>
      <c r="Q290" s="877">
        <f t="shared" si="14"/>
        <v>-294839</v>
      </c>
      <c r="R290" s="874">
        <v>-176512</v>
      </c>
      <c r="S290" s="874">
        <v>-471351</v>
      </c>
      <c r="T290" s="878"/>
      <c r="U290" s="878"/>
      <c r="V290" s="878"/>
      <c r="W290" s="878"/>
      <c r="X290" s="878"/>
      <c r="Y290" s="878"/>
      <c r="Z290" s="878"/>
      <c r="AA290" s="878"/>
      <c r="AB290" s="879"/>
      <c r="AC290" s="879"/>
      <c r="AD290" s="879"/>
      <c r="AE290" s="879"/>
      <c r="AF290" s="879"/>
      <c r="AG290" s="879"/>
      <c r="AH290" s="879"/>
      <c r="AI290" s="879"/>
    </row>
    <row r="291" spans="1:35" x14ac:dyDescent="0.25">
      <c r="A291" s="876">
        <v>39800</v>
      </c>
      <c r="B291" s="873" t="s">
        <v>1504</v>
      </c>
      <c r="C291" s="873">
        <v>124608101</v>
      </c>
      <c r="D291" s="874">
        <v>107387249</v>
      </c>
      <c r="E291" s="874">
        <v>0</v>
      </c>
      <c r="F291" s="874">
        <v>11549</v>
      </c>
      <c r="G291" s="874">
        <v>0</v>
      </c>
      <c r="H291" s="874">
        <v>1747992</v>
      </c>
      <c r="I291" s="877">
        <f t="shared" si="12"/>
        <v>1759541</v>
      </c>
      <c r="J291" s="874"/>
      <c r="K291" s="874">
        <v>7343614</v>
      </c>
      <c r="L291" s="874">
        <v>0</v>
      </c>
      <c r="M291" s="874">
        <v>46522635</v>
      </c>
      <c r="N291" s="874">
        <v>1218205</v>
      </c>
      <c r="O291" s="877">
        <f t="shared" si="13"/>
        <v>55084454</v>
      </c>
      <c r="P291" s="874"/>
      <c r="Q291" s="877">
        <f t="shared" si="14"/>
        <v>-1452655</v>
      </c>
      <c r="R291" s="874">
        <v>193359</v>
      </c>
      <c r="S291" s="874">
        <v>-1259296</v>
      </c>
      <c r="T291" s="878"/>
      <c r="U291" s="878"/>
      <c r="V291" s="878"/>
      <c r="W291" s="878"/>
      <c r="X291" s="878"/>
      <c r="Y291" s="878"/>
      <c r="Z291" s="878"/>
      <c r="AA291" s="878"/>
      <c r="AB291" s="879"/>
      <c r="AC291" s="879"/>
      <c r="AD291" s="879"/>
      <c r="AE291" s="879"/>
      <c r="AF291" s="879"/>
      <c r="AG291" s="879"/>
      <c r="AH291" s="879"/>
      <c r="AI291" s="879"/>
    </row>
    <row r="292" spans="1:35" x14ac:dyDescent="0.25">
      <c r="A292" s="876">
        <v>39805</v>
      </c>
      <c r="B292" s="873" t="s">
        <v>1505</v>
      </c>
      <c r="C292" s="873">
        <v>13581219</v>
      </c>
      <c r="D292" s="874">
        <v>11517885</v>
      </c>
      <c r="E292" s="874">
        <v>0</v>
      </c>
      <c r="F292" s="874">
        <v>1239</v>
      </c>
      <c r="G292" s="874">
        <v>0</v>
      </c>
      <c r="H292" s="874">
        <v>0</v>
      </c>
      <c r="I292" s="877">
        <f t="shared" si="12"/>
        <v>1239</v>
      </c>
      <c r="J292" s="874"/>
      <c r="K292" s="874">
        <v>787644</v>
      </c>
      <c r="L292" s="874">
        <v>0</v>
      </c>
      <c r="M292" s="874">
        <v>4989813</v>
      </c>
      <c r="N292" s="874">
        <v>469064</v>
      </c>
      <c r="O292" s="877">
        <f t="shared" si="13"/>
        <v>6246521</v>
      </c>
      <c r="P292" s="874"/>
      <c r="Q292" s="877">
        <f t="shared" si="14"/>
        <v>-155805</v>
      </c>
      <c r="R292" s="874">
        <v>-101104</v>
      </c>
      <c r="S292" s="874">
        <v>-256909</v>
      </c>
      <c r="T292" s="878"/>
      <c r="U292" s="878"/>
      <c r="V292" s="878"/>
      <c r="W292" s="878"/>
      <c r="X292" s="878"/>
      <c r="Y292" s="878"/>
      <c r="Z292" s="878"/>
      <c r="AA292" s="878"/>
      <c r="AB292" s="879"/>
      <c r="AC292" s="879"/>
      <c r="AD292" s="879"/>
      <c r="AE292" s="879"/>
      <c r="AF292" s="879"/>
      <c r="AG292" s="879"/>
      <c r="AH292" s="879"/>
      <c r="AI292" s="879"/>
    </row>
    <row r="293" spans="1:35" x14ac:dyDescent="0.25">
      <c r="A293" s="876">
        <v>39900</v>
      </c>
      <c r="B293" s="873" t="s">
        <v>1506</v>
      </c>
      <c r="C293" s="873">
        <v>63360414</v>
      </c>
      <c r="D293" s="874">
        <v>53220149</v>
      </c>
      <c r="E293" s="874">
        <v>0</v>
      </c>
      <c r="F293" s="874">
        <v>5724</v>
      </c>
      <c r="G293" s="874">
        <v>0</v>
      </c>
      <c r="H293" s="874">
        <v>2471184</v>
      </c>
      <c r="I293" s="877">
        <f t="shared" si="12"/>
        <v>2476908</v>
      </c>
      <c r="J293" s="874"/>
      <c r="K293" s="874">
        <v>3639428</v>
      </c>
      <c r="L293" s="874">
        <v>0</v>
      </c>
      <c r="M293" s="874">
        <v>23056197</v>
      </c>
      <c r="N293" s="874">
        <v>2409430</v>
      </c>
      <c r="O293" s="877">
        <f t="shared" si="13"/>
        <v>29105055</v>
      </c>
      <c r="P293" s="874"/>
      <c r="Q293" s="877">
        <f t="shared" si="14"/>
        <v>-719923</v>
      </c>
      <c r="R293" s="874">
        <v>135905</v>
      </c>
      <c r="S293" s="874">
        <v>-584018</v>
      </c>
      <c r="T293" s="878"/>
      <c r="U293" s="878"/>
      <c r="V293" s="878"/>
      <c r="W293" s="878"/>
      <c r="X293" s="878"/>
      <c r="Y293" s="878"/>
      <c r="Z293" s="878"/>
      <c r="AA293" s="878"/>
      <c r="AB293" s="879"/>
      <c r="AC293" s="879"/>
      <c r="AD293" s="879"/>
      <c r="AE293" s="879"/>
      <c r="AF293" s="879"/>
      <c r="AG293" s="879"/>
      <c r="AH293" s="879"/>
      <c r="AI293" s="879"/>
    </row>
    <row r="294" spans="1:35" x14ac:dyDescent="0.25">
      <c r="A294" s="876">
        <v>40000</v>
      </c>
      <c r="B294" s="873" t="s">
        <v>1507</v>
      </c>
      <c r="C294" s="873">
        <v>88177756</v>
      </c>
      <c r="D294" s="874">
        <v>64995741</v>
      </c>
      <c r="E294" s="874">
        <v>0</v>
      </c>
      <c r="F294" s="874">
        <v>6990</v>
      </c>
      <c r="G294" s="874">
        <v>0</v>
      </c>
      <c r="H294" s="874">
        <v>0</v>
      </c>
      <c r="I294" s="877">
        <f t="shared" si="12"/>
        <v>6990</v>
      </c>
      <c r="J294" s="874"/>
      <c r="K294" s="874">
        <v>4444695</v>
      </c>
      <c r="L294" s="874">
        <v>0</v>
      </c>
      <c r="M294" s="874">
        <v>28157655</v>
      </c>
      <c r="N294" s="874">
        <v>20923068</v>
      </c>
      <c r="O294" s="877">
        <f t="shared" si="13"/>
        <v>53525418</v>
      </c>
      <c r="P294" s="874"/>
      <c r="Q294" s="877">
        <f t="shared" si="14"/>
        <v>-879214</v>
      </c>
      <c r="R294" s="874">
        <v>-4566637</v>
      </c>
      <c r="S294" s="874">
        <v>-5445851</v>
      </c>
      <c r="T294" s="878"/>
      <c r="U294" s="878"/>
      <c r="V294" s="878"/>
      <c r="W294" s="878"/>
      <c r="X294" s="878"/>
      <c r="Y294" s="878"/>
      <c r="Z294" s="878"/>
      <c r="AA294" s="878"/>
      <c r="AB294" s="879"/>
      <c r="AC294" s="879"/>
      <c r="AD294" s="879"/>
      <c r="AE294" s="879"/>
      <c r="AF294" s="879"/>
      <c r="AG294" s="879"/>
      <c r="AH294" s="879"/>
      <c r="AI294" s="879"/>
    </row>
    <row r="295" spans="1:35" x14ac:dyDescent="0.25">
      <c r="A295" s="876">
        <v>51000</v>
      </c>
      <c r="B295" s="873" t="s">
        <v>1508</v>
      </c>
      <c r="C295" s="873">
        <v>872679928</v>
      </c>
      <c r="D295" s="874">
        <v>717873115</v>
      </c>
      <c r="E295" s="874">
        <v>0</v>
      </c>
      <c r="F295" s="874">
        <v>77204</v>
      </c>
      <c r="G295" s="874">
        <v>0</v>
      </c>
      <c r="H295" s="874">
        <v>0</v>
      </c>
      <c r="I295" s="877">
        <f t="shared" si="12"/>
        <v>77204</v>
      </c>
      <c r="J295" s="874"/>
      <c r="K295" s="874">
        <v>49091329</v>
      </c>
      <c r="L295" s="874">
        <v>0</v>
      </c>
      <c r="M295" s="874">
        <v>310999207</v>
      </c>
      <c r="N295" s="874">
        <v>90042364</v>
      </c>
      <c r="O295" s="877">
        <f t="shared" si="13"/>
        <v>450132900</v>
      </c>
      <c r="P295" s="874"/>
      <c r="Q295" s="877">
        <f t="shared" si="14"/>
        <v>-9710853</v>
      </c>
      <c r="R295" s="874">
        <v>-20093282</v>
      </c>
      <c r="S295" s="874">
        <v>-29804135</v>
      </c>
      <c r="T295" s="878"/>
      <c r="U295" s="878"/>
      <c r="V295" s="878"/>
      <c r="W295" s="878"/>
      <c r="X295" s="878"/>
      <c r="Y295" s="878"/>
      <c r="Z295" s="878"/>
      <c r="AA295" s="878"/>
      <c r="AB295" s="879"/>
      <c r="AC295" s="879"/>
      <c r="AD295" s="879"/>
      <c r="AE295" s="879"/>
      <c r="AF295" s="879"/>
      <c r="AG295" s="879"/>
      <c r="AH295" s="879"/>
      <c r="AI295" s="879"/>
    </row>
    <row r="296" spans="1:35" ht="26.25" x14ac:dyDescent="0.25">
      <c r="A296" s="876">
        <v>51000.1</v>
      </c>
      <c r="B296" s="873" t="s">
        <v>1509</v>
      </c>
      <c r="C296" s="873">
        <v>523596</v>
      </c>
      <c r="D296" s="874">
        <v>606794</v>
      </c>
      <c r="E296" s="874">
        <v>0</v>
      </c>
      <c r="F296" s="874">
        <v>65</v>
      </c>
      <c r="G296" s="874">
        <v>0</v>
      </c>
      <c r="H296" s="874">
        <v>238997</v>
      </c>
      <c r="I296" s="877">
        <f t="shared" si="12"/>
        <v>239062</v>
      </c>
      <c r="J296" s="874"/>
      <c r="K296" s="874">
        <v>41495</v>
      </c>
      <c r="L296" s="874">
        <v>0</v>
      </c>
      <c r="M296" s="874">
        <v>262878</v>
      </c>
      <c r="N296" s="874">
        <v>0</v>
      </c>
      <c r="O296" s="877">
        <f t="shared" si="13"/>
        <v>304373</v>
      </c>
      <c r="P296" s="874"/>
      <c r="Q296" s="877">
        <f t="shared" si="14"/>
        <v>-8208</v>
      </c>
      <c r="R296" s="874">
        <v>49230</v>
      </c>
      <c r="S296" s="874">
        <v>41022</v>
      </c>
      <c r="T296" s="878"/>
      <c r="U296" s="878"/>
      <c r="V296" s="878"/>
      <c r="W296" s="878"/>
      <c r="X296" s="878"/>
      <c r="Y296" s="878"/>
      <c r="Z296" s="878"/>
      <c r="AA296" s="878"/>
      <c r="AB296" s="879"/>
      <c r="AC296" s="879"/>
      <c r="AD296" s="879"/>
      <c r="AE296" s="879"/>
      <c r="AF296" s="879"/>
      <c r="AG296" s="879"/>
      <c r="AH296" s="879"/>
      <c r="AI296" s="879"/>
    </row>
    <row r="297" spans="1:35" x14ac:dyDescent="0.25">
      <c r="A297" s="876">
        <v>51000.2</v>
      </c>
      <c r="B297" s="873" t="s">
        <v>1510</v>
      </c>
      <c r="C297" s="873">
        <v>20123893</v>
      </c>
      <c r="D297" s="874">
        <v>18542674</v>
      </c>
      <c r="E297" s="874">
        <v>0</v>
      </c>
      <c r="F297" s="874">
        <v>1994</v>
      </c>
      <c r="G297" s="874">
        <v>0</v>
      </c>
      <c r="H297" s="874">
        <v>1771535</v>
      </c>
      <c r="I297" s="877">
        <f t="shared" si="12"/>
        <v>1773529</v>
      </c>
      <c r="J297" s="874"/>
      <c r="K297" s="874">
        <v>1268030</v>
      </c>
      <c r="L297" s="874">
        <v>0</v>
      </c>
      <c r="M297" s="874">
        <v>8033114</v>
      </c>
      <c r="N297" s="874">
        <v>0</v>
      </c>
      <c r="O297" s="877">
        <f t="shared" si="13"/>
        <v>9301144</v>
      </c>
      <c r="P297" s="874"/>
      <c r="Q297" s="877">
        <f t="shared" si="14"/>
        <v>-250831</v>
      </c>
      <c r="R297" s="874">
        <v>370478</v>
      </c>
      <c r="S297" s="874">
        <v>119647</v>
      </c>
      <c r="T297" s="878"/>
      <c r="U297" s="878"/>
      <c r="V297" s="878"/>
      <c r="W297" s="878"/>
      <c r="X297" s="878"/>
      <c r="Y297" s="878"/>
      <c r="Z297" s="878"/>
      <c r="AA297" s="878"/>
      <c r="AB297" s="879"/>
      <c r="AC297" s="879"/>
      <c r="AD297" s="879"/>
      <c r="AE297" s="879"/>
      <c r="AF297" s="879"/>
      <c r="AG297" s="879"/>
      <c r="AH297" s="879"/>
      <c r="AI297" s="879"/>
    </row>
    <row r="298" spans="1:35" x14ac:dyDescent="0.25">
      <c r="A298" s="876">
        <v>60000</v>
      </c>
      <c r="B298" s="873" t="s">
        <v>1511</v>
      </c>
      <c r="C298" s="873">
        <v>3725775</v>
      </c>
      <c r="D298" s="874">
        <v>3082786</v>
      </c>
      <c r="E298" s="874">
        <v>0</v>
      </c>
      <c r="F298" s="874">
        <v>332</v>
      </c>
      <c r="G298" s="874">
        <v>0</v>
      </c>
      <c r="H298" s="874">
        <v>0</v>
      </c>
      <c r="I298" s="877">
        <f t="shared" si="12"/>
        <v>332</v>
      </c>
      <c r="J298" s="874"/>
      <c r="K298" s="874">
        <v>210814</v>
      </c>
      <c r="L298" s="874">
        <v>0</v>
      </c>
      <c r="M298" s="874">
        <v>1335534</v>
      </c>
      <c r="N298" s="874">
        <v>907182</v>
      </c>
      <c r="O298" s="877">
        <f t="shared" si="13"/>
        <v>2453530</v>
      </c>
      <c r="P298" s="874"/>
      <c r="Q298" s="877">
        <f t="shared" si="14"/>
        <v>-41702</v>
      </c>
      <c r="R298" s="874">
        <v>-221332</v>
      </c>
      <c r="S298" s="874">
        <v>-263034</v>
      </c>
      <c r="T298" s="878"/>
      <c r="U298" s="878"/>
      <c r="V298" s="878"/>
      <c r="W298" s="878"/>
      <c r="X298" s="878"/>
      <c r="Y298" s="878"/>
      <c r="Z298" s="878"/>
      <c r="AA298" s="878"/>
      <c r="AB298" s="879"/>
      <c r="AC298" s="879"/>
      <c r="AD298" s="879"/>
      <c r="AE298" s="879"/>
      <c r="AF298" s="879"/>
      <c r="AG298" s="879"/>
      <c r="AH298" s="879"/>
      <c r="AI298" s="879"/>
    </row>
    <row r="299" spans="1:35" x14ac:dyDescent="0.25">
      <c r="A299" s="876">
        <v>90901</v>
      </c>
      <c r="B299" s="873" t="s">
        <v>1512</v>
      </c>
      <c r="C299" s="873">
        <v>26753885</v>
      </c>
      <c r="D299" s="874">
        <v>22295721</v>
      </c>
      <c r="E299" s="874">
        <v>0</v>
      </c>
      <c r="F299" s="874">
        <v>2398</v>
      </c>
      <c r="G299" s="874">
        <v>0</v>
      </c>
      <c r="H299" s="874">
        <v>2935024</v>
      </c>
      <c r="I299" s="877">
        <f t="shared" si="12"/>
        <v>2937422</v>
      </c>
      <c r="J299" s="874"/>
      <c r="K299" s="874">
        <v>1524680</v>
      </c>
      <c r="L299" s="874">
        <v>0</v>
      </c>
      <c r="M299" s="874">
        <v>9659021</v>
      </c>
      <c r="N299" s="874">
        <v>1178575</v>
      </c>
      <c r="O299" s="877">
        <f t="shared" si="13"/>
        <v>12362276</v>
      </c>
      <c r="P299" s="874"/>
      <c r="Q299" s="877">
        <f t="shared" si="14"/>
        <v>-301600</v>
      </c>
      <c r="R299" s="874">
        <v>498038</v>
      </c>
      <c r="S299" s="874">
        <v>196438</v>
      </c>
      <c r="T299" s="878"/>
      <c r="U299" s="878"/>
      <c r="V299" s="878"/>
      <c r="W299" s="878"/>
      <c r="X299" s="878"/>
      <c r="Y299" s="878"/>
      <c r="Z299" s="878"/>
      <c r="AA299" s="878"/>
      <c r="AB299" s="879"/>
      <c r="AC299" s="879"/>
      <c r="AD299" s="879"/>
      <c r="AE299" s="879"/>
      <c r="AF299" s="879"/>
      <c r="AG299" s="879"/>
      <c r="AH299" s="879"/>
      <c r="AI299" s="879"/>
    </row>
    <row r="300" spans="1:35" x14ac:dyDescent="0.25">
      <c r="A300" s="876">
        <v>91041</v>
      </c>
      <c r="B300" s="873" t="s">
        <v>1701</v>
      </c>
      <c r="C300" s="873">
        <v>4886483</v>
      </c>
      <c r="D300" s="874">
        <v>4406908</v>
      </c>
      <c r="E300" s="874">
        <v>0</v>
      </c>
      <c r="F300" s="874">
        <v>474</v>
      </c>
      <c r="G300" s="874">
        <v>0</v>
      </c>
      <c r="H300" s="874">
        <v>744363</v>
      </c>
      <c r="I300" s="877">
        <f t="shared" si="12"/>
        <v>744837</v>
      </c>
      <c r="J300" s="874"/>
      <c r="K300" s="874">
        <v>301364</v>
      </c>
      <c r="L300" s="874">
        <v>0</v>
      </c>
      <c r="M300" s="874">
        <v>1909174</v>
      </c>
      <c r="N300" s="874">
        <v>0</v>
      </c>
      <c r="O300" s="877">
        <f t="shared" si="13"/>
        <v>2210538</v>
      </c>
      <c r="P300" s="874"/>
      <c r="Q300" s="877">
        <f t="shared" si="14"/>
        <v>-59613</v>
      </c>
      <c r="R300" s="874">
        <v>176389</v>
      </c>
      <c r="S300" s="874">
        <v>116776</v>
      </c>
      <c r="T300" s="878"/>
      <c r="U300" s="878"/>
      <c r="V300" s="878"/>
      <c r="W300" s="878"/>
      <c r="X300" s="878"/>
      <c r="Y300" s="878"/>
      <c r="Z300" s="878"/>
      <c r="AA300" s="878"/>
      <c r="AB300" s="879"/>
      <c r="AC300" s="879"/>
      <c r="AD300" s="879"/>
      <c r="AE300" s="879"/>
      <c r="AF300" s="879"/>
      <c r="AG300" s="879"/>
      <c r="AH300" s="879"/>
      <c r="AI300" s="879"/>
    </row>
    <row r="301" spans="1:35" x14ac:dyDescent="0.25">
      <c r="A301" s="876">
        <v>91111</v>
      </c>
      <c r="B301" s="873" t="s">
        <v>1702</v>
      </c>
      <c r="C301" s="873">
        <v>2769848</v>
      </c>
      <c r="D301" s="874">
        <v>2238634</v>
      </c>
      <c r="E301" s="874">
        <v>0</v>
      </c>
      <c r="F301" s="874">
        <v>241</v>
      </c>
      <c r="G301" s="874">
        <v>0</v>
      </c>
      <c r="H301" s="874">
        <v>421564</v>
      </c>
      <c r="I301" s="877">
        <f t="shared" si="12"/>
        <v>421805</v>
      </c>
      <c r="J301" s="874"/>
      <c r="K301" s="874">
        <v>153088</v>
      </c>
      <c r="L301" s="874">
        <v>0</v>
      </c>
      <c r="M301" s="874">
        <v>969828</v>
      </c>
      <c r="N301" s="874">
        <v>210620</v>
      </c>
      <c r="O301" s="877">
        <f t="shared" si="13"/>
        <v>1333536</v>
      </c>
      <c r="P301" s="874"/>
      <c r="Q301" s="877">
        <f t="shared" si="14"/>
        <v>-30283</v>
      </c>
      <c r="R301" s="874">
        <v>63265</v>
      </c>
      <c r="S301" s="874">
        <v>32982</v>
      </c>
      <c r="T301" s="878"/>
      <c r="U301" s="878"/>
      <c r="V301" s="878"/>
      <c r="W301" s="878"/>
      <c r="X301" s="878"/>
      <c r="Y301" s="878"/>
      <c r="Z301" s="878"/>
      <c r="AA301" s="878"/>
      <c r="AB301" s="879"/>
      <c r="AC301" s="879"/>
      <c r="AD301" s="879"/>
      <c r="AE301" s="879"/>
      <c r="AF301" s="879"/>
      <c r="AG301" s="879"/>
      <c r="AH301" s="879"/>
      <c r="AI301" s="879"/>
    </row>
    <row r="302" spans="1:35" x14ac:dyDescent="0.25">
      <c r="A302" s="876">
        <v>91151</v>
      </c>
      <c r="B302" s="873" t="s">
        <v>1703</v>
      </c>
      <c r="C302" s="873">
        <v>7606034</v>
      </c>
      <c r="D302" s="874">
        <v>6227776</v>
      </c>
      <c r="E302" s="874">
        <v>0</v>
      </c>
      <c r="F302" s="874">
        <v>670</v>
      </c>
      <c r="G302" s="874">
        <v>0</v>
      </c>
      <c r="H302" s="874">
        <v>802296</v>
      </c>
      <c r="I302" s="877">
        <f t="shared" si="12"/>
        <v>802966</v>
      </c>
      <c r="J302" s="874"/>
      <c r="K302" s="874">
        <v>425883</v>
      </c>
      <c r="L302" s="874">
        <v>0</v>
      </c>
      <c r="M302" s="874">
        <v>2698016</v>
      </c>
      <c r="N302" s="874">
        <v>502790</v>
      </c>
      <c r="O302" s="877">
        <f t="shared" si="13"/>
        <v>3626689</v>
      </c>
      <c r="P302" s="874"/>
      <c r="Q302" s="877">
        <f t="shared" si="14"/>
        <v>-84245</v>
      </c>
      <c r="R302" s="874">
        <v>100022</v>
      </c>
      <c r="S302" s="874">
        <v>15777</v>
      </c>
      <c r="T302" s="878"/>
      <c r="U302" s="878"/>
      <c r="V302" s="878"/>
      <c r="W302" s="878"/>
      <c r="X302" s="878"/>
      <c r="Y302" s="878"/>
      <c r="Z302" s="878"/>
      <c r="AA302" s="878"/>
      <c r="AB302" s="879"/>
      <c r="AC302" s="879"/>
      <c r="AD302" s="879"/>
      <c r="AE302" s="879"/>
      <c r="AF302" s="879"/>
      <c r="AG302" s="879"/>
      <c r="AH302" s="879"/>
      <c r="AI302" s="879"/>
    </row>
    <row r="303" spans="1:35" x14ac:dyDescent="0.25">
      <c r="A303" s="876">
        <v>98101</v>
      </c>
      <c r="B303" s="873" t="s">
        <v>1516</v>
      </c>
      <c r="C303" s="873">
        <v>34160722</v>
      </c>
      <c r="D303" s="874">
        <v>27772726</v>
      </c>
      <c r="E303" s="874">
        <v>0</v>
      </c>
      <c r="F303" s="874">
        <v>2987</v>
      </c>
      <c r="G303" s="874">
        <v>0</v>
      </c>
      <c r="H303" s="874">
        <v>3341288</v>
      </c>
      <c r="I303" s="877">
        <f t="shared" si="12"/>
        <v>3344275</v>
      </c>
      <c r="J303" s="874"/>
      <c r="K303" s="874">
        <v>1899221</v>
      </c>
      <c r="L303" s="874">
        <v>0</v>
      </c>
      <c r="M303" s="874">
        <v>12031786</v>
      </c>
      <c r="N303" s="874">
        <v>2458050</v>
      </c>
      <c r="O303" s="877">
        <f t="shared" si="13"/>
        <v>16389057</v>
      </c>
      <c r="P303" s="874"/>
      <c r="Q303" s="877">
        <f t="shared" si="14"/>
        <v>-375689</v>
      </c>
      <c r="R303" s="874">
        <v>343714</v>
      </c>
      <c r="S303" s="874">
        <v>-31975</v>
      </c>
      <c r="T303" s="878"/>
      <c r="U303" s="878"/>
      <c r="V303" s="878"/>
      <c r="W303" s="878"/>
      <c r="X303" s="878"/>
      <c r="Y303" s="878"/>
      <c r="Z303" s="878"/>
      <c r="AA303" s="878"/>
      <c r="AB303" s="879"/>
      <c r="AC303" s="879"/>
      <c r="AD303" s="879"/>
      <c r="AE303" s="879"/>
      <c r="AF303" s="879"/>
      <c r="AG303" s="879"/>
      <c r="AH303" s="879"/>
      <c r="AI303" s="879"/>
    </row>
    <row r="304" spans="1:35" ht="26.25" x14ac:dyDescent="0.25">
      <c r="A304" s="876">
        <v>98103</v>
      </c>
      <c r="B304" s="873" t="s">
        <v>1517</v>
      </c>
      <c r="C304" s="873">
        <v>6289173</v>
      </c>
      <c r="D304" s="874">
        <v>5088058</v>
      </c>
      <c r="E304" s="874">
        <v>0</v>
      </c>
      <c r="F304" s="874">
        <v>547</v>
      </c>
      <c r="G304" s="874">
        <v>0</v>
      </c>
      <c r="H304" s="874">
        <v>174612</v>
      </c>
      <c r="I304" s="877">
        <f t="shared" si="12"/>
        <v>175159</v>
      </c>
      <c r="J304" s="874"/>
      <c r="K304" s="874">
        <v>347944</v>
      </c>
      <c r="L304" s="874">
        <v>0</v>
      </c>
      <c r="M304" s="874">
        <v>2204264</v>
      </c>
      <c r="N304" s="874">
        <v>469710</v>
      </c>
      <c r="O304" s="877">
        <f t="shared" si="13"/>
        <v>3021918</v>
      </c>
      <c r="P304" s="874"/>
      <c r="Q304" s="877">
        <f t="shared" si="14"/>
        <v>-68827</v>
      </c>
      <c r="R304" s="874">
        <v>-50292</v>
      </c>
      <c r="S304" s="874">
        <v>-119119</v>
      </c>
      <c r="T304" s="878"/>
      <c r="U304" s="878"/>
      <c r="V304" s="878"/>
      <c r="W304" s="878"/>
      <c r="X304" s="878"/>
      <c r="Y304" s="878"/>
      <c r="Z304" s="878"/>
      <c r="AA304" s="878"/>
      <c r="AB304" s="879"/>
      <c r="AC304" s="879"/>
      <c r="AD304" s="879"/>
      <c r="AE304" s="879"/>
      <c r="AF304" s="879"/>
      <c r="AG304" s="879"/>
      <c r="AH304" s="879"/>
      <c r="AI304" s="879"/>
    </row>
    <row r="305" spans="1:35" x14ac:dyDescent="0.25">
      <c r="A305" s="876">
        <v>98111</v>
      </c>
      <c r="B305" s="873" t="s">
        <v>1704</v>
      </c>
      <c r="C305" s="873">
        <v>12123671</v>
      </c>
      <c r="D305" s="874">
        <v>10480910</v>
      </c>
      <c r="E305" s="874">
        <v>0</v>
      </c>
      <c r="F305" s="874">
        <v>1127</v>
      </c>
      <c r="G305" s="874">
        <v>0</v>
      </c>
      <c r="H305" s="874">
        <v>497412</v>
      </c>
      <c r="I305" s="877">
        <f t="shared" si="12"/>
        <v>498539</v>
      </c>
      <c r="J305" s="874"/>
      <c r="K305" s="874">
        <v>716731</v>
      </c>
      <c r="L305" s="874">
        <v>0</v>
      </c>
      <c r="M305" s="874">
        <v>4540572</v>
      </c>
      <c r="N305" s="874">
        <v>81395</v>
      </c>
      <c r="O305" s="877">
        <f t="shared" si="13"/>
        <v>5338698</v>
      </c>
      <c r="P305" s="874"/>
      <c r="Q305" s="877">
        <f t="shared" si="14"/>
        <v>-141778</v>
      </c>
      <c r="R305" s="874">
        <v>108075</v>
      </c>
      <c r="S305" s="874">
        <v>-33703</v>
      </c>
      <c r="T305" s="878"/>
      <c r="U305" s="878"/>
      <c r="V305" s="878"/>
      <c r="W305" s="878"/>
      <c r="X305" s="878"/>
      <c r="Y305" s="878"/>
      <c r="Z305" s="878"/>
      <c r="AA305" s="878"/>
      <c r="AB305" s="879"/>
      <c r="AC305" s="879"/>
      <c r="AD305" s="879"/>
      <c r="AE305" s="879"/>
      <c r="AF305" s="879"/>
      <c r="AG305" s="879"/>
      <c r="AH305" s="879"/>
      <c r="AI305" s="879"/>
    </row>
    <row r="306" spans="1:35" x14ac:dyDescent="0.25">
      <c r="A306" s="876">
        <v>98131</v>
      </c>
      <c r="B306" s="873" t="s">
        <v>1705</v>
      </c>
      <c r="C306" s="873">
        <v>2950894</v>
      </c>
      <c r="D306" s="874">
        <v>2243524</v>
      </c>
      <c r="E306" s="874">
        <v>0</v>
      </c>
      <c r="F306" s="874">
        <v>241</v>
      </c>
      <c r="G306" s="874">
        <v>0</v>
      </c>
      <c r="H306" s="874">
        <v>0</v>
      </c>
      <c r="I306" s="877">
        <f t="shared" si="12"/>
        <v>241</v>
      </c>
      <c r="J306" s="874"/>
      <c r="K306" s="874">
        <v>153422</v>
      </c>
      <c r="L306" s="874">
        <v>0</v>
      </c>
      <c r="M306" s="874">
        <v>971946</v>
      </c>
      <c r="N306" s="874">
        <v>666428</v>
      </c>
      <c r="O306" s="877">
        <f t="shared" si="13"/>
        <v>1791796</v>
      </c>
      <c r="P306" s="874"/>
      <c r="Q306" s="877">
        <f t="shared" si="14"/>
        <v>-30349</v>
      </c>
      <c r="R306" s="874">
        <v>-146382</v>
      </c>
      <c r="S306" s="874">
        <v>-176731</v>
      </c>
      <c r="T306" s="878"/>
      <c r="U306" s="878"/>
      <c r="V306" s="878"/>
      <c r="W306" s="878"/>
      <c r="X306" s="878"/>
      <c r="Y306" s="878"/>
      <c r="Z306" s="878"/>
      <c r="AA306" s="878"/>
      <c r="AB306" s="879"/>
      <c r="AC306" s="879"/>
      <c r="AD306" s="879"/>
      <c r="AE306" s="879"/>
      <c r="AF306" s="879"/>
      <c r="AG306" s="879"/>
      <c r="AH306" s="879"/>
      <c r="AI306" s="879"/>
    </row>
    <row r="307" spans="1:35" x14ac:dyDescent="0.25">
      <c r="A307" s="876">
        <v>99401</v>
      </c>
      <c r="B307" s="873" t="s">
        <v>1520</v>
      </c>
      <c r="C307" s="873">
        <v>10959935</v>
      </c>
      <c r="D307" s="874">
        <v>8473050</v>
      </c>
      <c r="E307" s="874">
        <v>0</v>
      </c>
      <c r="F307" s="874">
        <v>911</v>
      </c>
      <c r="G307" s="874">
        <v>0</v>
      </c>
      <c r="H307" s="874">
        <v>887564</v>
      </c>
      <c r="I307" s="877">
        <f t="shared" si="12"/>
        <v>888475</v>
      </c>
      <c r="J307" s="874"/>
      <c r="K307" s="874">
        <v>579425</v>
      </c>
      <c r="L307" s="874">
        <v>0</v>
      </c>
      <c r="M307" s="874">
        <v>3670721</v>
      </c>
      <c r="N307" s="874">
        <v>1334030</v>
      </c>
      <c r="O307" s="877">
        <f t="shared" si="13"/>
        <v>5584176</v>
      </c>
      <c r="P307" s="874"/>
      <c r="Q307" s="877">
        <f t="shared" si="14"/>
        <v>-114617</v>
      </c>
      <c r="R307" s="874">
        <v>-44917</v>
      </c>
      <c r="S307" s="874">
        <v>-159534</v>
      </c>
      <c r="T307" s="878"/>
      <c r="U307" s="878"/>
      <c r="V307" s="878"/>
      <c r="W307" s="878"/>
      <c r="X307" s="878"/>
      <c r="Y307" s="878"/>
      <c r="Z307" s="878"/>
      <c r="AA307" s="878"/>
      <c r="AB307" s="879"/>
      <c r="AC307" s="879"/>
      <c r="AD307" s="879"/>
      <c r="AE307" s="879"/>
      <c r="AF307" s="879"/>
      <c r="AG307" s="879"/>
      <c r="AH307" s="879"/>
      <c r="AI307" s="879"/>
    </row>
    <row r="308" spans="1:35" x14ac:dyDescent="0.25">
      <c r="A308" s="876">
        <v>99521</v>
      </c>
      <c r="B308" s="873" t="s">
        <v>1706</v>
      </c>
      <c r="C308" s="873">
        <v>5058674</v>
      </c>
      <c r="D308" s="874">
        <v>4754310</v>
      </c>
      <c r="E308" s="874">
        <v>0</v>
      </c>
      <c r="F308" s="874">
        <v>511</v>
      </c>
      <c r="G308" s="874">
        <v>0</v>
      </c>
      <c r="H308" s="874">
        <v>1007059</v>
      </c>
      <c r="I308" s="877">
        <f t="shared" si="12"/>
        <v>1007570</v>
      </c>
      <c r="J308" s="874"/>
      <c r="K308" s="874">
        <v>325121</v>
      </c>
      <c r="L308" s="874">
        <v>0</v>
      </c>
      <c r="M308" s="874">
        <v>2059677</v>
      </c>
      <c r="N308" s="874">
        <v>0</v>
      </c>
      <c r="O308" s="877">
        <f t="shared" si="13"/>
        <v>2384798</v>
      </c>
      <c r="P308" s="874"/>
      <c r="Q308" s="877">
        <f t="shared" si="14"/>
        <v>-64313</v>
      </c>
      <c r="R308" s="874">
        <v>228775</v>
      </c>
      <c r="S308" s="874">
        <v>164462</v>
      </c>
      <c r="T308" s="878"/>
      <c r="U308" s="878"/>
      <c r="V308" s="878"/>
      <c r="W308" s="878"/>
      <c r="X308" s="878"/>
      <c r="Y308" s="878"/>
      <c r="Z308" s="878"/>
      <c r="AA308" s="878"/>
      <c r="AB308" s="879"/>
      <c r="AC308" s="879"/>
      <c r="AD308" s="879"/>
      <c r="AE308" s="879"/>
      <c r="AF308" s="879"/>
      <c r="AG308" s="879"/>
      <c r="AH308" s="879"/>
      <c r="AI308" s="879"/>
    </row>
    <row r="309" spans="1:35" x14ac:dyDescent="0.25">
      <c r="A309" s="876">
        <v>99831</v>
      </c>
      <c r="B309" s="873" t="s">
        <v>1707</v>
      </c>
      <c r="C309" s="873">
        <v>771058</v>
      </c>
      <c r="D309" s="874">
        <v>519675</v>
      </c>
      <c r="E309" s="874">
        <v>0</v>
      </c>
      <c r="F309" s="874">
        <v>56</v>
      </c>
      <c r="G309" s="874">
        <v>0</v>
      </c>
      <c r="H309" s="874">
        <v>182060</v>
      </c>
      <c r="I309" s="877">
        <f t="shared" si="12"/>
        <v>182116</v>
      </c>
      <c r="J309" s="874"/>
      <c r="K309" s="874">
        <v>35538</v>
      </c>
      <c r="L309" s="874">
        <v>0</v>
      </c>
      <c r="M309" s="874">
        <v>225136</v>
      </c>
      <c r="N309" s="874">
        <v>191585</v>
      </c>
      <c r="O309" s="877">
        <f t="shared" si="13"/>
        <v>452259</v>
      </c>
      <c r="P309" s="874"/>
      <c r="Q309" s="877">
        <f t="shared" si="14"/>
        <v>-7030</v>
      </c>
      <c r="R309" s="874">
        <v>7200</v>
      </c>
      <c r="S309" s="874">
        <v>170</v>
      </c>
      <c r="T309" s="878"/>
      <c r="U309" s="878"/>
      <c r="V309" s="878"/>
      <c r="W309" s="878"/>
      <c r="X309" s="878"/>
      <c r="Y309" s="878"/>
      <c r="Z309" s="878"/>
      <c r="AA309" s="878"/>
      <c r="AB309" s="879"/>
      <c r="AC309" s="879"/>
      <c r="AD309" s="879"/>
      <c r="AE309" s="879"/>
      <c r="AF309" s="879"/>
      <c r="AG309" s="879"/>
      <c r="AH309" s="879"/>
      <c r="AI309" s="879"/>
    </row>
    <row r="310" spans="1:35" ht="26.25" x14ac:dyDescent="0.25">
      <c r="A310" s="876">
        <v>11050</v>
      </c>
      <c r="B310" s="873" t="s">
        <v>1708</v>
      </c>
      <c r="C310" s="880">
        <v>0</v>
      </c>
      <c r="D310" s="874">
        <v>5663102</v>
      </c>
      <c r="E310" s="874">
        <v>0</v>
      </c>
      <c r="F310" s="874">
        <v>609</v>
      </c>
      <c r="G310" s="874">
        <v>0</v>
      </c>
      <c r="H310" s="874">
        <v>7364210</v>
      </c>
      <c r="I310" s="877">
        <f t="shared" si="12"/>
        <v>7364819</v>
      </c>
      <c r="J310" s="874"/>
      <c r="K310" s="874">
        <v>387268</v>
      </c>
      <c r="L310" s="874">
        <v>0</v>
      </c>
      <c r="M310" s="874">
        <v>2453386</v>
      </c>
      <c r="N310" s="874">
        <v>0</v>
      </c>
      <c r="O310" s="877">
        <f t="shared" si="13"/>
        <v>2840654</v>
      </c>
      <c r="P310" s="874"/>
      <c r="Q310" s="877">
        <f t="shared" si="14"/>
        <v>-76606</v>
      </c>
      <c r="R310" s="874">
        <v>1472837</v>
      </c>
      <c r="S310" s="874">
        <v>1396231</v>
      </c>
      <c r="T310" s="878"/>
      <c r="U310" s="878"/>
      <c r="V310" s="878"/>
      <c r="W310" s="878"/>
      <c r="X310" s="878"/>
      <c r="Y310" s="878"/>
      <c r="Z310" s="878"/>
      <c r="AA310" s="878"/>
      <c r="AB310" s="879"/>
      <c r="AC310" s="879"/>
      <c r="AD310" s="879"/>
      <c r="AE310" s="879"/>
      <c r="AF310" s="879"/>
      <c r="AG310" s="879"/>
      <c r="AH310" s="879"/>
      <c r="AI310" s="879"/>
    </row>
    <row r="311" spans="1:35" x14ac:dyDescent="0.25">
      <c r="A311" s="876">
        <v>18640</v>
      </c>
      <c r="B311" s="873" t="s">
        <v>1709</v>
      </c>
      <c r="C311" s="880">
        <v>0</v>
      </c>
      <c r="D311" s="874">
        <v>26092</v>
      </c>
      <c r="E311" s="874">
        <v>0</v>
      </c>
      <c r="F311" s="874">
        <v>3</v>
      </c>
      <c r="G311" s="874">
        <v>0</v>
      </c>
      <c r="H311" s="874">
        <v>34505</v>
      </c>
      <c r="I311" s="877">
        <f t="shared" si="12"/>
        <v>34508</v>
      </c>
      <c r="J311" s="874"/>
      <c r="K311" s="874">
        <v>1784</v>
      </c>
      <c r="L311" s="874">
        <v>0</v>
      </c>
      <c r="M311" s="874">
        <v>11304</v>
      </c>
      <c r="N311" s="874">
        <v>0</v>
      </c>
      <c r="O311" s="877">
        <f t="shared" si="13"/>
        <v>13088</v>
      </c>
      <c r="P311" s="874"/>
      <c r="Q311" s="877">
        <f t="shared" si="14"/>
        <v>-353</v>
      </c>
      <c r="R311" s="874">
        <v>6901</v>
      </c>
      <c r="S311" s="874">
        <v>6548</v>
      </c>
      <c r="T311" s="878"/>
      <c r="U311" s="878"/>
      <c r="V311" s="878"/>
      <c r="W311" s="878"/>
      <c r="X311" s="878"/>
      <c r="Y311" s="878"/>
      <c r="Z311" s="878"/>
      <c r="AA311" s="878"/>
      <c r="AB311" s="879"/>
      <c r="AC311" s="879"/>
      <c r="AD311" s="879"/>
      <c r="AE311" s="879"/>
      <c r="AF311" s="879"/>
      <c r="AG311" s="879"/>
      <c r="AH311" s="879"/>
      <c r="AI311" s="879"/>
    </row>
    <row r="312" spans="1:35" x14ac:dyDescent="0.25">
      <c r="A312" s="876">
        <v>36303</v>
      </c>
      <c r="B312" s="873" t="s">
        <v>1710</v>
      </c>
      <c r="C312" s="880">
        <v>0</v>
      </c>
      <c r="D312" s="874">
        <v>4004250</v>
      </c>
      <c r="E312" s="874">
        <v>0</v>
      </c>
      <c r="F312" s="874">
        <v>431</v>
      </c>
      <c r="G312" s="874">
        <v>0</v>
      </c>
      <c r="H312" s="874">
        <v>5158220</v>
      </c>
      <c r="I312" s="877">
        <f t="shared" si="12"/>
        <v>5158651</v>
      </c>
      <c r="J312" s="874"/>
      <c r="K312" s="874">
        <v>273828</v>
      </c>
      <c r="L312" s="874">
        <v>0</v>
      </c>
      <c r="M312" s="874">
        <v>1734734</v>
      </c>
      <c r="N312" s="874">
        <v>0</v>
      </c>
      <c r="O312" s="877">
        <f t="shared" si="13"/>
        <v>2008562</v>
      </c>
      <c r="P312" s="874"/>
      <c r="Q312" s="877">
        <f t="shared" si="14"/>
        <v>-54167</v>
      </c>
      <c r="R312" s="874">
        <v>1031646</v>
      </c>
      <c r="S312" s="874">
        <v>977479</v>
      </c>
      <c r="T312" s="878"/>
      <c r="U312" s="878"/>
      <c r="V312" s="878"/>
      <c r="W312" s="878"/>
      <c r="X312" s="878"/>
      <c r="Y312" s="878"/>
      <c r="Z312" s="878"/>
      <c r="AA312" s="878"/>
      <c r="AB312" s="879"/>
      <c r="AC312" s="879"/>
      <c r="AD312" s="879"/>
      <c r="AE312" s="879"/>
      <c r="AF312" s="879"/>
      <c r="AG312" s="879"/>
      <c r="AH312" s="879"/>
      <c r="AI312" s="879"/>
    </row>
    <row r="313" spans="1:35" x14ac:dyDescent="0.25">
      <c r="A313" s="985" t="s">
        <v>1157</v>
      </c>
      <c r="B313" s="873" t="s">
        <v>1163</v>
      </c>
      <c r="C313" s="880">
        <v>1204359</v>
      </c>
      <c r="D313" s="874">
        <v>1093387</v>
      </c>
      <c r="E313" s="874">
        <v>0</v>
      </c>
      <c r="F313" s="874">
        <v>118</v>
      </c>
      <c r="G313" s="874">
        <v>0</v>
      </c>
      <c r="H313" s="874">
        <v>57630</v>
      </c>
      <c r="I313" s="877">
        <v>57748</v>
      </c>
      <c r="J313" s="874"/>
      <c r="K313" s="874">
        <v>74771</v>
      </c>
      <c r="L313" s="874">
        <v>0</v>
      </c>
      <c r="M313" s="874">
        <v>473680</v>
      </c>
      <c r="N313" s="874">
        <v>4692</v>
      </c>
      <c r="O313" s="877">
        <v>553143</v>
      </c>
      <c r="P313" s="874"/>
      <c r="Q313" s="877">
        <v>-14791</v>
      </c>
      <c r="R313" s="874">
        <v>10357</v>
      </c>
      <c r="S313" s="874">
        <v>-4434</v>
      </c>
      <c r="T313" s="878"/>
      <c r="U313" s="878"/>
      <c r="V313" s="878"/>
      <c r="W313" s="878"/>
      <c r="X313" s="878"/>
      <c r="Y313" s="878"/>
      <c r="Z313" s="878"/>
      <c r="AA313" s="878"/>
      <c r="AB313" s="879"/>
      <c r="AC313" s="879"/>
      <c r="AD313" s="879"/>
      <c r="AE313" s="879"/>
      <c r="AF313" s="879"/>
      <c r="AG313" s="879"/>
      <c r="AH313" s="879"/>
      <c r="AI313" s="879"/>
    </row>
    <row r="314" spans="1:35" ht="18" customHeight="1" x14ac:dyDescent="0.25">
      <c r="A314" s="881"/>
      <c r="B314" s="882" t="s">
        <v>466</v>
      </c>
      <c r="C314" s="883">
        <f t="shared" ref="C314:I314" si="15">SUM(C6:C312)</f>
        <v>32786624459</v>
      </c>
      <c r="D314" s="883">
        <f t="shared" si="15"/>
        <v>28488185469</v>
      </c>
      <c r="E314" s="883">
        <f t="shared" si="15"/>
        <v>0</v>
      </c>
      <c r="F314" s="883">
        <f t="shared" si="15"/>
        <v>3063753</v>
      </c>
      <c r="G314" s="883">
        <f t="shared" si="15"/>
        <v>0</v>
      </c>
      <c r="H314" s="883">
        <f t="shared" si="15"/>
        <v>1472337820</v>
      </c>
      <c r="I314" s="883">
        <f t="shared" si="15"/>
        <v>1475401573</v>
      </c>
      <c r="J314" s="874"/>
      <c r="K314" s="883">
        <f>SUM(K6:K312)</f>
        <v>1948147744</v>
      </c>
      <c r="L314" s="883">
        <f>SUM(L6:L312)</f>
        <v>0</v>
      </c>
      <c r="M314" s="883">
        <f>SUM(M6:M312)</f>
        <v>12341739637</v>
      </c>
      <c r="N314" s="883">
        <f>SUM(N6:N312)</f>
        <v>1472337826</v>
      </c>
      <c r="O314" s="883">
        <f>SUM(O6:O312)</f>
        <v>15762225207</v>
      </c>
      <c r="P314" s="874"/>
      <c r="Q314" s="883">
        <f>SUM(Q6:Q312)</f>
        <v>-385366964</v>
      </c>
      <c r="R314" s="883">
        <f>SUM(R6:R312)</f>
        <v>51</v>
      </c>
      <c r="S314" s="883">
        <f>SUM(S6:S312)</f>
        <v>-385366913</v>
      </c>
      <c r="T314" s="878"/>
      <c r="U314" s="878"/>
      <c r="V314" s="878"/>
      <c r="W314" s="878"/>
      <c r="X314" s="878"/>
      <c r="Y314" s="878"/>
      <c r="Z314" s="878"/>
      <c r="AA314" s="878"/>
    </row>
    <row r="315" spans="1:35" ht="18" customHeight="1" x14ac:dyDescent="0.25">
      <c r="A315" s="884"/>
      <c r="B315" s="885"/>
      <c r="C315" s="874"/>
      <c r="D315" s="874"/>
      <c r="E315" s="874"/>
      <c r="F315" s="874"/>
      <c r="G315" s="874"/>
      <c r="H315" s="874"/>
      <c r="I315" s="874"/>
      <c r="J315" s="874"/>
      <c r="K315" s="874"/>
      <c r="L315" s="874"/>
      <c r="M315" s="874"/>
      <c r="N315" s="874"/>
      <c r="O315" s="874"/>
      <c r="P315" s="874"/>
      <c r="Q315" s="874"/>
      <c r="R315" s="874"/>
      <c r="S315" s="874"/>
      <c r="T315" s="886"/>
      <c r="U315" s="886"/>
      <c r="V315" s="886"/>
      <c r="W315" s="886"/>
      <c r="X315" s="886"/>
      <c r="Y315" s="886"/>
      <c r="Z315" s="886"/>
      <c r="AA315" s="886"/>
    </row>
    <row r="316" spans="1:35" ht="18" customHeight="1" x14ac:dyDescent="0.25"/>
    <row r="317" spans="1:35" ht="18" hidden="1" customHeight="1" x14ac:dyDescent="0.25"/>
    <row r="318" spans="1:35" ht="18" hidden="1" customHeight="1" x14ac:dyDescent="0.25"/>
    <row r="319" spans="1:35" ht="18" hidden="1" customHeight="1" x14ac:dyDescent="0.25">
      <c r="B319" s="873" t="s">
        <v>1220</v>
      </c>
      <c r="C319" s="872" t="s">
        <v>533</v>
      </c>
    </row>
    <row r="320" spans="1:35" ht="18" hidden="1" customHeight="1" x14ac:dyDescent="0.25">
      <c r="B320" s="888" t="s">
        <v>1355</v>
      </c>
      <c r="C320" s="876">
        <v>33501</v>
      </c>
    </row>
    <row r="321" spans="2:19" ht="18" hidden="1" customHeight="1" x14ac:dyDescent="0.25">
      <c r="B321" s="873" t="s">
        <v>1417</v>
      </c>
      <c r="C321" s="876">
        <v>36301</v>
      </c>
    </row>
    <row r="322" spans="2:19" ht="18" hidden="1" customHeight="1" x14ac:dyDescent="0.25">
      <c r="B322" s="873" t="s">
        <v>1225</v>
      </c>
      <c r="C322" s="876">
        <v>10800</v>
      </c>
      <c r="S322" s="889"/>
    </row>
    <row r="323" spans="2:19" ht="18" hidden="1" customHeight="1" x14ac:dyDescent="0.25">
      <c r="B323" s="873" t="s">
        <v>1279</v>
      </c>
      <c r="C323" s="876">
        <v>30105</v>
      </c>
    </row>
    <row r="324" spans="2:19" ht="18" hidden="1" customHeight="1" x14ac:dyDescent="0.25">
      <c r="B324" s="873" t="s">
        <v>1275</v>
      </c>
      <c r="C324" s="876">
        <v>30100</v>
      </c>
    </row>
    <row r="325" spans="2:19" ht="18" hidden="1" customHeight="1" x14ac:dyDescent="0.25">
      <c r="B325" s="873" t="s">
        <v>1280</v>
      </c>
      <c r="C325" s="876">
        <v>30200</v>
      </c>
    </row>
    <row r="326" spans="2:19" ht="18" hidden="1" customHeight="1" x14ac:dyDescent="0.25">
      <c r="B326" s="873" t="s">
        <v>1281</v>
      </c>
      <c r="C326" s="876">
        <v>30300</v>
      </c>
    </row>
    <row r="327" spans="2:19" ht="18" hidden="1" customHeight="1" x14ac:dyDescent="0.25">
      <c r="B327" s="873" t="s">
        <v>1379</v>
      </c>
      <c r="C327" s="876">
        <v>34901</v>
      </c>
    </row>
    <row r="328" spans="2:19" ht="18" hidden="1" customHeight="1" x14ac:dyDescent="0.25">
      <c r="B328" s="873" t="s">
        <v>1282</v>
      </c>
      <c r="C328" s="876">
        <v>30400</v>
      </c>
    </row>
    <row r="329" spans="2:19" ht="18" hidden="1" customHeight="1" x14ac:dyDescent="0.25">
      <c r="B329" s="873" t="s">
        <v>1254</v>
      </c>
      <c r="C329" s="876">
        <v>20100</v>
      </c>
    </row>
    <row r="330" spans="2:19" ht="18" hidden="1" customHeight="1" x14ac:dyDescent="0.25">
      <c r="B330" s="873" t="s">
        <v>1436</v>
      </c>
      <c r="C330" s="876">
        <v>36901</v>
      </c>
      <c r="S330" s="889"/>
    </row>
    <row r="331" spans="2:19" ht="18" hidden="1" customHeight="1" x14ac:dyDescent="0.25">
      <c r="B331" s="873" t="s">
        <v>1352</v>
      </c>
      <c r="C331" s="876">
        <v>33402</v>
      </c>
      <c r="S331" s="890"/>
    </row>
    <row r="332" spans="2:19" ht="18" hidden="1" customHeight="1" x14ac:dyDescent="0.25">
      <c r="B332" s="873" t="s">
        <v>1284</v>
      </c>
      <c r="C332" s="876">
        <v>30500</v>
      </c>
      <c r="S332" s="889"/>
    </row>
    <row r="333" spans="2:19" ht="18" hidden="1" customHeight="1" x14ac:dyDescent="0.25">
      <c r="B333" s="873" t="s">
        <v>1451</v>
      </c>
      <c r="C333" s="876">
        <v>37610</v>
      </c>
    </row>
    <row r="334" spans="2:19" ht="18" hidden="1" customHeight="1" x14ac:dyDescent="0.25">
      <c r="B334" s="873" t="s">
        <v>1298</v>
      </c>
      <c r="C334" s="876">
        <v>31110</v>
      </c>
    </row>
    <row r="335" spans="2:19" ht="18" hidden="1" customHeight="1" x14ac:dyDescent="0.25">
      <c r="B335" s="873" t="s">
        <v>1297</v>
      </c>
      <c r="C335" s="876">
        <v>31105</v>
      </c>
    </row>
    <row r="336" spans="2:19" ht="18" hidden="1" customHeight="1" x14ac:dyDescent="0.25">
      <c r="B336" s="873" t="s">
        <v>1285</v>
      </c>
      <c r="C336" s="876">
        <v>30600</v>
      </c>
    </row>
    <row r="337" spans="2:35" ht="18" hidden="1" customHeight="1" x14ac:dyDescent="0.25">
      <c r="B337" s="873" t="s">
        <v>1248</v>
      </c>
      <c r="C337" s="876">
        <v>18600</v>
      </c>
    </row>
    <row r="338" spans="2:35" ht="18" hidden="1" customHeight="1" x14ac:dyDescent="0.25">
      <c r="B338" s="873" t="s">
        <v>1345</v>
      </c>
      <c r="C338" s="876">
        <v>33206</v>
      </c>
    </row>
    <row r="339" spans="2:35" ht="18" hidden="1" customHeight="1" x14ac:dyDescent="0.25">
      <c r="B339" s="873" t="s">
        <v>1288</v>
      </c>
      <c r="C339" s="876">
        <v>30705</v>
      </c>
    </row>
    <row r="340" spans="2:35" ht="18" hidden="1" customHeight="1" x14ac:dyDescent="0.25">
      <c r="B340" s="873" t="s">
        <v>1287</v>
      </c>
      <c r="C340" s="876">
        <v>30700</v>
      </c>
    </row>
    <row r="341" spans="2:35" s="887" customFormat="1" ht="18" hidden="1" customHeight="1" x14ac:dyDescent="0.25">
      <c r="B341" s="873" t="s">
        <v>1289</v>
      </c>
      <c r="C341" s="876">
        <v>30800</v>
      </c>
      <c r="E341" s="856"/>
      <c r="F341" s="857"/>
      <c r="G341" s="857"/>
      <c r="H341" s="857"/>
      <c r="I341" s="857"/>
      <c r="J341" s="857"/>
      <c r="K341" s="857"/>
      <c r="L341" s="857"/>
      <c r="M341" s="857"/>
      <c r="N341" s="857"/>
      <c r="O341" s="857"/>
      <c r="P341" s="857"/>
      <c r="Q341" s="857"/>
      <c r="R341" s="857"/>
      <c r="S341" s="857"/>
      <c r="T341" s="857"/>
      <c r="U341" s="857"/>
      <c r="V341" s="857"/>
      <c r="W341" s="857"/>
      <c r="X341" s="857"/>
      <c r="Y341" s="857"/>
      <c r="Z341" s="857"/>
      <c r="AA341" s="857"/>
      <c r="AB341" s="857"/>
      <c r="AC341" s="857"/>
      <c r="AD341" s="857"/>
      <c r="AE341" s="857"/>
      <c r="AF341" s="857"/>
      <c r="AG341" s="857"/>
      <c r="AH341" s="857"/>
      <c r="AI341" s="857"/>
    </row>
    <row r="342" spans="2:35" s="887" customFormat="1" ht="18" hidden="1" customHeight="1" x14ac:dyDescent="0.25">
      <c r="B342" s="873" t="s">
        <v>1458</v>
      </c>
      <c r="C342" s="876">
        <v>37901</v>
      </c>
      <c r="E342" s="856"/>
      <c r="F342" s="857"/>
      <c r="G342" s="857"/>
      <c r="H342" s="857"/>
      <c r="I342" s="857"/>
      <c r="J342" s="857"/>
      <c r="K342" s="857"/>
      <c r="L342" s="857"/>
      <c r="M342" s="857"/>
      <c r="N342" s="857"/>
      <c r="O342" s="857"/>
      <c r="P342" s="857"/>
      <c r="Q342" s="857"/>
      <c r="R342" s="857"/>
      <c r="S342" s="857"/>
      <c r="T342" s="857"/>
      <c r="U342" s="857"/>
      <c r="V342" s="857"/>
      <c r="W342" s="857"/>
      <c r="X342" s="857"/>
      <c r="Y342" s="857"/>
      <c r="Z342" s="857"/>
      <c r="AA342" s="857"/>
      <c r="AB342" s="857"/>
      <c r="AC342" s="857"/>
      <c r="AD342" s="857"/>
      <c r="AE342" s="857"/>
      <c r="AF342" s="857"/>
      <c r="AG342" s="857"/>
      <c r="AH342" s="857"/>
      <c r="AI342" s="857"/>
    </row>
    <row r="343" spans="2:35" s="887" customFormat="1" ht="18" hidden="1" customHeight="1" x14ac:dyDescent="0.25">
      <c r="B343" s="873" t="s">
        <v>1702</v>
      </c>
      <c r="C343" s="876">
        <v>91111</v>
      </c>
      <c r="E343" s="856"/>
      <c r="F343" s="857"/>
      <c r="G343" s="857"/>
      <c r="H343" s="857"/>
      <c r="I343" s="857"/>
      <c r="J343" s="857"/>
      <c r="K343" s="857"/>
      <c r="L343" s="857"/>
      <c r="M343" s="857"/>
      <c r="N343" s="857"/>
      <c r="O343" s="857"/>
      <c r="P343" s="857"/>
      <c r="Q343" s="857"/>
      <c r="R343" s="857"/>
      <c r="S343" s="857"/>
      <c r="T343" s="857"/>
      <c r="U343" s="857"/>
      <c r="V343" s="857"/>
      <c r="W343" s="857"/>
      <c r="X343" s="857"/>
      <c r="Y343" s="857"/>
      <c r="Z343" s="857"/>
      <c r="AA343" s="857"/>
      <c r="AB343" s="857"/>
      <c r="AC343" s="857"/>
      <c r="AD343" s="857"/>
      <c r="AE343" s="857"/>
      <c r="AF343" s="857"/>
      <c r="AG343" s="857"/>
      <c r="AH343" s="857"/>
      <c r="AI343" s="857"/>
    </row>
    <row r="344" spans="2:35" s="887" customFormat="1" ht="36" hidden="1" customHeight="1" x14ac:dyDescent="0.25">
      <c r="B344" s="873" t="s">
        <v>1707</v>
      </c>
      <c r="C344" s="876">
        <v>99831</v>
      </c>
      <c r="E344" s="856"/>
      <c r="F344" s="857"/>
      <c r="G344" s="857"/>
      <c r="H344" s="857"/>
      <c r="I344" s="857"/>
      <c r="J344" s="857"/>
      <c r="K344" s="857"/>
      <c r="L344" s="857"/>
      <c r="M344" s="857"/>
      <c r="N344" s="857"/>
      <c r="O344" s="857"/>
      <c r="P344" s="857"/>
      <c r="Q344" s="857"/>
      <c r="R344" s="857"/>
      <c r="S344" s="857"/>
      <c r="T344" s="857"/>
      <c r="U344" s="857"/>
      <c r="V344" s="857"/>
      <c r="W344" s="857"/>
      <c r="X344" s="857"/>
      <c r="Y344" s="857"/>
      <c r="Z344" s="857"/>
      <c r="AA344" s="857"/>
      <c r="AB344" s="857"/>
      <c r="AC344" s="857"/>
      <c r="AD344" s="857"/>
      <c r="AE344" s="857"/>
      <c r="AF344" s="857"/>
      <c r="AG344" s="857"/>
      <c r="AH344" s="857"/>
      <c r="AI344" s="857"/>
    </row>
    <row r="345" spans="2:35" s="887" customFormat="1" ht="18" hidden="1" customHeight="1" x14ac:dyDescent="0.25">
      <c r="B345" s="873" t="s">
        <v>1703</v>
      </c>
      <c r="C345" s="876">
        <v>91151</v>
      </c>
      <c r="E345" s="856"/>
      <c r="F345" s="857"/>
      <c r="G345" s="857"/>
      <c r="H345" s="857"/>
      <c r="I345" s="857"/>
      <c r="J345" s="857"/>
      <c r="K345" s="857"/>
      <c r="L345" s="857"/>
      <c r="M345" s="857"/>
      <c r="N345" s="857"/>
      <c r="O345" s="857"/>
      <c r="P345" s="857"/>
      <c r="Q345" s="857"/>
      <c r="R345" s="857"/>
      <c r="S345" s="857"/>
      <c r="T345" s="857"/>
      <c r="U345" s="857"/>
      <c r="V345" s="857"/>
      <c r="W345" s="857"/>
      <c r="X345" s="857"/>
      <c r="Y345" s="857"/>
      <c r="Z345" s="857"/>
      <c r="AA345" s="857"/>
      <c r="AB345" s="857"/>
      <c r="AC345" s="857"/>
      <c r="AD345" s="857"/>
      <c r="AE345" s="857"/>
      <c r="AF345" s="857"/>
      <c r="AG345" s="857"/>
      <c r="AH345" s="857"/>
      <c r="AI345" s="857"/>
    </row>
    <row r="346" spans="2:35" s="887" customFormat="1" ht="18" hidden="1" customHeight="1" x14ac:dyDescent="0.25">
      <c r="B346" s="873" t="s">
        <v>1291</v>
      </c>
      <c r="C346" s="876">
        <v>30905</v>
      </c>
      <c r="E346" s="856"/>
      <c r="F346" s="857"/>
      <c r="G346" s="857"/>
      <c r="H346" s="857"/>
      <c r="I346" s="857"/>
      <c r="J346" s="857"/>
      <c r="K346" s="857"/>
      <c r="L346" s="857"/>
      <c r="M346" s="857"/>
      <c r="N346" s="857"/>
      <c r="O346" s="857"/>
      <c r="P346" s="857"/>
      <c r="Q346" s="857"/>
      <c r="R346" s="857"/>
      <c r="S346" s="857"/>
      <c r="T346" s="857"/>
      <c r="U346" s="857"/>
      <c r="V346" s="857"/>
      <c r="W346" s="857"/>
      <c r="X346" s="857"/>
      <c r="Y346" s="857"/>
      <c r="Z346" s="857"/>
      <c r="AA346" s="857"/>
      <c r="AB346" s="857"/>
      <c r="AC346" s="857"/>
      <c r="AD346" s="857"/>
      <c r="AE346" s="857"/>
      <c r="AF346" s="857"/>
      <c r="AG346" s="857"/>
      <c r="AH346" s="857"/>
      <c r="AI346" s="857"/>
    </row>
    <row r="347" spans="2:35" s="887" customFormat="1" ht="18" hidden="1" customHeight="1" x14ac:dyDescent="0.25">
      <c r="B347" s="873" t="s">
        <v>1512</v>
      </c>
      <c r="C347" s="876">
        <v>90901</v>
      </c>
      <c r="E347" s="856"/>
      <c r="F347" s="857"/>
      <c r="G347" s="857"/>
      <c r="H347" s="857"/>
      <c r="I347" s="857"/>
      <c r="J347" s="857"/>
      <c r="K347" s="857"/>
      <c r="L347" s="857"/>
      <c r="M347" s="857"/>
      <c r="N347" s="857"/>
      <c r="O347" s="857"/>
      <c r="P347" s="857"/>
      <c r="Q347" s="857"/>
      <c r="R347" s="857"/>
      <c r="S347" s="857"/>
      <c r="T347" s="857"/>
      <c r="U347" s="857"/>
      <c r="V347" s="857"/>
      <c r="W347" s="857"/>
      <c r="X347" s="857"/>
      <c r="Y347" s="857"/>
      <c r="Z347" s="857"/>
      <c r="AA347" s="857"/>
      <c r="AB347" s="857"/>
      <c r="AC347" s="857"/>
      <c r="AD347" s="857"/>
      <c r="AE347" s="857"/>
      <c r="AF347" s="857"/>
      <c r="AG347" s="857"/>
      <c r="AH347" s="857"/>
      <c r="AI347" s="857"/>
    </row>
    <row r="348" spans="2:35" s="887" customFormat="1" ht="18" hidden="1" customHeight="1" x14ac:dyDescent="0.25">
      <c r="B348" s="873" t="s">
        <v>1290</v>
      </c>
      <c r="C348" s="876">
        <v>30900</v>
      </c>
      <c r="E348" s="856"/>
      <c r="F348" s="857"/>
      <c r="G348" s="857"/>
      <c r="H348" s="857"/>
      <c r="I348" s="857"/>
      <c r="J348" s="857"/>
      <c r="K348" s="857"/>
      <c r="L348" s="857"/>
      <c r="M348" s="857"/>
      <c r="N348" s="857"/>
      <c r="O348" s="857"/>
      <c r="P348" s="857"/>
      <c r="Q348" s="857"/>
      <c r="R348" s="857"/>
      <c r="S348" s="857"/>
      <c r="T348" s="857"/>
      <c r="U348" s="857"/>
      <c r="V348" s="857"/>
      <c r="W348" s="857"/>
      <c r="X348" s="857"/>
      <c r="Y348" s="857"/>
      <c r="Z348" s="857"/>
      <c r="AA348" s="857"/>
      <c r="AB348" s="857"/>
      <c r="AC348" s="857"/>
      <c r="AD348" s="857"/>
      <c r="AE348" s="857"/>
      <c r="AF348" s="857"/>
      <c r="AG348" s="857"/>
      <c r="AH348" s="857"/>
      <c r="AI348" s="857"/>
    </row>
    <row r="349" spans="2:35" s="887" customFormat="1" ht="18" hidden="1" customHeight="1" x14ac:dyDescent="0.25">
      <c r="B349" s="873" t="s">
        <v>1706</v>
      </c>
      <c r="C349" s="876">
        <v>99521</v>
      </c>
      <c r="E349" s="856"/>
      <c r="F349" s="857"/>
      <c r="G349" s="857"/>
      <c r="H349" s="857"/>
      <c r="I349" s="857"/>
      <c r="J349" s="857"/>
      <c r="K349" s="857"/>
      <c r="L349" s="857"/>
      <c r="M349" s="857"/>
      <c r="N349" s="857"/>
      <c r="O349" s="857"/>
      <c r="P349" s="857"/>
      <c r="Q349" s="857"/>
      <c r="R349" s="857"/>
      <c r="S349" s="857"/>
      <c r="T349" s="857"/>
      <c r="U349" s="857"/>
      <c r="V349" s="857"/>
      <c r="W349" s="857"/>
      <c r="X349" s="857"/>
      <c r="Y349" s="857"/>
      <c r="Z349" s="857"/>
      <c r="AA349" s="857"/>
      <c r="AB349" s="857"/>
      <c r="AC349" s="857"/>
      <c r="AD349" s="857"/>
      <c r="AE349" s="857"/>
      <c r="AF349" s="857"/>
      <c r="AG349" s="857"/>
      <c r="AH349" s="857"/>
      <c r="AI349" s="857"/>
    </row>
    <row r="350" spans="2:35" s="887" customFormat="1" ht="18" hidden="1" customHeight="1" x14ac:dyDescent="0.25">
      <c r="B350" s="873" t="s">
        <v>1373</v>
      </c>
      <c r="C350" s="876">
        <v>34505</v>
      </c>
      <c r="E350" s="856"/>
      <c r="F350" s="857"/>
      <c r="G350" s="857"/>
      <c r="H350" s="857"/>
      <c r="I350" s="857"/>
      <c r="J350" s="857"/>
      <c r="K350" s="857"/>
      <c r="L350" s="857"/>
      <c r="M350" s="857"/>
      <c r="N350" s="857"/>
      <c r="O350" s="857"/>
      <c r="P350" s="857"/>
      <c r="Q350" s="857"/>
      <c r="R350" s="857"/>
      <c r="S350" s="857"/>
      <c r="T350" s="857"/>
      <c r="U350" s="857"/>
      <c r="V350" s="857"/>
      <c r="W350" s="857"/>
      <c r="X350" s="857"/>
      <c r="Y350" s="857"/>
      <c r="Z350" s="857"/>
      <c r="AA350" s="857"/>
      <c r="AB350" s="857"/>
      <c r="AC350" s="857"/>
      <c r="AD350" s="857"/>
      <c r="AE350" s="857"/>
      <c r="AF350" s="857"/>
      <c r="AG350" s="857"/>
      <c r="AH350" s="857"/>
      <c r="AI350" s="857"/>
    </row>
    <row r="351" spans="2:35" s="887" customFormat="1" ht="18" hidden="1" customHeight="1" x14ac:dyDescent="0.25">
      <c r="B351" s="873" t="s">
        <v>1481</v>
      </c>
      <c r="C351" s="876">
        <v>38801</v>
      </c>
      <c r="E351" s="856"/>
      <c r="F351" s="857"/>
      <c r="G351" s="857"/>
      <c r="H351" s="857"/>
      <c r="I351" s="857"/>
      <c r="J351" s="857"/>
      <c r="K351" s="857"/>
      <c r="L351" s="857"/>
      <c r="M351" s="857"/>
      <c r="N351" s="857"/>
      <c r="O351" s="857"/>
      <c r="P351" s="857"/>
      <c r="Q351" s="857"/>
      <c r="R351" s="857"/>
      <c r="S351" s="857"/>
      <c r="T351" s="857"/>
      <c r="U351" s="857"/>
      <c r="V351" s="857"/>
      <c r="W351" s="857"/>
      <c r="X351" s="857"/>
      <c r="Y351" s="857"/>
      <c r="Z351" s="857"/>
      <c r="AA351" s="857"/>
      <c r="AB351" s="857"/>
      <c r="AC351" s="857"/>
      <c r="AD351" s="857"/>
      <c r="AE351" s="857"/>
      <c r="AF351" s="857"/>
      <c r="AG351" s="857"/>
      <c r="AH351" s="857"/>
      <c r="AI351" s="857"/>
    </row>
    <row r="352" spans="2:35" s="887" customFormat="1" ht="18" hidden="1" customHeight="1" x14ac:dyDescent="0.25">
      <c r="B352" s="873" t="s">
        <v>1473</v>
      </c>
      <c r="C352" s="876">
        <v>38601</v>
      </c>
      <c r="E352" s="856"/>
      <c r="F352" s="857"/>
      <c r="G352" s="857"/>
      <c r="H352" s="857"/>
      <c r="I352" s="857"/>
      <c r="J352" s="857"/>
      <c r="K352" s="857"/>
      <c r="L352" s="857"/>
      <c r="M352" s="857"/>
      <c r="N352" s="857"/>
      <c r="O352" s="857"/>
      <c r="P352" s="857"/>
      <c r="Q352" s="857"/>
      <c r="R352" s="857"/>
      <c r="S352" s="857"/>
      <c r="T352" s="857"/>
      <c r="U352" s="857"/>
      <c r="V352" s="857"/>
      <c r="W352" s="857"/>
      <c r="X352" s="857"/>
      <c r="Y352" s="857"/>
      <c r="Z352" s="857"/>
      <c r="AA352" s="857"/>
      <c r="AB352" s="857"/>
      <c r="AC352" s="857"/>
      <c r="AD352" s="857"/>
      <c r="AE352" s="857"/>
      <c r="AF352" s="857"/>
      <c r="AG352" s="857"/>
      <c r="AH352" s="857"/>
      <c r="AI352" s="857"/>
    </row>
    <row r="353" spans="2:35" s="887" customFormat="1" ht="18" hidden="1" customHeight="1" x14ac:dyDescent="0.25">
      <c r="B353" s="873" t="s">
        <v>1293</v>
      </c>
      <c r="C353" s="876">
        <v>31005</v>
      </c>
      <c r="E353" s="856"/>
      <c r="F353" s="857"/>
      <c r="G353" s="857"/>
      <c r="H353" s="857"/>
      <c r="I353" s="857"/>
      <c r="J353" s="857"/>
      <c r="K353" s="857"/>
      <c r="L353" s="857"/>
      <c r="M353" s="857"/>
      <c r="N353" s="857"/>
      <c r="O353" s="857"/>
      <c r="P353" s="857"/>
      <c r="Q353" s="857"/>
      <c r="R353" s="857"/>
      <c r="S353" s="857"/>
      <c r="T353" s="857"/>
      <c r="U353" s="857"/>
      <c r="V353" s="857"/>
      <c r="W353" s="857"/>
      <c r="X353" s="857"/>
      <c r="Y353" s="857"/>
      <c r="Z353" s="857"/>
      <c r="AA353" s="857"/>
      <c r="AB353" s="857"/>
      <c r="AC353" s="857"/>
      <c r="AD353" s="857"/>
      <c r="AE353" s="857"/>
      <c r="AF353" s="857"/>
      <c r="AG353" s="857"/>
      <c r="AH353" s="857"/>
      <c r="AI353" s="857"/>
    </row>
    <row r="354" spans="2:35" s="887" customFormat="1" ht="18" hidden="1" customHeight="1" x14ac:dyDescent="0.25">
      <c r="B354" s="873" t="s">
        <v>1292</v>
      </c>
      <c r="C354" s="876">
        <v>31000</v>
      </c>
      <c r="E354" s="856"/>
      <c r="F354" s="857"/>
      <c r="G354" s="857"/>
      <c r="H354" s="857"/>
      <c r="I354" s="857"/>
      <c r="J354" s="857"/>
      <c r="K354" s="857"/>
      <c r="L354" s="857"/>
      <c r="M354" s="857"/>
      <c r="N354" s="857"/>
      <c r="O354" s="857"/>
      <c r="P354" s="857"/>
      <c r="Q354" s="857"/>
      <c r="R354" s="857"/>
      <c r="S354" s="857"/>
      <c r="T354" s="857"/>
      <c r="U354" s="857"/>
      <c r="V354" s="857"/>
      <c r="W354" s="857"/>
      <c r="X354" s="857"/>
      <c r="Y354" s="857"/>
      <c r="Z354" s="857"/>
      <c r="AA354" s="857"/>
      <c r="AB354" s="857"/>
      <c r="AC354" s="857"/>
      <c r="AD354" s="857"/>
      <c r="AE354" s="857"/>
      <c r="AF354" s="857"/>
      <c r="AG354" s="857"/>
      <c r="AH354" s="857"/>
      <c r="AI354" s="857"/>
    </row>
    <row r="355" spans="2:35" s="887" customFormat="1" ht="18" hidden="1" customHeight="1" x14ac:dyDescent="0.25">
      <c r="B355" s="873" t="s">
        <v>1294</v>
      </c>
      <c r="C355" s="876">
        <v>31100</v>
      </c>
      <c r="E355" s="856"/>
      <c r="F355" s="857"/>
      <c r="G355" s="857"/>
      <c r="H355" s="857"/>
      <c r="I355" s="857"/>
      <c r="J355" s="857"/>
      <c r="K355" s="857"/>
      <c r="L355" s="857"/>
      <c r="M355" s="857"/>
      <c r="N355" s="857"/>
      <c r="O355" s="857"/>
      <c r="P355" s="857"/>
      <c r="Q355" s="857"/>
      <c r="R355" s="857"/>
      <c r="S355" s="857"/>
      <c r="T355" s="857"/>
      <c r="U355" s="857"/>
      <c r="V355" s="857"/>
      <c r="W355" s="857"/>
      <c r="X355" s="857"/>
      <c r="Y355" s="857"/>
      <c r="Z355" s="857"/>
      <c r="AA355" s="857"/>
      <c r="AB355" s="857"/>
      <c r="AC355" s="857"/>
      <c r="AD355" s="857"/>
      <c r="AE355" s="857"/>
      <c r="AF355" s="857"/>
      <c r="AG355" s="857"/>
      <c r="AH355" s="857"/>
      <c r="AI355" s="857"/>
    </row>
    <row r="356" spans="2:35" s="887" customFormat="1" ht="18" hidden="1" customHeight="1" x14ac:dyDescent="0.25">
      <c r="B356" s="873" t="s">
        <v>1299</v>
      </c>
      <c r="C356" s="876">
        <v>31200</v>
      </c>
      <c r="E356" s="856"/>
      <c r="F356" s="857"/>
      <c r="G356" s="857"/>
      <c r="H356" s="857"/>
      <c r="I356" s="857"/>
      <c r="J356" s="857"/>
      <c r="K356" s="857"/>
      <c r="L356" s="857"/>
      <c r="M356" s="857"/>
      <c r="N356" s="857"/>
      <c r="O356" s="857"/>
      <c r="P356" s="857"/>
      <c r="Q356" s="857"/>
      <c r="R356" s="857"/>
      <c r="S356" s="857"/>
      <c r="T356" s="857"/>
      <c r="U356" s="857"/>
      <c r="V356" s="857"/>
      <c r="W356" s="857"/>
      <c r="X356" s="857"/>
      <c r="Y356" s="857"/>
      <c r="Z356" s="857"/>
      <c r="AA356" s="857"/>
      <c r="AB356" s="857"/>
      <c r="AC356" s="857"/>
      <c r="AD356" s="857"/>
      <c r="AE356" s="857"/>
      <c r="AF356" s="857"/>
      <c r="AG356" s="857"/>
      <c r="AH356" s="857"/>
      <c r="AI356" s="857"/>
    </row>
    <row r="357" spans="2:35" s="887" customFormat="1" ht="18" hidden="1" customHeight="1" x14ac:dyDescent="0.25">
      <c r="B357" s="873" t="s">
        <v>1301</v>
      </c>
      <c r="C357" s="876">
        <v>31300</v>
      </c>
      <c r="E357" s="856"/>
      <c r="F357" s="857"/>
      <c r="G357" s="857"/>
      <c r="H357" s="857"/>
      <c r="I357" s="857"/>
      <c r="J357" s="857"/>
      <c r="K357" s="857"/>
      <c r="L357" s="857"/>
      <c r="M357" s="857"/>
      <c r="N357" s="857"/>
      <c r="O357" s="857"/>
      <c r="P357" s="857"/>
      <c r="Q357" s="857"/>
      <c r="R357" s="857"/>
      <c r="S357" s="857"/>
      <c r="T357" s="857"/>
      <c r="U357" s="857"/>
      <c r="V357" s="857"/>
      <c r="W357" s="857"/>
      <c r="X357" s="857"/>
      <c r="Y357" s="857"/>
      <c r="Z357" s="857"/>
      <c r="AA357" s="857"/>
      <c r="AB357" s="857"/>
      <c r="AC357" s="857"/>
      <c r="AD357" s="857"/>
      <c r="AE357" s="857"/>
      <c r="AF357" s="857"/>
      <c r="AG357" s="857"/>
      <c r="AH357" s="857"/>
      <c r="AI357" s="857"/>
    </row>
    <row r="358" spans="2:35" s="887" customFormat="1" ht="54" hidden="1" customHeight="1" x14ac:dyDescent="0.25">
      <c r="B358" s="873" t="s">
        <v>1305</v>
      </c>
      <c r="C358" s="876">
        <v>31405</v>
      </c>
      <c r="E358" s="856"/>
      <c r="F358" s="857"/>
      <c r="G358" s="857"/>
      <c r="H358" s="857"/>
      <c r="I358" s="857"/>
      <c r="J358" s="857"/>
      <c r="K358" s="857"/>
      <c r="L358" s="857"/>
      <c r="M358" s="857"/>
      <c r="N358" s="857"/>
      <c r="O358" s="857"/>
      <c r="P358" s="857"/>
      <c r="Q358" s="857"/>
      <c r="R358" s="857"/>
      <c r="S358" s="857"/>
      <c r="T358" s="857"/>
      <c r="U358" s="857"/>
      <c r="V358" s="857"/>
      <c r="W358" s="857"/>
      <c r="X358" s="857"/>
      <c r="Y358" s="857"/>
      <c r="Z358" s="857"/>
      <c r="AA358" s="857"/>
      <c r="AB358" s="857"/>
      <c r="AC358" s="857"/>
      <c r="AD358" s="857"/>
      <c r="AE358" s="857"/>
      <c r="AF358" s="857"/>
      <c r="AG358" s="857"/>
      <c r="AH358" s="857"/>
      <c r="AI358" s="857"/>
    </row>
    <row r="359" spans="2:35" s="887" customFormat="1" ht="18" hidden="1" customHeight="1" x14ac:dyDescent="0.25">
      <c r="B359" s="873" t="s">
        <v>1304</v>
      </c>
      <c r="C359" s="876">
        <v>31400</v>
      </c>
      <c r="E359" s="856"/>
      <c r="F359" s="857"/>
      <c r="G359" s="857"/>
      <c r="H359" s="857"/>
      <c r="I359" s="857"/>
      <c r="J359" s="857"/>
      <c r="K359" s="857"/>
      <c r="L359" s="857"/>
      <c r="M359" s="857"/>
      <c r="N359" s="857"/>
      <c r="O359" s="857"/>
      <c r="P359" s="857"/>
      <c r="Q359" s="857"/>
      <c r="R359" s="857"/>
      <c r="S359" s="857"/>
      <c r="T359" s="857"/>
      <c r="U359" s="857"/>
      <c r="V359" s="857"/>
      <c r="W359" s="857"/>
      <c r="X359" s="857"/>
      <c r="Y359" s="857"/>
      <c r="Z359" s="857"/>
      <c r="AA359" s="857"/>
      <c r="AB359" s="857"/>
      <c r="AC359" s="857"/>
      <c r="AD359" s="857"/>
      <c r="AE359" s="857"/>
      <c r="AF359" s="857"/>
      <c r="AG359" s="857"/>
      <c r="AH359" s="857"/>
      <c r="AI359" s="857"/>
    </row>
    <row r="360" spans="2:35" s="887" customFormat="1" ht="18" hidden="1" customHeight="1" x14ac:dyDescent="0.25">
      <c r="B360" s="873" t="s">
        <v>1306</v>
      </c>
      <c r="C360" s="876">
        <v>31500</v>
      </c>
      <c r="E360" s="856"/>
      <c r="F360" s="857"/>
      <c r="G360" s="857"/>
      <c r="H360" s="857"/>
      <c r="I360" s="857"/>
      <c r="J360" s="857"/>
      <c r="K360" s="857"/>
      <c r="L360" s="857"/>
      <c r="M360" s="857"/>
      <c r="N360" s="857"/>
      <c r="O360" s="857"/>
      <c r="P360" s="857"/>
      <c r="Q360" s="857"/>
      <c r="R360" s="857"/>
      <c r="S360" s="857"/>
      <c r="T360" s="857"/>
      <c r="U360" s="857"/>
      <c r="V360" s="857"/>
      <c r="W360" s="857"/>
      <c r="X360" s="857"/>
      <c r="Y360" s="857"/>
      <c r="Z360" s="857"/>
      <c r="AA360" s="857"/>
      <c r="AB360" s="857"/>
      <c r="AC360" s="857"/>
      <c r="AD360" s="857"/>
      <c r="AE360" s="857"/>
      <c r="AF360" s="857"/>
      <c r="AG360" s="857"/>
      <c r="AH360" s="857"/>
      <c r="AI360" s="857"/>
    </row>
    <row r="361" spans="2:35" s="887" customFormat="1" ht="18" hidden="1" customHeight="1" x14ac:dyDescent="0.25">
      <c r="B361" s="873" t="s">
        <v>1424</v>
      </c>
      <c r="C361" s="876">
        <v>36501</v>
      </c>
      <c r="E361" s="856"/>
      <c r="F361" s="857"/>
      <c r="G361" s="857"/>
      <c r="H361" s="857"/>
      <c r="I361" s="857"/>
      <c r="J361" s="857"/>
      <c r="K361" s="857"/>
      <c r="L361" s="857"/>
      <c r="M361" s="857"/>
      <c r="N361" s="857"/>
      <c r="O361" s="857"/>
      <c r="P361" s="857"/>
      <c r="Q361" s="857"/>
      <c r="R361" s="857"/>
      <c r="S361" s="857"/>
      <c r="T361" s="857"/>
      <c r="U361" s="857"/>
      <c r="V361" s="857"/>
      <c r="W361" s="857"/>
      <c r="X361" s="857"/>
      <c r="Y361" s="857"/>
      <c r="Z361" s="857"/>
      <c r="AA361" s="857"/>
      <c r="AB361" s="857"/>
      <c r="AC361" s="857"/>
      <c r="AD361" s="857"/>
      <c r="AE361" s="857"/>
      <c r="AF361" s="857"/>
      <c r="AG361" s="857"/>
      <c r="AH361" s="857"/>
      <c r="AI361" s="857"/>
    </row>
    <row r="362" spans="2:35" s="887" customFormat="1" ht="18" hidden="1" customHeight="1" x14ac:dyDescent="0.25">
      <c r="B362" s="873" t="s">
        <v>1426</v>
      </c>
      <c r="C362" s="876">
        <v>36505</v>
      </c>
      <c r="E362" s="856"/>
      <c r="F362" s="857"/>
      <c r="G362" s="857"/>
      <c r="H362" s="857"/>
      <c r="I362" s="857"/>
      <c r="J362" s="857"/>
      <c r="K362" s="857"/>
      <c r="L362" s="857"/>
      <c r="M362" s="857"/>
      <c r="N362" s="857"/>
      <c r="O362" s="857"/>
      <c r="P362" s="857"/>
      <c r="Q362" s="857"/>
      <c r="R362" s="857"/>
      <c r="S362" s="857"/>
      <c r="T362" s="857"/>
      <c r="U362" s="857"/>
      <c r="V362" s="857"/>
      <c r="W362" s="857"/>
      <c r="X362" s="857"/>
      <c r="Y362" s="857"/>
      <c r="Z362" s="857"/>
      <c r="AA362" s="857"/>
      <c r="AB362" s="857"/>
      <c r="AC362" s="857"/>
      <c r="AD362" s="857"/>
      <c r="AE362" s="857"/>
      <c r="AF362" s="857"/>
      <c r="AG362" s="857"/>
      <c r="AH362" s="857"/>
      <c r="AI362" s="857"/>
    </row>
    <row r="363" spans="2:35" s="887" customFormat="1" ht="18" hidden="1" customHeight="1" x14ac:dyDescent="0.25">
      <c r="B363" s="873" t="s">
        <v>1302</v>
      </c>
      <c r="C363" s="876">
        <v>31301</v>
      </c>
      <c r="E363" s="856"/>
      <c r="F363" s="857"/>
      <c r="G363" s="857"/>
      <c r="H363" s="857"/>
      <c r="I363" s="857"/>
      <c r="J363" s="857"/>
      <c r="K363" s="857"/>
      <c r="L363" s="857"/>
      <c r="M363" s="857"/>
      <c r="N363" s="857"/>
      <c r="O363" s="857"/>
      <c r="P363" s="857"/>
      <c r="Q363" s="857"/>
      <c r="R363" s="857"/>
      <c r="S363" s="857"/>
      <c r="T363" s="857"/>
      <c r="U363" s="857"/>
      <c r="V363" s="857"/>
      <c r="W363" s="857"/>
      <c r="X363" s="857"/>
      <c r="Y363" s="857"/>
      <c r="Z363" s="857"/>
      <c r="AA363" s="857"/>
      <c r="AB363" s="857"/>
      <c r="AC363" s="857"/>
      <c r="AD363" s="857"/>
      <c r="AE363" s="857"/>
      <c r="AF363" s="857"/>
      <c r="AG363" s="857"/>
      <c r="AH363" s="857"/>
      <c r="AI363" s="857"/>
    </row>
    <row r="364" spans="2:35" s="887" customFormat="1" ht="18" hidden="1" customHeight="1" x14ac:dyDescent="0.25">
      <c r="B364" s="873" t="s">
        <v>1308</v>
      </c>
      <c r="C364" s="876">
        <v>31605</v>
      </c>
      <c r="E364" s="856"/>
      <c r="F364" s="857"/>
      <c r="G364" s="857"/>
      <c r="H364" s="857"/>
      <c r="I364" s="857"/>
      <c r="J364" s="857"/>
      <c r="K364" s="857"/>
      <c r="L364" s="857"/>
      <c r="M364" s="857"/>
      <c r="N364" s="857"/>
      <c r="O364" s="857"/>
      <c r="P364" s="857"/>
      <c r="Q364" s="857"/>
      <c r="R364" s="857"/>
      <c r="S364" s="857"/>
      <c r="T364" s="857"/>
      <c r="U364" s="857"/>
      <c r="V364" s="857"/>
      <c r="W364" s="857"/>
      <c r="X364" s="857"/>
      <c r="Y364" s="857"/>
      <c r="Z364" s="857"/>
      <c r="AA364" s="857"/>
      <c r="AB364" s="857"/>
      <c r="AC364" s="857"/>
      <c r="AD364" s="857"/>
      <c r="AE364" s="857"/>
      <c r="AF364" s="857"/>
      <c r="AG364" s="857"/>
      <c r="AH364" s="857"/>
      <c r="AI364" s="857"/>
    </row>
    <row r="365" spans="2:35" s="887" customFormat="1" ht="18" hidden="1" customHeight="1" x14ac:dyDescent="0.25">
      <c r="B365" s="873" t="s">
        <v>1307</v>
      </c>
      <c r="C365" s="876">
        <v>31600</v>
      </c>
      <c r="E365" s="856"/>
      <c r="F365" s="857"/>
      <c r="G365" s="857"/>
      <c r="H365" s="857"/>
      <c r="I365" s="857"/>
      <c r="J365" s="857"/>
      <c r="K365" s="857"/>
      <c r="L365" s="857"/>
      <c r="M365" s="857"/>
      <c r="N365" s="857"/>
      <c r="O365" s="857"/>
      <c r="P365" s="857"/>
      <c r="Q365" s="857"/>
      <c r="R365" s="857"/>
      <c r="S365" s="857"/>
      <c r="T365" s="857"/>
      <c r="U365" s="857"/>
      <c r="V365" s="857"/>
      <c r="W365" s="857"/>
      <c r="X365" s="857"/>
      <c r="Y365" s="857"/>
      <c r="Z365" s="857"/>
      <c r="AA365" s="857"/>
      <c r="AB365" s="857"/>
      <c r="AC365" s="857"/>
      <c r="AD365" s="857"/>
      <c r="AE365" s="857"/>
      <c r="AF365" s="857"/>
      <c r="AG365" s="857"/>
      <c r="AH365" s="857"/>
      <c r="AI365" s="857"/>
    </row>
    <row r="366" spans="2:35" s="887" customFormat="1" ht="18" hidden="1" customHeight="1" x14ac:dyDescent="0.25">
      <c r="B366" s="873" t="s">
        <v>1492</v>
      </c>
      <c r="C366" s="876">
        <v>39209</v>
      </c>
      <c r="E366" s="856"/>
      <c r="F366" s="857"/>
      <c r="G366" s="857"/>
      <c r="H366" s="857"/>
      <c r="I366" s="857"/>
      <c r="J366" s="857"/>
      <c r="K366" s="857"/>
      <c r="L366" s="857"/>
      <c r="M366" s="857"/>
      <c r="N366" s="857"/>
      <c r="O366" s="857"/>
      <c r="P366" s="857"/>
      <c r="Q366" s="857"/>
      <c r="R366" s="857"/>
      <c r="S366" s="857"/>
      <c r="T366" s="857"/>
      <c r="U366" s="857"/>
      <c r="V366" s="857"/>
      <c r="W366" s="857"/>
      <c r="X366" s="857"/>
      <c r="Y366" s="857"/>
      <c r="Z366" s="857"/>
      <c r="AA366" s="857"/>
      <c r="AB366" s="857"/>
      <c r="AC366" s="857"/>
      <c r="AD366" s="857"/>
      <c r="AE366" s="857"/>
      <c r="AF366" s="857"/>
      <c r="AG366" s="857"/>
      <c r="AH366" s="857"/>
      <c r="AI366" s="857"/>
    </row>
    <row r="367" spans="2:35" s="887" customFormat="1" ht="18" hidden="1" customHeight="1" x14ac:dyDescent="0.25">
      <c r="B367" s="873" t="s">
        <v>1309</v>
      </c>
      <c r="C367" s="876">
        <v>31700</v>
      </c>
      <c r="E367" s="856"/>
      <c r="F367" s="857"/>
      <c r="G367" s="857"/>
      <c r="H367" s="857"/>
      <c r="I367" s="857"/>
      <c r="J367" s="857"/>
      <c r="K367" s="857"/>
      <c r="L367" s="857"/>
      <c r="M367" s="857"/>
      <c r="N367" s="857"/>
      <c r="O367" s="857"/>
      <c r="P367" s="857"/>
      <c r="Q367" s="857"/>
      <c r="R367" s="857"/>
      <c r="S367" s="857"/>
      <c r="T367" s="857"/>
      <c r="U367" s="857"/>
      <c r="V367" s="857"/>
      <c r="W367" s="857"/>
      <c r="X367" s="857"/>
      <c r="Y367" s="857"/>
      <c r="Z367" s="857"/>
      <c r="AA367" s="857"/>
      <c r="AB367" s="857"/>
      <c r="AC367" s="857"/>
      <c r="AD367" s="857"/>
      <c r="AE367" s="857"/>
      <c r="AF367" s="857"/>
      <c r="AG367" s="857"/>
      <c r="AH367" s="857"/>
      <c r="AI367" s="857"/>
    </row>
    <row r="368" spans="2:35" s="887" customFormat="1" ht="18" hidden="1" customHeight="1" x14ac:dyDescent="0.25">
      <c r="B368" s="873" t="s">
        <v>1310</v>
      </c>
      <c r="C368" s="876">
        <v>31800</v>
      </c>
      <c r="E368" s="856"/>
      <c r="F368" s="857"/>
      <c r="G368" s="857"/>
      <c r="H368" s="857"/>
      <c r="I368" s="857"/>
      <c r="J368" s="857"/>
      <c r="K368" s="857"/>
      <c r="L368" s="857"/>
      <c r="M368" s="857"/>
      <c r="N368" s="857"/>
      <c r="O368" s="857"/>
      <c r="P368" s="857"/>
      <c r="Q368" s="857"/>
      <c r="R368" s="857"/>
      <c r="S368" s="857"/>
      <c r="T368" s="857"/>
      <c r="U368" s="857"/>
      <c r="V368" s="857"/>
      <c r="W368" s="857"/>
      <c r="X368" s="857"/>
      <c r="Y368" s="857"/>
      <c r="Z368" s="857"/>
      <c r="AA368" s="857"/>
      <c r="AB368" s="857"/>
      <c r="AC368" s="857"/>
      <c r="AD368" s="857"/>
      <c r="AE368" s="857"/>
      <c r="AF368" s="857"/>
      <c r="AG368" s="857"/>
      <c r="AH368" s="857"/>
      <c r="AI368" s="857"/>
    </row>
    <row r="369" spans="2:35" s="887" customFormat="1" ht="18" hidden="1" customHeight="1" x14ac:dyDescent="0.25">
      <c r="B369" s="873" t="s">
        <v>1311</v>
      </c>
      <c r="C369" s="876">
        <v>31805</v>
      </c>
      <c r="E369" s="856"/>
      <c r="F369" s="857"/>
      <c r="G369" s="857"/>
      <c r="H369" s="857"/>
      <c r="I369" s="857"/>
      <c r="J369" s="857"/>
      <c r="K369" s="857"/>
      <c r="L369" s="857"/>
      <c r="M369" s="857"/>
      <c r="N369" s="857"/>
      <c r="O369" s="857"/>
      <c r="P369" s="857"/>
      <c r="Q369" s="857"/>
      <c r="R369" s="857"/>
      <c r="S369" s="857"/>
      <c r="T369" s="857"/>
      <c r="U369" s="857"/>
      <c r="V369" s="857"/>
      <c r="W369" s="857"/>
      <c r="X369" s="857"/>
      <c r="Y369" s="857"/>
      <c r="Z369" s="857"/>
      <c r="AA369" s="857"/>
      <c r="AB369" s="857"/>
      <c r="AC369" s="857"/>
      <c r="AD369" s="857"/>
      <c r="AE369" s="857"/>
      <c r="AF369" s="857"/>
      <c r="AG369" s="857"/>
      <c r="AH369" s="857"/>
      <c r="AI369" s="857"/>
    </row>
    <row r="370" spans="2:35" s="887" customFormat="1" ht="18" hidden="1" customHeight="1" x14ac:dyDescent="0.25">
      <c r="B370" s="873" t="s">
        <v>1390</v>
      </c>
      <c r="C370" s="876">
        <v>35305</v>
      </c>
      <c r="E370" s="856"/>
      <c r="F370" s="857"/>
      <c r="G370" s="857"/>
      <c r="H370" s="857"/>
      <c r="I370" s="857"/>
      <c r="J370" s="857"/>
      <c r="K370" s="857"/>
      <c r="L370" s="857"/>
      <c r="M370" s="857"/>
      <c r="N370" s="857"/>
      <c r="O370" s="857"/>
      <c r="P370" s="857"/>
      <c r="Q370" s="857"/>
      <c r="R370" s="857"/>
      <c r="S370" s="857"/>
      <c r="T370" s="857"/>
      <c r="U370" s="857"/>
      <c r="V370" s="857"/>
      <c r="W370" s="857"/>
      <c r="X370" s="857"/>
      <c r="Y370" s="857"/>
      <c r="Z370" s="857"/>
      <c r="AA370" s="857"/>
      <c r="AB370" s="857"/>
      <c r="AC370" s="857"/>
      <c r="AD370" s="857"/>
      <c r="AE370" s="857"/>
      <c r="AF370" s="857"/>
      <c r="AG370" s="857"/>
      <c r="AH370" s="857"/>
      <c r="AI370" s="857"/>
    </row>
    <row r="371" spans="2:35" s="887" customFormat="1" ht="18" hidden="1" customHeight="1" x14ac:dyDescent="0.25">
      <c r="B371" s="873" t="s">
        <v>1341</v>
      </c>
      <c r="C371" s="876">
        <v>33202</v>
      </c>
      <c r="E371" s="856"/>
      <c r="F371" s="857"/>
      <c r="G371" s="857"/>
      <c r="H371" s="857"/>
      <c r="I371" s="857"/>
      <c r="J371" s="857"/>
      <c r="K371" s="857"/>
      <c r="L371" s="857"/>
      <c r="M371" s="857"/>
      <c r="N371" s="857"/>
      <c r="O371" s="857"/>
      <c r="P371" s="857"/>
      <c r="Q371" s="857"/>
      <c r="R371" s="857"/>
      <c r="S371" s="857"/>
      <c r="T371" s="857"/>
      <c r="U371" s="857"/>
      <c r="V371" s="857"/>
      <c r="W371" s="857"/>
      <c r="X371" s="857"/>
      <c r="Y371" s="857"/>
      <c r="Z371" s="857"/>
      <c r="AA371" s="857"/>
      <c r="AB371" s="857"/>
      <c r="AC371" s="857"/>
      <c r="AD371" s="857"/>
      <c r="AE371" s="857"/>
      <c r="AF371" s="857"/>
      <c r="AG371" s="857"/>
      <c r="AH371" s="857"/>
      <c r="AI371" s="857"/>
    </row>
    <row r="372" spans="2:35" s="887" customFormat="1" ht="18" hidden="1" customHeight="1" x14ac:dyDescent="0.25">
      <c r="B372" s="873" t="s">
        <v>1406</v>
      </c>
      <c r="C372" s="876">
        <v>36005</v>
      </c>
      <c r="E372" s="856"/>
      <c r="F372" s="857"/>
      <c r="G372" s="857"/>
      <c r="H372" s="857"/>
      <c r="I372" s="857"/>
      <c r="J372" s="857"/>
      <c r="K372" s="857"/>
      <c r="L372" s="857"/>
      <c r="M372" s="857"/>
      <c r="N372" s="857"/>
      <c r="O372" s="857"/>
      <c r="P372" s="857"/>
      <c r="Q372" s="857"/>
      <c r="R372" s="857"/>
      <c r="S372" s="857"/>
      <c r="T372" s="857"/>
      <c r="U372" s="857"/>
      <c r="V372" s="857"/>
      <c r="W372" s="857"/>
      <c r="X372" s="857"/>
      <c r="Y372" s="857"/>
      <c r="Z372" s="857"/>
      <c r="AA372" s="857"/>
      <c r="AB372" s="857"/>
      <c r="AC372" s="857"/>
      <c r="AD372" s="857"/>
      <c r="AE372" s="857"/>
      <c r="AF372" s="857"/>
      <c r="AG372" s="857"/>
      <c r="AH372" s="857"/>
      <c r="AI372" s="857"/>
    </row>
    <row r="373" spans="2:35" s="887" customFormat="1" ht="18" hidden="1" customHeight="1" x14ac:dyDescent="0.25">
      <c r="B373" s="873" t="s">
        <v>1434</v>
      </c>
      <c r="C373" s="876">
        <v>36810</v>
      </c>
      <c r="E373" s="856"/>
      <c r="F373" s="857"/>
      <c r="G373" s="857"/>
      <c r="H373" s="857"/>
      <c r="I373" s="857"/>
      <c r="J373" s="857"/>
      <c r="K373" s="857"/>
      <c r="L373" s="857"/>
      <c r="M373" s="857"/>
      <c r="N373" s="857"/>
      <c r="O373" s="857"/>
      <c r="P373" s="857"/>
      <c r="Q373" s="857"/>
      <c r="R373" s="857"/>
      <c r="S373" s="857"/>
      <c r="T373" s="857"/>
      <c r="U373" s="857"/>
      <c r="V373" s="857"/>
      <c r="W373" s="857"/>
      <c r="X373" s="857"/>
      <c r="Y373" s="857"/>
      <c r="Z373" s="857"/>
      <c r="AA373" s="857"/>
      <c r="AB373" s="857"/>
      <c r="AC373" s="857"/>
      <c r="AD373" s="857"/>
      <c r="AE373" s="857"/>
      <c r="AF373" s="857"/>
      <c r="AG373" s="857"/>
      <c r="AH373" s="857"/>
      <c r="AI373" s="857"/>
    </row>
    <row r="374" spans="2:35" s="887" customFormat="1" ht="18" hidden="1" customHeight="1" x14ac:dyDescent="0.25">
      <c r="B374" s="873" t="s">
        <v>1410</v>
      </c>
      <c r="C374" s="876">
        <v>36009</v>
      </c>
      <c r="E374" s="856"/>
      <c r="F374" s="857"/>
      <c r="G374" s="857"/>
      <c r="H374" s="857"/>
      <c r="I374" s="857"/>
      <c r="J374" s="857"/>
      <c r="K374" s="857"/>
      <c r="L374" s="857"/>
      <c r="M374" s="857"/>
      <c r="N374" s="857"/>
      <c r="O374" s="857"/>
      <c r="P374" s="857"/>
      <c r="Q374" s="857"/>
      <c r="R374" s="857"/>
      <c r="S374" s="857"/>
      <c r="T374" s="857"/>
      <c r="U374" s="857"/>
      <c r="V374" s="857"/>
      <c r="W374" s="857"/>
      <c r="X374" s="857"/>
      <c r="Y374" s="857"/>
      <c r="Z374" s="857"/>
      <c r="AA374" s="857"/>
      <c r="AB374" s="857"/>
      <c r="AC374" s="857"/>
      <c r="AD374" s="857"/>
      <c r="AE374" s="857"/>
      <c r="AF374" s="857"/>
      <c r="AG374" s="857"/>
      <c r="AH374" s="857"/>
      <c r="AI374" s="857"/>
    </row>
    <row r="375" spans="2:35" s="887" customFormat="1" ht="18" hidden="1" customHeight="1" x14ac:dyDescent="0.25">
      <c r="B375" s="873" t="s">
        <v>1401</v>
      </c>
      <c r="C375" s="876">
        <v>36000</v>
      </c>
      <c r="E375" s="856"/>
      <c r="F375" s="857"/>
      <c r="G375" s="857"/>
      <c r="H375" s="857"/>
      <c r="I375" s="857"/>
      <c r="J375" s="857"/>
      <c r="K375" s="857"/>
      <c r="L375" s="857"/>
      <c r="M375" s="857"/>
      <c r="N375" s="857"/>
      <c r="O375" s="857"/>
      <c r="P375" s="857"/>
      <c r="Q375" s="857"/>
      <c r="R375" s="857"/>
      <c r="S375" s="857"/>
      <c r="T375" s="857"/>
      <c r="U375" s="857"/>
      <c r="V375" s="857"/>
      <c r="W375" s="857"/>
      <c r="X375" s="857"/>
      <c r="Y375" s="857"/>
      <c r="Z375" s="857"/>
      <c r="AA375" s="857"/>
      <c r="AB375" s="857"/>
      <c r="AC375" s="857"/>
      <c r="AD375" s="857"/>
      <c r="AE375" s="857"/>
      <c r="AF375" s="857"/>
      <c r="AG375" s="857"/>
      <c r="AH375" s="857"/>
      <c r="AI375" s="857"/>
    </row>
    <row r="376" spans="2:35" s="887" customFormat="1" ht="18" hidden="1" customHeight="1" x14ac:dyDescent="0.25">
      <c r="B376" s="873" t="s">
        <v>1314</v>
      </c>
      <c r="C376" s="876">
        <v>31900</v>
      </c>
      <c r="E376" s="856"/>
      <c r="F376" s="857"/>
      <c r="G376" s="857"/>
      <c r="H376" s="857"/>
      <c r="I376" s="857"/>
      <c r="J376" s="857"/>
      <c r="K376" s="857"/>
      <c r="L376" s="857"/>
      <c r="M376" s="857"/>
      <c r="N376" s="857"/>
      <c r="O376" s="857"/>
      <c r="P376" s="857"/>
      <c r="Q376" s="857"/>
      <c r="R376" s="857"/>
      <c r="S376" s="857"/>
      <c r="T376" s="857"/>
      <c r="U376" s="857"/>
      <c r="V376" s="857"/>
      <c r="W376" s="857"/>
      <c r="X376" s="857"/>
      <c r="Y376" s="857"/>
      <c r="Z376" s="857"/>
      <c r="AA376" s="857"/>
      <c r="AB376" s="857"/>
      <c r="AC376" s="857"/>
      <c r="AD376" s="857"/>
      <c r="AE376" s="857"/>
      <c r="AF376" s="857"/>
      <c r="AG376" s="857"/>
      <c r="AH376" s="857"/>
      <c r="AI376" s="857"/>
    </row>
    <row r="377" spans="2:35" s="887" customFormat="1" ht="18" hidden="1" customHeight="1" x14ac:dyDescent="0.25">
      <c r="B377" s="873" t="s">
        <v>1315</v>
      </c>
      <c r="C377" s="876">
        <v>32000</v>
      </c>
      <c r="E377" s="856"/>
      <c r="F377" s="857"/>
      <c r="G377" s="857"/>
      <c r="H377" s="857"/>
      <c r="I377" s="857"/>
      <c r="J377" s="857"/>
      <c r="K377" s="857"/>
      <c r="L377" s="857"/>
      <c r="M377" s="857"/>
      <c r="N377" s="857"/>
      <c r="O377" s="857"/>
      <c r="P377" s="857"/>
      <c r="Q377" s="857"/>
      <c r="R377" s="857"/>
      <c r="S377" s="857"/>
      <c r="T377" s="857"/>
      <c r="U377" s="857"/>
      <c r="V377" s="857"/>
      <c r="W377" s="857"/>
      <c r="X377" s="857"/>
      <c r="Y377" s="857"/>
      <c r="Z377" s="857"/>
      <c r="AA377" s="857"/>
      <c r="AB377" s="857"/>
      <c r="AC377" s="857"/>
      <c r="AD377" s="857"/>
      <c r="AE377" s="857"/>
      <c r="AF377" s="857"/>
      <c r="AG377" s="857"/>
      <c r="AH377" s="857"/>
      <c r="AI377" s="857"/>
    </row>
    <row r="378" spans="2:35" s="887" customFormat="1" ht="18" hidden="1" customHeight="1" x14ac:dyDescent="0.25">
      <c r="B378" s="873" t="s">
        <v>1392</v>
      </c>
      <c r="C378" s="876">
        <v>35401</v>
      </c>
      <c r="E378" s="856"/>
      <c r="F378" s="857"/>
      <c r="G378" s="857"/>
      <c r="H378" s="857"/>
      <c r="I378" s="857"/>
      <c r="J378" s="857"/>
      <c r="K378" s="857"/>
      <c r="L378" s="857"/>
      <c r="M378" s="857"/>
      <c r="N378" s="857"/>
      <c r="O378" s="857"/>
      <c r="P378" s="857"/>
      <c r="Q378" s="857"/>
      <c r="R378" s="857"/>
      <c r="S378" s="857"/>
      <c r="T378" s="857"/>
      <c r="U378" s="857"/>
      <c r="V378" s="857"/>
      <c r="W378" s="857"/>
      <c r="X378" s="857"/>
      <c r="Y378" s="857"/>
      <c r="Z378" s="857"/>
      <c r="AA378" s="857"/>
      <c r="AB378" s="857"/>
      <c r="AC378" s="857"/>
      <c r="AD378" s="857"/>
      <c r="AE378" s="857"/>
      <c r="AF378" s="857"/>
      <c r="AG378" s="857"/>
      <c r="AH378" s="857"/>
      <c r="AI378" s="857"/>
    </row>
    <row r="379" spans="2:35" s="887" customFormat="1" ht="18" hidden="1" customHeight="1" x14ac:dyDescent="0.25">
      <c r="B379" s="873" t="s">
        <v>1318</v>
      </c>
      <c r="C379" s="876">
        <v>32200</v>
      </c>
      <c r="E379" s="856"/>
      <c r="F379" s="857"/>
      <c r="G379" s="857"/>
      <c r="H379" s="857"/>
      <c r="I379" s="857"/>
      <c r="J379" s="857"/>
      <c r="K379" s="857"/>
      <c r="L379" s="857"/>
      <c r="M379" s="857"/>
      <c r="N379" s="857"/>
      <c r="O379" s="857"/>
      <c r="P379" s="857"/>
      <c r="Q379" s="857"/>
      <c r="R379" s="857"/>
      <c r="S379" s="857"/>
      <c r="T379" s="857"/>
      <c r="U379" s="857"/>
      <c r="V379" s="857"/>
      <c r="W379" s="857"/>
      <c r="X379" s="857"/>
      <c r="Y379" s="857"/>
      <c r="Z379" s="857"/>
      <c r="AA379" s="857"/>
      <c r="AB379" s="857"/>
      <c r="AC379" s="857"/>
      <c r="AD379" s="857"/>
      <c r="AE379" s="857"/>
      <c r="AF379" s="857"/>
      <c r="AG379" s="857"/>
      <c r="AH379" s="857"/>
      <c r="AI379" s="857"/>
    </row>
    <row r="380" spans="2:35" s="887" customFormat="1" ht="18" hidden="1" customHeight="1" x14ac:dyDescent="0.25">
      <c r="B380" s="873" t="s">
        <v>1319</v>
      </c>
      <c r="C380" s="876">
        <v>32300</v>
      </c>
      <c r="E380" s="856"/>
      <c r="F380" s="857"/>
      <c r="G380" s="857"/>
      <c r="H380" s="857"/>
      <c r="I380" s="857"/>
      <c r="J380" s="857"/>
      <c r="K380" s="857"/>
      <c r="L380" s="857"/>
      <c r="M380" s="857"/>
      <c r="N380" s="857"/>
      <c r="O380" s="857"/>
      <c r="P380" s="857"/>
      <c r="Q380" s="857"/>
      <c r="R380" s="857"/>
      <c r="S380" s="857"/>
      <c r="T380" s="857"/>
      <c r="U380" s="857"/>
      <c r="V380" s="857"/>
      <c r="W380" s="857"/>
      <c r="X380" s="857"/>
      <c r="Y380" s="857"/>
      <c r="Z380" s="857"/>
      <c r="AA380" s="857"/>
      <c r="AB380" s="857"/>
      <c r="AC380" s="857"/>
      <c r="AD380" s="857"/>
      <c r="AE380" s="857"/>
      <c r="AF380" s="857"/>
      <c r="AG380" s="857"/>
      <c r="AH380" s="857"/>
      <c r="AI380" s="857"/>
    </row>
    <row r="381" spans="2:35" s="887" customFormat="1" ht="18" hidden="1" customHeight="1" x14ac:dyDescent="0.25">
      <c r="B381" s="873" t="s">
        <v>1320</v>
      </c>
      <c r="C381" s="876">
        <v>32305</v>
      </c>
      <c r="E381" s="856"/>
      <c r="F381" s="857"/>
      <c r="G381" s="857"/>
      <c r="H381" s="857"/>
      <c r="I381" s="857"/>
      <c r="J381" s="857"/>
      <c r="K381" s="857"/>
      <c r="L381" s="857"/>
      <c r="M381" s="857"/>
      <c r="N381" s="857"/>
      <c r="O381" s="857"/>
      <c r="P381" s="857"/>
      <c r="Q381" s="857"/>
      <c r="R381" s="857"/>
      <c r="S381" s="857"/>
      <c r="T381" s="857"/>
      <c r="U381" s="857"/>
      <c r="V381" s="857"/>
      <c r="W381" s="857"/>
      <c r="X381" s="857"/>
      <c r="Y381" s="857"/>
      <c r="Z381" s="857"/>
      <c r="AA381" s="857"/>
      <c r="AB381" s="857"/>
      <c r="AC381" s="857"/>
      <c r="AD381" s="857"/>
      <c r="AE381" s="857"/>
      <c r="AF381" s="857"/>
      <c r="AG381" s="857"/>
      <c r="AH381" s="857"/>
      <c r="AI381" s="857"/>
    </row>
    <row r="382" spans="2:35" s="887" customFormat="1" ht="18" hidden="1" customHeight="1" x14ac:dyDescent="0.25">
      <c r="B382" s="873" t="s">
        <v>1466</v>
      </c>
      <c r="C382" s="876">
        <v>38210</v>
      </c>
      <c r="E382" s="856"/>
      <c r="F382" s="857"/>
      <c r="G382" s="857"/>
      <c r="H382" s="857"/>
      <c r="I382" s="857"/>
      <c r="J382" s="857"/>
      <c r="K382" s="857"/>
      <c r="L382" s="857"/>
      <c r="M382" s="857"/>
      <c r="N382" s="857"/>
      <c r="O382" s="857"/>
      <c r="P382" s="857"/>
      <c r="Q382" s="857"/>
      <c r="R382" s="857"/>
      <c r="S382" s="857"/>
      <c r="T382" s="857"/>
      <c r="U382" s="857"/>
      <c r="V382" s="857"/>
      <c r="W382" s="857"/>
      <c r="X382" s="857"/>
      <c r="Y382" s="857"/>
      <c r="Z382" s="857"/>
      <c r="AA382" s="857"/>
      <c r="AB382" s="857"/>
      <c r="AC382" s="857"/>
      <c r="AD382" s="857"/>
      <c r="AE382" s="857"/>
      <c r="AF382" s="857"/>
      <c r="AG382" s="857"/>
      <c r="AH382" s="857"/>
      <c r="AI382" s="857"/>
    </row>
    <row r="383" spans="2:35" s="887" customFormat="1" ht="18" hidden="1" customHeight="1" x14ac:dyDescent="0.25">
      <c r="B383" s="873" t="s">
        <v>1276</v>
      </c>
      <c r="C383" s="876">
        <v>30102</v>
      </c>
      <c r="E383" s="856"/>
      <c r="F383" s="857"/>
      <c r="G383" s="857"/>
      <c r="H383" s="857"/>
      <c r="I383" s="857"/>
      <c r="J383" s="857"/>
      <c r="K383" s="857"/>
      <c r="L383" s="857"/>
      <c r="M383" s="857"/>
      <c r="N383" s="857"/>
      <c r="O383" s="857"/>
      <c r="P383" s="857"/>
      <c r="Q383" s="857"/>
      <c r="R383" s="857"/>
      <c r="S383" s="857"/>
      <c r="T383" s="857"/>
      <c r="U383" s="857"/>
      <c r="V383" s="857"/>
      <c r="W383" s="857"/>
      <c r="X383" s="857"/>
      <c r="Y383" s="857"/>
      <c r="Z383" s="857"/>
      <c r="AA383" s="857"/>
      <c r="AB383" s="857"/>
      <c r="AC383" s="857"/>
      <c r="AD383" s="857"/>
      <c r="AE383" s="857"/>
      <c r="AF383" s="857"/>
      <c r="AG383" s="857"/>
      <c r="AH383" s="857"/>
      <c r="AI383" s="857"/>
    </row>
    <row r="384" spans="2:35" s="887" customFormat="1" ht="18" hidden="1" customHeight="1" x14ac:dyDescent="0.25">
      <c r="B384" s="873" t="s">
        <v>1431</v>
      </c>
      <c r="C384" s="876">
        <v>36705</v>
      </c>
      <c r="E384" s="856"/>
      <c r="F384" s="857"/>
      <c r="G384" s="857"/>
      <c r="H384" s="857"/>
      <c r="I384" s="857"/>
      <c r="J384" s="857"/>
      <c r="K384" s="857"/>
      <c r="L384" s="857"/>
      <c r="M384" s="857"/>
      <c r="N384" s="857"/>
      <c r="O384" s="857"/>
      <c r="P384" s="857"/>
      <c r="Q384" s="857"/>
      <c r="R384" s="857"/>
      <c r="S384" s="857"/>
      <c r="T384" s="857"/>
      <c r="U384" s="857"/>
      <c r="V384" s="857"/>
      <c r="W384" s="857"/>
      <c r="X384" s="857"/>
      <c r="Y384" s="857"/>
      <c r="Z384" s="857"/>
      <c r="AA384" s="857"/>
      <c r="AB384" s="857"/>
      <c r="AC384" s="857"/>
      <c r="AD384" s="857"/>
      <c r="AE384" s="857"/>
      <c r="AF384" s="857"/>
      <c r="AG384" s="857"/>
      <c r="AH384" s="857"/>
      <c r="AI384" s="857"/>
    </row>
    <row r="385" spans="2:35" s="887" customFormat="1" ht="18" hidden="1" customHeight="1" x14ac:dyDescent="0.25">
      <c r="B385" s="873" t="s">
        <v>1439</v>
      </c>
      <c r="C385" s="876">
        <v>37005</v>
      </c>
      <c r="E385" s="856"/>
      <c r="F385" s="857"/>
      <c r="G385" s="857"/>
      <c r="H385" s="857"/>
      <c r="I385" s="857"/>
      <c r="J385" s="857"/>
      <c r="K385" s="857"/>
      <c r="L385" s="857"/>
      <c r="M385" s="857"/>
      <c r="N385" s="857"/>
      <c r="O385" s="857"/>
      <c r="P385" s="857"/>
      <c r="Q385" s="857"/>
      <c r="R385" s="857"/>
      <c r="S385" s="857"/>
      <c r="T385" s="857"/>
      <c r="U385" s="857"/>
      <c r="V385" s="857"/>
      <c r="W385" s="857"/>
      <c r="X385" s="857"/>
      <c r="Y385" s="857"/>
      <c r="Z385" s="857"/>
      <c r="AA385" s="857"/>
      <c r="AB385" s="857"/>
      <c r="AC385" s="857"/>
      <c r="AD385" s="857"/>
      <c r="AE385" s="857"/>
      <c r="AF385" s="857"/>
      <c r="AG385" s="857"/>
      <c r="AH385" s="857"/>
      <c r="AI385" s="857"/>
    </row>
    <row r="386" spans="2:35" s="887" customFormat="1" ht="18" hidden="1" customHeight="1" x14ac:dyDescent="0.25">
      <c r="B386" s="873" t="s">
        <v>1321</v>
      </c>
      <c r="C386" s="876">
        <v>32400</v>
      </c>
      <c r="E386" s="856"/>
      <c r="F386" s="857"/>
      <c r="G386" s="857"/>
      <c r="H386" s="857"/>
      <c r="I386" s="857"/>
      <c r="J386" s="857"/>
      <c r="K386" s="857"/>
      <c r="L386" s="857"/>
      <c r="M386" s="857"/>
      <c r="N386" s="857"/>
      <c r="O386" s="857"/>
      <c r="P386" s="857"/>
      <c r="Q386" s="857"/>
      <c r="R386" s="857"/>
      <c r="S386" s="857"/>
      <c r="T386" s="857"/>
      <c r="U386" s="857"/>
      <c r="V386" s="857"/>
      <c r="W386" s="857"/>
      <c r="X386" s="857"/>
      <c r="Y386" s="857"/>
      <c r="Z386" s="857"/>
      <c r="AA386" s="857"/>
      <c r="AB386" s="857"/>
      <c r="AC386" s="857"/>
      <c r="AD386" s="857"/>
      <c r="AE386" s="857"/>
      <c r="AF386" s="857"/>
      <c r="AG386" s="857"/>
      <c r="AH386" s="857"/>
      <c r="AI386" s="857"/>
    </row>
    <row r="387" spans="2:35" s="887" customFormat="1" ht="18" hidden="1" customHeight="1" x14ac:dyDescent="0.25">
      <c r="B387" s="873" t="s">
        <v>1402</v>
      </c>
      <c r="C387" s="876">
        <v>36001</v>
      </c>
      <c r="E387" s="856"/>
      <c r="F387" s="857"/>
      <c r="G387" s="857"/>
      <c r="H387" s="857"/>
      <c r="I387" s="857"/>
      <c r="J387" s="857"/>
      <c r="K387" s="857"/>
      <c r="L387" s="857"/>
      <c r="M387" s="857"/>
      <c r="N387" s="857"/>
      <c r="O387" s="857"/>
      <c r="P387" s="857"/>
      <c r="Q387" s="857"/>
      <c r="R387" s="857"/>
      <c r="S387" s="857"/>
      <c r="T387" s="857"/>
      <c r="U387" s="857"/>
      <c r="V387" s="857"/>
      <c r="W387" s="857"/>
      <c r="X387" s="857"/>
      <c r="Y387" s="857"/>
      <c r="Z387" s="857"/>
      <c r="AA387" s="857"/>
      <c r="AB387" s="857"/>
      <c r="AC387" s="857"/>
      <c r="AD387" s="857"/>
      <c r="AE387" s="857"/>
      <c r="AF387" s="857"/>
      <c r="AG387" s="857"/>
      <c r="AH387" s="857"/>
      <c r="AI387" s="857"/>
    </row>
    <row r="388" spans="2:35" s="887" customFormat="1" ht="18" hidden="1" customHeight="1" x14ac:dyDescent="0.25">
      <c r="B388" s="873" t="s">
        <v>1252</v>
      </c>
      <c r="C388" s="876">
        <v>19005</v>
      </c>
      <c r="E388" s="856"/>
      <c r="F388" s="857"/>
      <c r="G388" s="857"/>
      <c r="H388" s="857"/>
      <c r="I388" s="857"/>
      <c r="J388" s="857"/>
      <c r="K388" s="857"/>
      <c r="L388" s="857"/>
      <c r="M388" s="857"/>
      <c r="N388" s="857"/>
      <c r="O388" s="857"/>
      <c r="P388" s="857"/>
      <c r="Q388" s="857"/>
      <c r="R388" s="857"/>
      <c r="S388" s="857"/>
      <c r="T388" s="857"/>
      <c r="U388" s="857"/>
      <c r="V388" s="857"/>
      <c r="W388" s="857"/>
      <c r="X388" s="857"/>
      <c r="Y388" s="857"/>
      <c r="Z388" s="857"/>
      <c r="AA388" s="857"/>
      <c r="AB388" s="857"/>
      <c r="AC388" s="857"/>
      <c r="AD388" s="857"/>
      <c r="AE388" s="857"/>
      <c r="AF388" s="857"/>
      <c r="AG388" s="857"/>
      <c r="AH388" s="857"/>
      <c r="AI388" s="857"/>
    </row>
    <row r="389" spans="2:35" s="887" customFormat="1" ht="18" hidden="1" customHeight="1" x14ac:dyDescent="0.25">
      <c r="B389" s="873" t="s">
        <v>1404</v>
      </c>
      <c r="C389" s="876">
        <v>36003</v>
      </c>
      <c r="E389" s="856"/>
      <c r="F389" s="857"/>
      <c r="G389" s="857"/>
      <c r="H389" s="857"/>
      <c r="I389" s="857"/>
      <c r="J389" s="857"/>
      <c r="K389" s="857"/>
      <c r="L389" s="857"/>
      <c r="M389" s="857"/>
      <c r="N389" s="857"/>
      <c r="O389" s="857"/>
      <c r="P389" s="857"/>
      <c r="Q389" s="857"/>
      <c r="R389" s="857"/>
      <c r="S389" s="857"/>
      <c r="T389" s="857"/>
      <c r="U389" s="857"/>
      <c r="V389" s="857"/>
      <c r="W389" s="857"/>
      <c r="X389" s="857"/>
      <c r="Y389" s="857"/>
      <c r="Z389" s="857"/>
      <c r="AA389" s="857"/>
      <c r="AB389" s="857"/>
      <c r="AC389" s="857"/>
      <c r="AD389" s="857"/>
      <c r="AE389" s="857"/>
      <c r="AF389" s="857"/>
      <c r="AG389" s="857"/>
      <c r="AH389" s="857"/>
      <c r="AI389" s="857"/>
    </row>
    <row r="390" spans="2:35" s="887" customFormat="1" ht="18" hidden="1" customHeight="1" x14ac:dyDescent="0.25">
      <c r="B390" s="873" t="s">
        <v>1507</v>
      </c>
      <c r="C390" s="876">
        <v>40000</v>
      </c>
      <c r="E390" s="856"/>
      <c r="F390" s="857"/>
      <c r="G390" s="857"/>
      <c r="H390" s="857"/>
      <c r="I390" s="857"/>
      <c r="J390" s="857"/>
      <c r="K390" s="857"/>
      <c r="L390" s="857"/>
      <c r="M390" s="857"/>
      <c r="N390" s="857"/>
      <c r="O390" s="857"/>
      <c r="P390" s="857"/>
      <c r="Q390" s="857"/>
      <c r="R390" s="857"/>
      <c r="S390" s="857"/>
      <c r="T390" s="857"/>
      <c r="U390" s="857"/>
      <c r="V390" s="857"/>
      <c r="W390" s="857"/>
      <c r="X390" s="857"/>
      <c r="Y390" s="857"/>
      <c r="Z390" s="857"/>
      <c r="AA390" s="857"/>
      <c r="AB390" s="857"/>
      <c r="AC390" s="857"/>
      <c r="AD390" s="857"/>
      <c r="AE390" s="857"/>
      <c r="AF390" s="857"/>
      <c r="AG390" s="857"/>
      <c r="AH390" s="857"/>
      <c r="AI390" s="857"/>
    </row>
    <row r="391" spans="2:35" s="887" customFormat="1" ht="18" hidden="1" customHeight="1" x14ac:dyDescent="0.25">
      <c r="B391" s="873" t="s">
        <v>1337</v>
      </c>
      <c r="C391" s="876">
        <v>33027</v>
      </c>
      <c r="E391" s="856"/>
      <c r="F391" s="857"/>
      <c r="G391" s="857"/>
      <c r="H391" s="857"/>
      <c r="I391" s="857"/>
      <c r="J391" s="857"/>
      <c r="K391" s="857"/>
      <c r="L391" s="857"/>
      <c r="M391" s="857"/>
      <c r="N391" s="857"/>
      <c r="O391" s="857"/>
      <c r="P391" s="857"/>
      <c r="Q391" s="857"/>
      <c r="R391" s="857"/>
      <c r="S391" s="857"/>
      <c r="T391" s="857"/>
      <c r="U391" s="857"/>
      <c r="V391" s="857"/>
      <c r="W391" s="857"/>
      <c r="X391" s="857"/>
      <c r="Y391" s="857"/>
      <c r="Z391" s="857"/>
      <c r="AA391" s="857"/>
      <c r="AB391" s="857"/>
      <c r="AC391" s="857"/>
      <c r="AD391" s="857"/>
      <c r="AE391" s="857"/>
      <c r="AF391" s="857"/>
      <c r="AG391" s="857"/>
      <c r="AH391" s="857"/>
      <c r="AI391" s="857"/>
    </row>
    <row r="392" spans="2:35" s="887" customFormat="1" ht="18" hidden="1" customHeight="1" x14ac:dyDescent="0.25">
      <c r="B392" s="873" t="s">
        <v>1405</v>
      </c>
      <c r="C392" s="876">
        <v>36004</v>
      </c>
      <c r="E392" s="856"/>
      <c r="F392" s="857"/>
      <c r="G392" s="857"/>
      <c r="H392" s="857"/>
      <c r="I392" s="857"/>
      <c r="J392" s="857"/>
      <c r="K392" s="857"/>
      <c r="L392" s="857"/>
      <c r="M392" s="857"/>
      <c r="N392" s="857"/>
      <c r="O392" s="857"/>
      <c r="P392" s="857"/>
      <c r="Q392" s="857"/>
      <c r="R392" s="857"/>
      <c r="S392" s="857"/>
      <c r="T392" s="857"/>
      <c r="U392" s="857"/>
      <c r="V392" s="857"/>
      <c r="W392" s="857"/>
      <c r="X392" s="857"/>
      <c r="Y392" s="857"/>
      <c r="Z392" s="857"/>
      <c r="AA392" s="857"/>
      <c r="AB392" s="857"/>
      <c r="AC392" s="857"/>
      <c r="AD392" s="857"/>
      <c r="AE392" s="857"/>
      <c r="AF392" s="857"/>
      <c r="AG392" s="857"/>
      <c r="AH392" s="857"/>
      <c r="AI392" s="857"/>
    </row>
    <row r="393" spans="2:35" s="887" customFormat="1" ht="18" hidden="1" customHeight="1" x14ac:dyDescent="0.25">
      <c r="B393" s="873" t="s">
        <v>1325</v>
      </c>
      <c r="C393" s="876">
        <v>32505</v>
      </c>
      <c r="E393" s="856"/>
      <c r="F393" s="857"/>
      <c r="G393" s="857"/>
      <c r="H393" s="857"/>
      <c r="I393" s="857"/>
      <c r="J393" s="857"/>
      <c r="K393" s="857"/>
      <c r="L393" s="857"/>
      <c r="M393" s="857"/>
      <c r="N393" s="857"/>
      <c r="O393" s="857"/>
      <c r="P393" s="857"/>
      <c r="Q393" s="857"/>
      <c r="R393" s="857"/>
      <c r="S393" s="857"/>
      <c r="T393" s="857"/>
      <c r="U393" s="857"/>
      <c r="V393" s="857"/>
      <c r="W393" s="857"/>
      <c r="X393" s="857"/>
      <c r="Y393" s="857"/>
      <c r="Z393" s="857"/>
      <c r="AA393" s="857"/>
      <c r="AB393" s="857"/>
      <c r="AC393" s="857"/>
      <c r="AD393" s="857"/>
      <c r="AE393" s="857"/>
      <c r="AF393" s="857"/>
      <c r="AG393" s="857"/>
      <c r="AH393" s="857"/>
      <c r="AI393" s="857"/>
    </row>
    <row r="394" spans="2:35" s="887" customFormat="1" ht="18" hidden="1" customHeight="1" x14ac:dyDescent="0.25">
      <c r="B394" s="873" t="s">
        <v>1326</v>
      </c>
      <c r="C394" s="876">
        <v>32600</v>
      </c>
      <c r="E394" s="856"/>
      <c r="F394" s="857"/>
      <c r="G394" s="857"/>
      <c r="H394" s="857"/>
      <c r="I394" s="857"/>
      <c r="J394" s="857"/>
      <c r="K394" s="857"/>
      <c r="L394" s="857"/>
      <c r="M394" s="857"/>
      <c r="N394" s="857"/>
      <c r="O394" s="857"/>
      <c r="P394" s="857"/>
      <c r="Q394" s="857"/>
      <c r="R394" s="857"/>
      <c r="S394" s="857"/>
      <c r="T394" s="857"/>
      <c r="U394" s="857"/>
      <c r="V394" s="857"/>
      <c r="W394" s="857"/>
      <c r="X394" s="857"/>
      <c r="Y394" s="857"/>
      <c r="Z394" s="857"/>
      <c r="AA394" s="857"/>
      <c r="AB394" s="857"/>
      <c r="AC394" s="857"/>
      <c r="AD394" s="857"/>
      <c r="AE394" s="857"/>
      <c r="AF394" s="857"/>
      <c r="AG394" s="857"/>
      <c r="AH394" s="857"/>
      <c r="AI394" s="857"/>
    </row>
    <row r="395" spans="2:35" s="887" customFormat="1" ht="18" hidden="1" customHeight="1" x14ac:dyDescent="0.25">
      <c r="B395" s="873" t="s">
        <v>1328</v>
      </c>
      <c r="C395" s="876">
        <v>32700</v>
      </c>
      <c r="E395" s="856"/>
      <c r="F395" s="857"/>
      <c r="G395" s="857"/>
      <c r="H395" s="857"/>
      <c r="I395" s="857"/>
      <c r="J395" s="857"/>
      <c r="K395" s="857"/>
      <c r="L395" s="857"/>
      <c r="M395" s="857"/>
      <c r="N395" s="857"/>
      <c r="O395" s="857"/>
      <c r="P395" s="857"/>
      <c r="Q395" s="857"/>
      <c r="R395" s="857"/>
      <c r="S395" s="857"/>
      <c r="T395" s="857"/>
      <c r="U395" s="857"/>
      <c r="V395" s="857"/>
      <c r="W395" s="857"/>
      <c r="X395" s="857"/>
      <c r="Y395" s="857"/>
      <c r="Z395" s="857"/>
      <c r="AA395" s="857"/>
      <c r="AB395" s="857"/>
      <c r="AC395" s="857"/>
      <c r="AD395" s="857"/>
      <c r="AE395" s="857"/>
      <c r="AF395" s="857"/>
      <c r="AG395" s="857"/>
      <c r="AH395" s="857"/>
      <c r="AI395" s="857"/>
    </row>
    <row r="396" spans="2:35" s="887" customFormat="1" ht="18" hidden="1" customHeight="1" x14ac:dyDescent="0.25">
      <c r="B396" s="873" t="s">
        <v>1329</v>
      </c>
      <c r="C396" s="876">
        <v>32800</v>
      </c>
      <c r="E396" s="856"/>
      <c r="F396" s="857"/>
      <c r="G396" s="857"/>
      <c r="H396" s="857"/>
      <c r="I396" s="857"/>
      <c r="J396" s="857"/>
      <c r="K396" s="857"/>
      <c r="L396" s="857"/>
      <c r="M396" s="857"/>
      <c r="N396" s="857"/>
      <c r="O396" s="857"/>
      <c r="P396" s="857"/>
      <c r="Q396" s="857"/>
      <c r="R396" s="857"/>
      <c r="S396" s="857"/>
      <c r="T396" s="857"/>
      <c r="U396" s="857"/>
      <c r="V396" s="857"/>
      <c r="W396" s="857"/>
      <c r="X396" s="857"/>
      <c r="Y396" s="857"/>
      <c r="Z396" s="857"/>
      <c r="AA396" s="857"/>
      <c r="AB396" s="857"/>
      <c r="AC396" s="857"/>
      <c r="AD396" s="857"/>
      <c r="AE396" s="857"/>
      <c r="AF396" s="857"/>
      <c r="AG396" s="857"/>
      <c r="AH396" s="857"/>
      <c r="AI396" s="857"/>
    </row>
    <row r="397" spans="2:35" s="887" customFormat="1" ht="18" hidden="1" customHeight="1" x14ac:dyDescent="0.25">
      <c r="B397" s="873" t="s">
        <v>1332</v>
      </c>
      <c r="C397" s="876">
        <v>32905</v>
      </c>
      <c r="E397" s="856"/>
      <c r="F397" s="857"/>
      <c r="G397" s="857"/>
      <c r="H397" s="857"/>
      <c r="I397" s="857"/>
      <c r="J397" s="857"/>
      <c r="K397" s="857"/>
      <c r="L397" s="857"/>
      <c r="M397" s="857"/>
      <c r="N397" s="857"/>
      <c r="O397" s="857"/>
      <c r="P397" s="857"/>
      <c r="Q397" s="857"/>
      <c r="R397" s="857"/>
      <c r="S397" s="857"/>
      <c r="T397" s="857"/>
      <c r="U397" s="857"/>
      <c r="V397" s="857"/>
      <c r="W397" s="857"/>
      <c r="X397" s="857"/>
      <c r="Y397" s="857"/>
      <c r="Z397" s="857"/>
      <c r="AA397" s="857"/>
      <c r="AB397" s="857"/>
      <c r="AC397" s="857"/>
      <c r="AD397" s="857"/>
      <c r="AE397" s="857"/>
      <c r="AF397" s="857"/>
      <c r="AG397" s="857"/>
      <c r="AH397" s="857"/>
      <c r="AI397" s="857"/>
    </row>
    <row r="398" spans="2:35" s="887" customFormat="1" ht="18" hidden="1" customHeight="1" x14ac:dyDescent="0.25">
      <c r="B398" s="873" t="s">
        <v>1330</v>
      </c>
      <c r="C398" s="876">
        <v>32900</v>
      </c>
      <c r="E398" s="856"/>
      <c r="F398" s="857"/>
      <c r="G398" s="857"/>
      <c r="H398" s="857"/>
      <c r="I398" s="857"/>
      <c r="J398" s="857"/>
      <c r="K398" s="857"/>
      <c r="L398" s="857"/>
      <c r="M398" s="857"/>
      <c r="N398" s="857"/>
      <c r="O398" s="857"/>
      <c r="P398" s="857"/>
      <c r="Q398" s="857"/>
      <c r="R398" s="857"/>
      <c r="S398" s="857"/>
      <c r="T398" s="857"/>
      <c r="U398" s="857"/>
      <c r="V398" s="857"/>
      <c r="W398" s="857"/>
      <c r="X398" s="857"/>
      <c r="Y398" s="857"/>
      <c r="Z398" s="857"/>
      <c r="AA398" s="857"/>
      <c r="AB398" s="857"/>
      <c r="AC398" s="857"/>
      <c r="AD398" s="857"/>
      <c r="AE398" s="857"/>
      <c r="AF398" s="857"/>
      <c r="AG398" s="857"/>
      <c r="AH398" s="857"/>
      <c r="AI398" s="857"/>
    </row>
    <row r="399" spans="2:35" s="887" customFormat="1" ht="18" hidden="1" customHeight="1" x14ac:dyDescent="0.25">
      <c r="B399" s="873" t="s">
        <v>1335</v>
      </c>
      <c r="C399" s="876">
        <v>33000</v>
      </c>
      <c r="E399" s="856"/>
      <c r="F399" s="857"/>
      <c r="G399" s="857"/>
      <c r="H399" s="857"/>
      <c r="I399" s="857"/>
      <c r="J399" s="857"/>
      <c r="K399" s="857"/>
      <c r="L399" s="857"/>
      <c r="M399" s="857"/>
      <c r="N399" s="857"/>
      <c r="O399" s="857"/>
      <c r="P399" s="857"/>
      <c r="Q399" s="857"/>
      <c r="R399" s="857"/>
      <c r="S399" s="857"/>
      <c r="T399" s="857"/>
      <c r="U399" s="857"/>
      <c r="V399" s="857"/>
      <c r="W399" s="857"/>
      <c r="X399" s="857"/>
      <c r="Y399" s="857"/>
      <c r="Z399" s="857"/>
      <c r="AA399" s="857"/>
      <c r="AB399" s="857"/>
      <c r="AC399" s="857"/>
      <c r="AD399" s="857"/>
      <c r="AE399" s="857"/>
      <c r="AF399" s="857"/>
      <c r="AG399" s="857"/>
      <c r="AH399" s="857"/>
      <c r="AI399" s="857"/>
    </row>
    <row r="400" spans="2:35" s="887" customFormat="1" ht="18" hidden="1" customHeight="1" x14ac:dyDescent="0.25">
      <c r="B400" s="873" t="s">
        <v>1227</v>
      </c>
      <c r="C400" s="876">
        <v>10900</v>
      </c>
      <c r="E400" s="856"/>
      <c r="F400" s="857"/>
      <c r="G400" s="857"/>
      <c r="H400" s="857"/>
      <c r="I400" s="857"/>
      <c r="J400" s="857"/>
      <c r="K400" s="857"/>
      <c r="L400" s="857"/>
      <c r="M400" s="857"/>
      <c r="N400" s="857"/>
      <c r="O400" s="857"/>
      <c r="P400" s="857"/>
      <c r="Q400" s="857"/>
      <c r="R400" s="857"/>
      <c r="S400" s="857"/>
      <c r="T400" s="857"/>
      <c r="U400" s="857"/>
      <c r="V400" s="857"/>
      <c r="W400" s="857"/>
      <c r="X400" s="857"/>
      <c r="Y400" s="857"/>
      <c r="Z400" s="857"/>
      <c r="AA400" s="857"/>
      <c r="AB400" s="857"/>
      <c r="AC400" s="857"/>
      <c r="AD400" s="857"/>
      <c r="AE400" s="857"/>
      <c r="AF400" s="857"/>
      <c r="AG400" s="857"/>
      <c r="AH400" s="857"/>
      <c r="AI400" s="857"/>
    </row>
    <row r="401" spans="2:35" s="887" customFormat="1" ht="18" hidden="1" customHeight="1" x14ac:dyDescent="0.25">
      <c r="B401" s="873" t="s">
        <v>1247</v>
      </c>
      <c r="C401" s="876">
        <v>18400</v>
      </c>
      <c r="E401" s="856"/>
      <c r="F401" s="857"/>
      <c r="G401" s="857"/>
      <c r="H401" s="857"/>
      <c r="I401" s="857"/>
      <c r="J401" s="857"/>
      <c r="K401" s="857"/>
      <c r="L401" s="857"/>
      <c r="M401" s="857"/>
      <c r="N401" s="857"/>
      <c r="O401" s="857"/>
      <c r="P401" s="857"/>
      <c r="Q401" s="857"/>
      <c r="R401" s="857"/>
      <c r="S401" s="857"/>
      <c r="T401" s="857"/>
      <c r="U401" s="857"/>
      <c r="V401" s="857"/>
      <c r="W401" s="857"/>
      <c r="X401" s="857"/>
      <c r="Y401" s="857"/>
      <c r="Z401" s="857"/>
      <c r="AA401" s="857"/>
      <c r="AB401" s="857"/>
      <c r="AC401" s="857"/>
      <c r="AD401" s="857"/>
      <c r="AE401" s="857"/>
      <c r="AF401" s="857"/>
      <c r="AG401" s="857"/>
      <c r="AH401" s="857"/>
      <c r="AI401" s="857"/>
    </row>
    <row r="402" spans="2:35" s="887" customFormat="1" ht="18" hidden="1" customHeight="1" x14ac:dyDescent="0.25">
      <c r="B402" s="873" t="s">
        <v>1240</v>
      </c>
      <c r="C402" s="876">
        <v>12510</v>
      </c>
      <c r="E402" s="856"/>
      <c r="F402" s="857"/>
      <c r="G402" s="857"/>
      <c r="H402" s="857"/>
      <c r="I402" s="857"/>
      <c r="J402" s="857"/>
      <c r="K402" s="857"/>
      <c r="L402" s="857"/>
      <c r="M402" s="857"/>
      <c r="N402" s="857"/>
      <c r="O402" s="857"/>
      <c r="P402" s="857"/>
      <c r="Q402" s="857"/>
      <c r="R402" s="857"/>
      <c r="S402" s="857"/>
      <c r="T402" s="857"/>
      <c r="U402" s="857"/>
      <c r="V402" s="857"/>
      <c r="W402" s="857"/>
      <c r="X402" s="857"/>
      <c r="Y402" s="857"/>
      <c r="Z402" s="857"/>
      <c r="AA402" s="857"/>
      <c r="AB402" s="857"/>
      <c r="AC402" s="857"/>
      <c r="AD402" s="857"/>
      <c r="AE402" s="857"/>
      <c r="AF402" s="857"/>
      <c r="AG402" s="857"/>
      <c r="AH402" s="857"/>
      <c r="AI402" s="857"/>
    </row>
    <row r="403" spans="2:35" s="887" customFormat="1" ht="18" hidden="1" customHeight="1" x14ac:dyDescent="0.25">
      <c r="B403" s="873" t="s">
        <v>1224</v>
      </c>
      <c r="C403" s="876">
        <v>10700</v>
      </c>
      <c r="E403" s="856"/>
      <c r="F403" s="857"/>
      <c r="G403" s="857"/>
      <c r="H403" s="857"/>
      <c r="I403" s="857"/>
      <c r="J403" s="857"/>
      <c r="K403" s="857"/>
      <c r="L403" s="857"/>
      <c r="M403" s="857"/>
      <c r="N403" s="857"/>
      <c r="O403" s="857"/>
      <c r="P403" s="857"/>
      <c r="Q403" s="857"/>
      <c r="R403" s="857"/>
      <c r="S403" s="857"/>
      <c r="T403" s="857"/>
      <c r="U403" s="857"/>
      <c r="V403" s="857"/>
      <c r="W403" s="857"/>
      <c r="X403" s="857"/>
      <c r="Y403" s="857"/>
      <c r="Z403" s="857"/>
      <c r="AA403" s="857"/>
      <c r="AB403" s="857"/>
      <c r="AC403" s="857"/>
      <c r="AD403" s="857"/>
      <c r="AE403" s="857"/>
      <c r="AF403" s="857"/>
      <c r="AG403" s="857"/>
      <c r="AH403" s="857"/>
      <c r="AI403" s="857"/>
    </row>
    <row r="404" spans="2:35" s="887" customFormat="1" ht="18" hidden="1" customHeight="1" x14ac:dyDescent="0.25">
      <c r="B404" s="873" t="s">
        <v>1222</v>
      </c>
      <c r="C404" s="876">
        <v>10400</v>
      </c>
      <c r="E404" s="856"/>
      <c r="F404" s="857"/>
      <c r="G404" s="857"/>
      <c r="H404" s="857"/>
      <c r="I404" s="857"/>
      <c r="J404" s="857"/>
      <c r="K404" s="857"/>
      <c r="L404" s="857"/>
      <c r="M404" s="857"/>
      <c r="N404" s="857"/>
      <c r="O404" s="857"/>
      <c r="P404" s="857"/>
      <c r="Q404" s="857"/>
      <c r="R404" s="857"/>
      <c r="S404" s="857"/>
      <c r="T404" s="857"/>
      <c r="U404" s="857"/>
      <c r="V404" s="857"/>
      <c r="W404" s="857"/>
      <c r="X404" s="857"/>
      <c r="Y404" s="857"/>
      <c r="Z404" s="857"/>
      <c r="AA404" s="857"/>
      <c r="AB404" s="857"/>
      <c r="AC404" s="857"/>
      <c r="AD404" s="857"/>
      <c r="AE404" s="857"/>
      <c r="AF404" s="857"/>
      <c r="AG404" s="857"/>
      <c r="AH404" s="857"/>
      <c r="AI404" s="857"/>
    </row>
    <row r="405" spans="2:35" s="887" customFormat="1" ht="18" hidden="1" customHeight="1" x14ac:dyDescent="0.25">
      <c r="B405" s="873" t="s">
        <v>1270</v>
      </c>
      <c r="C405" s="876">
        <v>22000</v>
      </c>
      <c r="E405" s="856"/>
      <c r="F405" s="857"/>
      <c r="G405" s="857"/>
      <c r="H405" s="857"/>
      <c r="I405" s="857"/>
      <c r="J405" s="857"/>
      <c r="K405" s="857"/>
      <c r="L405" s="857"/>
      <c r="M405" s="857"/>
      <c r="N405" s="857"/>
      <c r="O405" s="857"/>
      <c r="P405" s="857"/>
      <c r="Q405" s="857"/>
      <c r="R405" s="857"/>
      <c r="S405" s="857"/>
      <c r="T405" s="857"/>
      <c r="U405" s="857"/>
      <c r="V405" s="857"/>
      <c r="W405" s="857"/>
      <c r="X405" s="857"/>
      <c r="Y405" s="857"/>
      <c r="Z405" s="857"/>
      <c r="AA405" s="857"/>
      <c r="AB405" s="857"/>
      <c r="AC405" s="857"/>
      <c r="AD405" s="857"/>
      <c r="AE405" s="857"/>
      <c r="AF405" s="857"/>
      <c r="AG405" s="857"/>
      <c r="AH405" s="857"/>
      <c r="AI405" s="857"/>
    </row>
    <row r="406" spans="2:35" s="887" customFormat="1" ht="18" hidden="1" customHeight="1" x14ac:dyDescent="0.25">
      <c r="B406" s="873" t="s">
        <v>1253</v>
      </c>
      <c r="C406" s="876">
        <v>19100</v>
      </c>
      <c r="E406" s="856"/>
      <c r="F406" s="857"/>
      <c r="G406" s="857"/>
      <c r="H406" s="857"/>
      <c r="I406" s="857"/>
      <c r="J406" s="857"/>
      <c r="K406" s="857"/>
      <c r="L406" s="857"/>
      <c r="M406" s="857"/>
      <c r="N406" s="857"/>
      <c r="O406" s="857"/>
      <c r="P406" s="857"/>
      <c r="Q406" s="857"/>
      <c r="R406" s="857"/>
      <c r="S406" s="857"/>
      <c r="T406" s="857"/>
      <c r="U406" s="857"/>
      <c r="V406" s="857"/>
      <c r="W406" s="857"/>
      <c r="X406" s="857"/>
      <c r="Y406" s="857"/>
      <c r="Z406" s="857"/>
      <c r="AA406" s="857"/>
      <c r="AB406" s="857"/>
      <c r="AC406" s="857"/>
      <c r="AD406" s="857"/>
      <c r="AE406" s="857"/>
      <c r="AF406" s="857"/>
      <c r="AG406" s="857"/>
      <c r="AH406" s="857"/>
      <c r="AI406" s="857"/>
    </row>
    <row r="407" spans="2:35" s="887" customFormat="1" ht="18" hidden="1" customHeight="1" x14ac:dyDescent="0.25">
      <c r="B407" s="873" t="s">
        <v>1338</v>
      </c>
      <c r="C407" s="876">
        <v>33100</v>
      </c>
      <c r="E407" s="856"/>
      <c r="F407" s="857"/>
      <c r="G407" s="857"/>
      <c r="H407" s="857"/>
      <c r="I407" s="857"/>
      <c r="J407" s="857"/>
      <c r="K407" s="857"/>
      <c r="L407" s="857"/>
      <c r="M407" s="857"/>
      <c r="N407" s="857"/>
      <c r="O407" s="857"/>
      <c r="P407" s="857"/>
      <c r="Q407" s="857"/>
      <c r="R407" s="857"/>
      <c r="S407" s="857"/>
      <c r="T407" s="857"/>
      <c r="U407" s="857"/>
      <c r="V407" s="857"/>
      <c r="W407" s="857"/>
      <c r="X407" s="857"/>
      <c r="Y407" s="857"/>
      <c r="Z407" s="857"/>
      <c r="AA407" s="857"/>
      <c r="AB407" s="857"/>
      <c r="AC407" s="857"/>
      <c r="AD407" s="857"/>
      <c r="AE407" s="857"/>
      <c r="AF407" s="857"/>
      <c r="AG407" s="857"/>
      <c r="AH407" s="857"/>
      <c r="AI407" s="857"/>
    </row>
    <row r="408" spans="2:35" s="887" customFormat="1" ht="18" hidden="1" customHeight="1" x14ac:dyDescent="0.25">
      <c r="B408" s="873" t="s">
        <v>1340</v>
      </c>
      <c r="C408" s="876">
        <v>33200</v>
      </c>
      <c r="E408" s="856"/>
      <c r="F408" s="857"/>
      <c r="G408" s="857"/>
      <c r="H408" s="857"/>
      <c r="I408" s="857"/>
      <c r="J408" s="857"/>
      <c r="K408" s="857"/>
      <c r="L408" s="857"/>
      <c r="M408" s="857"/>
      <c r="N408" s="857"/>
      <c r="O408" s="857"/>
      <c r="P408" s="857"/>
      <c r="Q408" s="857"/>
      <c r="R408" s="857"/>
      <c r="S408" s="857"/>
      <c r="T408" s="857"/>
      <c r="U408" s="857"/>
      <c r="V408" s="857"/>
      <c r="W408" s="857"/>
      <c r="X408" s="857"/>
      <c r="Y408" s="857"/>
      <c r="Z408" s="857"/>
      <c r="AA408" s="857"/>
      <c r="AB408" s="857"/>
      <c r="AC408" s="857"/>
      <c r="AD408" s="857"/>
      <c r="AE408" s="857"/>
      <c r="AF408" s="857"/>
      <c r="AG408" s="857"/>
      <c r="AH408" s="857"/>
      <c r="AI408" s="857"/>
    </row>
    <row r="409" spans="2:35" s="887" customFormat="1" ht="18" hidden="1" customHeight="1" x14ac:dyDescent="0.25">
      <c r="B409" s="873" t="s">
        <v>1344</v>
      </c>
      <c r="C409" s="876">
        <v>33205</v>
      </c>
      <c r="E409" s="856"/>
      <c r="F409" s="857"/>
      <c r="G409" s="857"/>
      <c r="H409" s="857"/>
      <c r="I409" s="857"/>
      <c r="J409" s="857"/>
      <c r="K409" s="857"/>
      <c r="L409" s="857"/>
      <c r="M409" s="857"/>
      <c r="N409" s="857"/>
      <c r="O409" s="857"/>
      <c r="P409" s="857"/>
      <c r="Q409" s="857"/>
      <c r="R409" s="857"/>
      <c r="S409" s="857"/>
      <c r="T409" s="857"/>
      <c r="U409" s="857"/>
      <c r="V409" s="857"/>
      <c r="W409" s="857"/>
      <c r="X409" s="857"/>
      <c r="Y409" s="857"/>
      <c r="Z409" s="857"/>
      <c r="AA409" s="857"/>
      <c r="AB409" s="857"/>
      <c r="AC409" s="857"/>
      <c r="AD409" s="857"/>
      <c r="AE409" s="857"/>
      <c r="AF409" s="857"/>
      <c r="AG409" s="857"/>
      <c r="AH409" s="857"/>
      <c r="AI409" s="857"/>
    </row>
    <row r="410" spans="2:35" s="887" customFormat="1" ht="18" hidden="1" customHeight="1" x14ac:dyDescent="0.25">
      <c r="B410" s="873" t="s">
        <v>1256</v>
      </c>
      <c r="C410" s="876">
        <v>20300</v>
      </c>
      <c r="E410" s="856"/>
      <c r="F410" s="857"/>
      <c r="G410" s="857"/>
      <c r="H410" s="857"/>
      <c r="I410" s="857"/>
      <c r="J410" s="857"/>
      <c r="K410" s="857"/>
      <c r="L410" s="857"/>
      <c r="M410" s="857"/>
      <c r="N410" s="857"/>
      <c r="O410" s="857"/>
      <c r="P410" s="857"/>
      <c r="Q410" s="857"/>
      <c r="R410" s="857"/>
      <c r="S410" s="857"/>
      <c r="T410" s="857"/>
      <c r="U410" s="857"/>
      <c r="V410" s="857"/>
      <c r="W410" s="857"/>
      <c r="X410" s="857"/>
      <c r="Y410" s="857"/>
      <c r="Z410" s="857"/>
      <c r="AA410" s="857"/>
      <c r="AB410" s="857"/>
      <c r="AC410" s="857"/>
      <c r="AD410" s="857"/>
      <c r="AE410" s="857"/>
      <c r="AF410" s="857"/>
      <c r="AG410" s="857"/>
      <c r="AH410" s="857"/>
      <c r="AI410" s="857"/>
    </row>
    <row r="411" spans="2:35" s="887" customFormat="1" ht="18" hidden="1" customHeight="1" x14ac:dyDescent="0.25">
      <c r="B411" s="873" t="s">
        <v>1491</v>
      </c>
      <c r="C411" s="876">
        <v>39208</v>
      </c>
      <c r="E411" s="856"/>
      <c r="F411" s="857"/>
      <c r="G411" s="857"/>
      <c r="H411" s="857"/>
      <c r="I411" s="857"/>
      <c r="J411" s="857"/>
      <c r="K411" s="857"/>
      <c r="L411" s="857"/>
      <c r="M411" s="857"/>
      <c r="N411" s="857"/>
      <c r="O411" s="857"/>
      <c r="P411" s="857"/>
      <c r="Q411" s="857"/>
      <c r="R411" s="857"/>
      <c r="S411" s="857"/>
      <c r="T411" s="857"/>
      <c r="U411" s="857"/>
      <c r="V411" s="857"/>
      <c r="W411" s="857"/>
      <c r="X411" s="857"/>
      <c r="Y411" s="857"/>
      <c r="Z411" s="857"/>
      <c r="AA411" s="857"/>
      <c r="AB411" s="857"/>
      <c r="AC411" s="857"/>
      <c r="AD411" s="857"/>
      <c r="AE411" s="857"/>
      <c r="AF411" s="857"/>
      <c r="AG411" s="857"/>
      <c r="AH411" s="857"/>
      <c r="AI411" s="857"/>
    </row>
    <row r="412" spans="2:35" s="887" customFormat="1" ht="18" hidden="1" customHeight="1" x14ac:dyDescent="0.25">
      <c r="B412" s="873" t="s">
        <v>1317</v>
      </c>
      <c r="C412" s="876">
        <v>32100</v>
      </c>
      <c r="E412" s="856"/>
      <c r="F412" s="857"/>
      <c r="G412" s="857"/>
      <c r="H412" s="857"/>
      <c r="I412" s="857"/>
      <c r="J412" s="857"/>
      <c r="K412" s="857"/>
      <c r="L412" s="857"/>
      <c r="M412" s="857"/>
      <c r="N412" s="857"/>
      <c r="O412" s="857"/>
      <c r="P412" s="857"/>
      <c r="Q412" s="857"/>
      <c r="R412" s="857"/>
      <c r="S412" s="857"/>
      <c r="T412" s="857"/>
      <c r="U412" s="857"/>
      <c r="V412" s="857"/>
      <c r="W412" s="857"/>
      <c r="X412" s="857"/>
      <c r="Y412" s="857"/>
      <c r="Z412" s="857"/>
      <c r="AA412" s="857"/>
      <c r="AB412" s="857"/>
      <c r="AC412" s="857"/>
      <c r="AD412" s="857"/>
      <c r="AE412" s="857"/>
      <c r="AF412" s="857"/>
      <c r="AG412" s="857"/>
      <c r="AH412" s="857"/>
      <c r="AI412" s="857"/>
    </row>
    <row r="413" spans="2:35" s="887" customFormat="1" ht="18" hidden="1" customHeight="1" x14ac:dyDescent="0.25">
      <c r="B413" s="873" t="s">
        <v>1349</v>
      </c>
      <c r="C413" s="876">
        <v>33300</v>
      </c>
      <c r="E413" s="856"/>
      <c r="F413" s="857"/>
      <c r="G413" s="857"/>
      <c r="H413" s="857"/>
      <c r="I413" s="857"/>
      <c r="J413" s="857"/>
      <c r="K413" s="857"/>
      <c r="L413" s="857"/>
      <c r="M413" s="857"/>
      <c r="N413" s="857"/>
      <c r="O413" s="857"/>
      <c r="P413" s="857"/>
      <c r="Q413" s="857"/>
      <c r="R413" s="857"/>
      <c r="S413" s="857"/>
      <c r="T413" s="857"/>
      <c r="U413" s="857"/>
      <c r="V413" s="857"/>
      <c r="W413" s="857"/>
      <c r="X413" s="857"/>
      <c r="Y413" s="857"/>
      <c r="Z413" s="857"/>
      <c r="AA413" s="857"/>
      <c r="AB413" s="857"/>
      <c r="AC413" s="857"/>
      <c r="AD413" s="857"/>
      <c r="AE413" s="857"/>
      <c r="AF413" s="857"/>
      <c r="AG413" s="857"/>
      <c r="AH413" s="857"/>
      <c r="AI413" s="857"/>
    </row>
    <row r="414" spans="2:35" s="887" customFormat="1" ht="18" hidden="1" customHeight="1" x14ac:dyDescent="0.25">
      <c r="B414" s="873" t="s">
        <v>1350</v>
      </c>
      <c r="C414" s="876">
        <v>33305</v>
      </c>
      <c r="E414" s="856"/>
      <c r="F414" s="857"/>
      <c r="G414" s="857"/>
      <c r="H414" s="857"/>
      <c r="I414" s="857"/>
      <c r="J414" s="857"/>
      <c r="K414" s="857"/>
      <c r="L414" s="857"/>
      <c r="M414" s="857"/>
      <c r="N414" s="857"/>
      <c r="O414" s="857"/>
      <c r="P414" s="857"/>
      <c r="Q414" s="857"/>
      <c r="R414" s="857"/>
      <c r="S414" s="857"/>
      <c r="T414" s="857"/>
      <c r="U414" s="857"/>
      <c r="V414" s="857"/>
      <c r="W414" s="857"/>
      <c r="X414" s="857"/>
      <c r="Y414" s="857"/>
      <c r="Z414" s="857"/>
      <c r="AA414" s="857"/>
      <c r="AB414" s="857"/>
      <c r="AC414" s="857"/>
      <c r="AD414" s="857"/>
      <c r="AE414" s="857"/>
      <c r="AF414" s="857"/>
      <c r="AG414" s="857"/>
      <c r="AH414" s="857"/>
      <c r="AI414" s="857"/>
    </row>
    <row r="415" spans="2:35" s="887" customFormat="1" ht="18" hidden="1" customHeight="1" x14ac:dyDescent="0.25">
      <c r="B415" s="873" t="s">
        <v>1438</v>
      </c>
      <c r="C415" s="876">
        <v>37000</v>
      </c>
      <c r="E415" s="856"/>
      <c r="F415" s="857"/>
      <c r="G415" s="857"/>
      <c r="H415" s="857"/>
      <c r="I415" s="857"/>
      <c r="J415" s="857"/>
      <c r="K415" s="857"/>
      <c r="L415" s="857"/>
      <c r="M415" s="857"/>
      <c r="N415" s="857"/>
      <c r="O415" s="857"/>
      <c r="P415" s="857"/>
      <c r="Q415" s="857"/>
      <c r="R415" s="857"/>
      <c r="S415" s="857"/>
      <c r="T415" s="857"/>
      <c r="U415" s="857"/>
      <c r="V415" s="857"/>
      <c r="W415" s="857"/>
      <c r="X415" s="857"/>
      <c r="Y415" s="857"/>
      <c r="Z415" s="857"/>
      <c r="AA415" s="857"/>
      <c r="AB415" s="857"/>
      <c r="AC415" s="857"/>
      <c r="AD415" s="857"/>
      <c r="AE415" s="857"/>
      <c r="AF415" s="857"/>
      <c r="AG415" s="857"/>
      <c r="AH415" s="857"/>
      <c r="AI415" s="857"/>
    </row>
    <row r="416" spans="2:35" s="887" customFormat="1" ht="18" hidden="1" customHeight="1" x14ac:dyDescent="0.25">
      <c r="B416" s="873" t="s">
        <v>1257</v>
      </c>
      <c r="C416" s="876">
        <v>20400</v>
      </c>
      <c r="E416" s="856"/>
      <c r="F416" s="857"/>
      <c r="G416" s="857"/>
      <c r="H416" s="857"/>
      <c r="I416" s="857"/>
      <c r="J416" s="857"/>
      <c r="K416" s="857"/>
      <c r="L416" s="857"/>
      <c r="M416" s="857"/>
      <c r="N416" s="857"/>
      <c r="O416" s="857"/>
      <c r="P416" s="857"/>
      <c r="Q416" s="857"/>
      <c r="R416" s="857"/>
      <c r="S416" s="857"/>
      <c r="T416" s="857"/>
      <c r="U416" s="857"/>
      <c r="V416" s="857"/>
      <c r="W416" s="857"/>
      <c r="X416" s="857"/>
      <c r="Y416" s="857"/>
      <c r="Z416" s="857"/>
      <c r="AA416" s="857"/>
      <c r="AB416" s="857"/>
      <c r="AC416" s="857"/>
      <c r="AD416" s="857"/>
      <c r="AE416" s="857"/>
      <c r="AF416" s="857"/>
      <c r="AG416" s="857"/>
      <c r="AH416" s="857"/>
      <c r="AI416" s="857"/>
    </row>
    <row r="417" spans="2:35" s="887" customFormat="1" ht="18" hidden="1" customHeight="1" x14ac:dyDescent="0.25">
      <c r="B417" s="873" t="s">
        <v>1477</v>
      </c>
      <c r="C417" s="876">
        <v>38620</v>
      </c>
      <c r="E417" s="856"/>
      <c r="F417" s="857"/>
      <c r="G417" s="857"/>
      <c r="H417" s="857"/>
      <c r="I417" s="857"/>
      <c r="J417" s="857"/>
      <c r="K417" s="857"/>
      <c r="L417" s="857"/>
      <c r="M417" s="857"/>
      <c r="N417" s="857"/>
      <c r="O417" s="857"/>
      <c r="P417" s="857"/>
      <c r="Q417" s="857"/>
      <c r="R417" s="857"/>
      <c r="S417" s="857"/>
      <c r="T417" s="857"/>
      <c r="U417" s="857"/>
      <c r="V417" s="857"/>
      <c r="W417" s="857"/>
      <c r="X417" s="857"/>
      <c r="Y417" s="857"/>
      <c r="Z417" s="857"/>
      <c r="AA417" s="857"/>
      <c r="AB417" s="857"/>
      <c r="AC417" s="857"/>
      <c r="AD417" s="857"/>
      <c r="AE417" s="857"/>
      <c r="AF417" s="857"/>
      <c r="AG417" s="857"/>
      <c r="AH417" s="857"/>
      <c r="AI417" s="857"/>
    </row>
    <row r="418" spans="2:35" s="887" customFormat="1" ht="18" hidden="1" customHeight="1" x14ac:dyDescent="0.25">
      <c r="B418" s="873" t="s">
        <v>1488</v>
      </c>
      <c r="C418" s="876">
        <v>39201</v>
      </c>
      <c r="E418" s="856"/>
      <c r="F418" s="857"/>
      <c r="G418" s="857"/>
      <c r="H418" s="857"/>
      <c r="I418" s="857"/>
      <c r="J418" s="857"/>
      <c r="K418" s="857"/>
      <c r="L418" s="857"/>
      <c r="M418" s="857"/>
      <c r="N418" s="857"/>
      <c r="O418" s="857"/>
      <c r="P418" s="857"/>
      <c r="Q418" s="857"/>
      <c r="R418" s="857"/>
      <c r="S418" s="857"/>
      <c r="T418" s="857"/>
      <c r="U418" s="857"/>
      <c r="V418" s="857"/>
      <c r="W418" s="857"/>
      <c r="X418" s="857"/>
      <c r="Y418" s="857"/>
      <c r="Z418" s="857"/>
      <c r="AA418" s="857"/>
      <c r="AB418" s="857"/>
      <c r="AC418" s="857"/>
      <c r="AD418" s="857"/>
      <c r="AE418" s="857"/>
      <c r="AF418" s="857"/>
      <c r="AG418" s="857"/>
      <c r="AH418" s="857"/>
      <c r="AI418" s="857"/>
    </row>
    <row r="419" spans="2:35" s="887" customFormat="1" ht="18" hidden="1" customHeight="1" x14ac:dyDescent="0.25">
      <c r="B419" s="873" t="s">
        <v>1232</v>
      </c>
      <c r="C419" s="876">
        <v>11300</v>
      </c>
      <c r="E419" s="856"/>
      <c r="F419" s="857"/>
      <c r="G419" s="857"/>
      <c r="H419" s="857"/>
      <c r="I419" s="857"/>
      <c r="J419" s="857"/>
      <c r="K419" s="857"/>
      <c r="L419" s="857"/>
      <c r="M419" s="857"/>
      <c r="N419" s="857"/>
      <c r="O419" s="857"/>
      <c r="P419" s="857"/>
      <c r="Q419" s="857"/>
      <c r="R419" s="857"/>
      <c r="S419" s="857"/>
      <c r="T419" s="857"/>
      <c r="U419" s="857"/>
      <c r="V419" s="857"/>
      <c r="W419" s="857"/>
      <c r="X419" s="857"/>
      <c r="Y419" s="857"/>
      <c r="Z419" s="857"/>
      <c r="AA419" s="857"/>
      <c r="AB419" s="857"/>
      <c r="AC419" s="857"/>
      <c r="AD419" s="857"/>
      <c r="AE419" s="857"/>
      <c r="AF419" s="857"/>
      <c r="AG419" s="857"/>
      <c r="AH419" s="857"/>
      <c r="AI419" s="857"/>
    </row>
    <row r="420" spans="2:35" s="887" customFormat="1" ht="18" hidden="1" customHeight="1" x14ac:dyDescent="0.25">
      <c r="B420" s="873" t="s">
        <v>1296</v>
      </c>
      <c r="C420" s="876">
        <v>31102</v>
      </c>
      <c r="E420" s="856"/>
      <c r="F420" s="857"/>
      <c r="G420" s="857"/>
      <c r="H420" s="857"/>
      <c r="I420" s="857"/>
      <c r="J420" s="857"/>
      <c r="K420" s="857"/>
      <c r="L420" s="857"/>
      <c r="M420" s="857"/>
      <c r="N420" s="857"/>
      <c r="O420" s="857"/>
      <c r="P420" s="857"/>
      <c r="Q420" s="857"/>
      <c r="R420" s="857"/>
      <c r="S420" s="857"/>
      <c r="T420" s="857"/>
      <c r="U420" s="857"/>
      <c r="V420" s="857"/>
      <c r="W420" s="857"/>
      <c r="X420" s="857"/>
      <c r="Y420" s="857"/>
      <c r="Z420" s="857"/>
      <c r="AA420" s="857"/>
      <c r="AB420" s="857"/>
      <c r="AC420" s="857"/>
      <c r="AD420" s="857"/>
      <c r="AE420" s="857"/>
      <c r="AF420" s="857"/>
      <c r="AG420" s="857"/>
      <c r="AH420" s="857"/>
      <c r="AI420" s="857"/>
    </row>
    <row r="421" spans="2:35" s="887" customFormat="1" ht="18" hidden="1" customHeight="1" x14ac:dyDescent="0.25">
      <c r="B421" s="873" t="s">
        <v>1295</v>
      </c>
      <c r="C421" s="876">
        <v>31101</v>
      </c>
      <c r="E421" s="856"/>
      <c r="F421" s="857"/>
      <c r="G421" s="857"/>
      <c r="H421" s="857"/>
      <c r="I421" s="857"/>
      <c r="J421" s="857"/>
      <c r="K421" s="857"/>
      <c r="L421" s="857"/>
      <c r="M421" s="857"/>
      <c r="N421" s="857"/>
      <c r="O421" s="857"/>
      <c r="P421" s="857"/>
      <c r="Q421" s="857"/>
      <c r="R421" s="857"/>
      <c r="S421" s="857"/>
      <c r="T421" s="857"/>
      <c r="U421" s="857"/>
      <c r="V421" s="857"/>
      <c r="W421" s="857"/>
      <c r="X421" s="857"/>
      <c r="Y421" s="857"/>
      <c r="Z421" s="857"/>
      <c r="AA421" s="857"/>
      <c r="AB421" s="857"/>
      <c r="AC421" s="857"/>
      <c r="AD421" s="857"/>
      <c r="AE421" s="857"/>
      <c r="AF421" s="857"/>
      <c r="AG421" s="857"/>
      <c r="AH421" s="857"/>
      <c r="AI421" s="857"/>
    </row>
    <row r="422" spans="2:35" s="887" customFormat="1" ht="18" hidden="1" customHeight="1" x14ac:dyDescent="0.25">
      <c r="B422" s="873" t="s">
        <v>1258</v>
      </c>
      <c r="C422" s="876">
        <v>20600</v>
      </c>
      <c r="E422" s="856"/>
      <c r="F422" s="857"/>
      <c r="G422" s="857"/>
      <c r="H422" s="857"/>
      <c r="I422" s="857"/>
      <c r="J422" s="857"/>
      <c r="K422" s="857"/>
      <c r="L422" s="857"/>
      <c r="M422" s="857"/>
      <c r="N422" s="857"/>
      <c r="O422" s="857"/>
      <c r="P422" s="857"/>
      <c r="Q422" s="857"/>
      <c r="R422" s="857"/>
      <c r="S422" s="857"/>
      <c r="T422" s="857"/>
      <c r="U422" s="857"/>
      <c r="V422" s="857"/>
      <c r="W422" s="857"/>
      <c r="X422" s="857"/>
      <c r="Y422" s="857"/>
      <c r="Z422" s="857"/>
      <c r="AA422" s="857"/>
      <c r="AB422" s="857"/>
      <c r="AC422" s="857"/>
      <c r="AD422" s="857"/>
      <c r="AE422" s="857"/>
      <c r="AF422" s="857"/>
      <c r="AG422" s="857"/>
      <c r="AH422" s="857"/>
      <c r="AI422" s="857"/>
    </row>
    <row r="423" spans="2:35" s="887" customFormat="1" ht="18" hidden="1" customHeight="1" x14ac:dyDescent="0.25">
      <c r="B423" s="873" t="s">
        <v>1327</v>
      </c>
      <c r="C423" s="876">
        <v>32605</v>
      </c>
      <c r="E423" s="856"/>
      <c r="F423" s="857"/>
      <c r="G423" s="857"/>
      <c r="H423" s="857"/>
      <c r="I423" s="857"/>
      <c r="J423" s="857"/>
      <c r="K423" s="857"/>
      <c r="L423" s="857"/>
      <c r="M423" s="857"/>
      <c r="N423" s="857"/>
      <c r="O423" s="857"/>
      <c r="P423" s="857"/>
      <c r="Q423" s="857"/>
      <c r="R423" s="857"/>
      <c r="S423" s="857"/>
      <c r="T423" s="857"/>
      <c r="U423" s="857"/>
      <c r="V423" s="857"/>
      <c r="W423" s="857"/>
      <c r="X423" s="857"/>
      <c r="Y423" s="857"/>
      <c r="Z423" s="857"/>
      <c r="AA423" s="857"/>
      <c r="AB423" s="857"/>
      <c r="AC423" s="857"/>
      <c r="AD423" s="857"/>
      <c r="AE423" s="857"/>
      <c r="AF423" s="857"/>
      <c r="AG423" s="857"/>
      <c r="AH423" s="857"/>
      <c r="AI423" s="857"/>
    </row>
    <row r="424" spans="2:35" s="887" customFormat="1" ht="18" hidden="1" customHeight="1" x14ac:dyDescent="0.25">
      <c r="B424" s="873" t="s">
        <v>1420</v>
      </c>
      <c r="C424" s="876">
        <v>36310</v>
      </c>
      <c r="E424" s="856"/>
      <c r="F424" s="857"/>
      <c r="G424" s="857"/>
      <c r="H424" s="857"/>
      <c r="I424" s="857"/>
      <c r="J424" s="857"/>
      <c r="K424" s="857"/>
      <c r="L424" s="857"/>
      <c r="M424" s="857"/>
      <c r="N424" s="857"/>
      <c r="O424" s="857"/>
      <c r="P424" s="857"/>
      <c r="Q424" s="857"/>
      <c r="R424" s="857"/>
      <c r="S424" s="857"/>
      <c r="T424" s="857"/>
      <c r="U424" s="857"/>
      <c r="V424" s="857"/>
      <c r="W424" s="857"/>
      <c r="X424" s="857"/>
      <c r="Y424" s="857"/>
      <c r="Z424" s="857"/>
      <c r="AA424" s="857"/>
      <c r="AB424" s="857"/>
      <c r="AC424" s="857"/>
      <c r="AD424" s="857"/>
      <c r="AE424" s="857"/>
      <c r="AF424" s="857"/>
      <c r="AG424" s="857"/>
      <c r="AH424" s="857"/>
      <c r="AI424" s="857"/>
    </row>
    <row r="425" spans="2:35" s="887" customFormat="1" ht="18" hidden="1" customHeight="1" x14ac:dyDescent="0.25">
      <c r="B425" s="873" t="s">
        <v>1704</v>
      </c>
      <c r="C425" s="876">
        <v>98111</v>
      </c>
      <c r="E425" s="856"/>
      <c r="F425" s="857"/>
      <c r="G425" s="857"/>
      <c r="H425" s="857"/>
      <c r="I425" s="857"/>
      <c r="J425" s="857"/>
      <c r="K425" s="857"/>
      <c r="L425" s="857"/>
      <c r="M425" s="857"/>
      <c r="N425" s="857"/>
      <c r="O425" s="857"/>
      <c r="P425" s="857"/>
      <c r="Q425" s="857"/>
      <c r="R425" s="857"/>
      <c r="S425" s="857"/>
      <c r="T425" s="857"/>
      <c r="U425" s="857"/>
      <c r="V425" s="857"/>
      <c r="W425" s="857"/>
      <c r="X425" s="857"/>
      <c r="Y425" s="857"/>
      <c r="Z425" s="857"/>
      <c r="AA425" s="857"/>
      <c r="AB425" s="857"/>
      <c r="AC425" s="857"/>
      <c r="AD425" s="857"/>
      <c r="AE425" s="857"/>
      <c r="AF425" s="857"/>
      <c r="AG425" s="857"/>
      <c r="AH425" s="857"/>
      <c r="AI425" s="857"/>
    </row>
    <row r="426" spans="2:35" s="887" customFormat="1" ht="18" hidden="1" customHeight="1" x14ac:dyDescent="0.25">
      <c r="B426" s="873" t="s">
        <v>1353</v>
      </c>
      <c r="C426" s="876">
        <v>33405</v>
      </c>
      <c r="E426" s="856"/>
      <c r="F426" s="857"/>
      <c r="G426" s="857"/>
      <c r="H426" s="857"/>
      <c r="I426" s="857"/>
      <c r="J426" s="857"/>
      <c r="K426" s="857"/>
      <c r="L426" s="857"/>
      <c r="M426" s="857"/>
      <c r="N426" s="857"/>
      <c r="O426" s="857"/>
      <c r="P426" s="857"/>
      <c r="Q426" s="857"/>
      <c r="R426" s="857"/>
      <c r="S426" s="857"/>
      <c r="T426" s="857"/>
      <c r="U426" s="857"/>
      <c r="V426" s="857"/>
      <c r="W426" s="857"/>
      <c r="X426" s="857"/>
      <c r="Y426" s="857"/>
      <c r="Z426" s="857"/>
      <c r="AA426" s="857"/>
      <c r="AB426" s="857"/>
      <c r="AC426" s="857"/>
      <c r="AD426" s="857"/>
      <c r="AE426" s="857"/>
      <c r="AF426" s="857"/>
      <c r="AG426" s="857"/>
      <c r="AH426" s="857"/>
      <c r="AI426" s="857"/>
    </row>
    <row r="427" spans="2:35" s="887" customFormat="1" ht="18" hidden="1" customHeight="1" x14ac:dyDescent="0.25">
      <c r="B427" s="873" t="s">
        <v>1354</v>
      </c>
      <c r="C427" s="876">
        <v>33500</v>
      </c>
      <c r="E427" s="856"/>
      <c r="F427" s="857"/>
      <c r="G427" s="857"/>
      <c r="H427" s="857"/>
      <c r="I427" s="857"/>
      <c r="J427" s="857"/>
      <c r="K427" s="857"/>
      <c r="L427" s="857"/>
      <c r="M427" s="857"/>
      <c r="N427" s="857"/>
      <c r="O427" s="857"/>
      <c r="P427" s="857"/>
      <c r="Q427" s="857"/>
      <c r="R427" s="857"/>
      <c r="S427" s="857"/>
      <c r="T427" s="857"/>
      <c r="U427" s="857"/>
      <c r="V427" s="857"/>
      <c r="W427" s="857"/>
      <c r="X427" s="857"/>
      <c r="Y427" s="857"/>
      <c r="Z427" s="857"/>
      <c r="AA427" s="857"/>
      <c r="AB427" s="857"/>
      <c r="AC427" s="857"/>
      <c r="AD427" s="857"/>
      <c r="AE427" s="857"/>
      <c r="AF427" s="857"/>
      <c r="AG427" s="857"/>
      <c r="AH427" s="857"/>
      <c r="AI427" s="857"/>
    </row>
    <row r="428" spans="2:35" s="887" customFormat="1" ht="18" hidden="1" customHeight="1" x14ac:dyDescent="0.25">
      <c r="B428" s="873" t="s">
        <v>1357</v>
      </c>
      <c r="C428" s="876">
        <v>33605</v>
      </c>
      <c r="E428" s="856"/>
      <c r="F428" s="857"/>
      <c r="G428" s="857"/>
      <c r="H428" s="857"/>
      <c r="I428" s="857"/>
      <c r="J428" s="857"/>
      <c r="K428" s="857"/>
      <c r="L428" s="857"/>
      <c r="M428" s="857"/>
      <c r="N428" s="857"/>
      <c r="O428" s="857"/>
      <c r="P428" s="857"/>
      <c r="Q428" s="857"/>
      <c r="R428" s="857"/>
      <c r="S428" s="857"/>
      <c r="T428" s="857"/>
      <c r="U428" s="857"/>
      <c r="V428" s="857"/>
      <c r="W428" s="857"/>
      <c r="X428" s="857"/>
      <c r="Y428" s="857"/>
      <c r="Z428" s="857"/>
      <c r="AA428" s="857"/>
      <c r="AB428" s="857"/>
      <c r="AC428" s="857"/>
      <c r="AD428" s="857"/>
      <c r="AE428" s="857"/>
      <c r="AF428" s="857"/>
      <c r="AG428" s="857"/>
      <c r="AH428" s="857"/>
      <c r="AI428" s="857"/>
    </row>
    <row r="429" spans="2:35" s="887" customFormat="1" ht="18" hidden="1" customHeight="1" x14ac:dyDescent="0.25">
      <c r="B429" s="873" t="s">
        <v>1428</v>
      </c>
      <c r="C429" s="876">
        <v>36601</v>
      </c>
      <c r="E429" s="856"/>
      <c r="F429" s="857"/>
      <c r="G429" s="857"/>
      <c r="H429" s="857"/>
      <c r="I429" s="857"/>
      <c r="J429" s="857"/>
      <c r="K429" s="857"/>
      <c r="L429" s="857"/>
      <c r="M429" s="857"/>
      <c r="N429" s="857"/>
      <c r="O429" s="857"/>
      <c r="P429" s="857"/>
      <c r="Q429" s="857"/>
      <c r="R429" s="857"/>
      <c r="S429" s="857"/>
      <c r="T429" s="857"/>
      <c r="U429" s="857"/>
      <c r="V429" s="857"/>
      <c r="W429" s="857"/>
      <c r="X429" s="857"/>
      <c r="Y429" s="857"/>
      <c r="Z429" s="857"/>
      <c r="AA429" s="857"/>
      <c r="AB429" s="857"/>
      <c r="AC429" s="857"/>
      <c r="AD429" s="857"/>
      <c r="AE429" s="857"/>
      <c r="AF429" s="857"/>
      <c r="AG429" s="857"/>
      <c r="AH429" s="857"/>
      <c r="AI429" s="857"/>
    </row>
    <row r="430" spans="2:35" s="887" customFormat="1" ht="18" hidden="1" customHeight="1" x14ac:dyDescent="0.25">
      <c r="B430" s="873" t="s">
        <v>1356</v>
      </c>
      <c r="C430" s="876">
        <v>33600</v>
      </c>
      <c r="E430" s="856"/>
      <c r="F430" s="857"/>
      <c r="G430" s="857"/>
      <c r="H430" s="857"/>
      <c r="I430" s="857"/>
      <c r="J430" s="857"/>
      <c r="K430" s="857"/>
      <c r="L430" s="857"/>
      <c r="M430" s="857"/>
      <c r="N430" s="857"/>
      <c r="O430" s="857"/>
      <c r="P430" s="857"/>
      <c r="Q430" s="857"/>
      <c r="R430" s="857"/>
      <c r="S430" s="857"/>
      <c r="T430" s="857"/>
      <c r="U430" s="857"/>
      <c r="V430" s="857"/>
      <c r="W430" s="857"/>
      <c r="X430" s="857"/>
      <c r="Y430" s="857"/>
      <c r="Z430" s="857"/>
      <c r="AA430" s="857"/>
      <c r="AB430" s="857"/>
      <c r="AC430" s="857"/>
      <c r="AD430" s="857"/>
      <c r="AE430" s="857"/>
      <c r="AF430" s="857"/>
      <c r="AG430" s="857"/>
      <c r="AH430" s="857"/>
      <c r="AI430" s="857"/>
    </row>
    <row r="431" spans="2:35" s="887" customFormat="1" ht="18" hidden="1" customHeight="1" x14ac:dyDescent="0.25">
      <c r="B431" s="873" t="s">
        <v>1358</v>
      </c>
      <c r="C431" s="876">
        <v>33700</v>
      </c>
      <c r="E431" s="856"/>
      <c r="F431" s="857"/>
      <c r="G431" s="857"/>
      <c r="H431" s="857"/>
      <c r="I431" s="857"/>
      <c r="J431" s="857"/>
      <c r="K431" s="857"/>
      <c r="L431" s="857"/>
      <c r="M431" s="857"/>
      <c r="N431" s="857"/>
      <c r="O431" s="857"/>
      <c r="P431" s="857"/>
      <c r="Q431" s="857"/>
      <c r="R431" s="857"/>
      <c r="S431" s="857"/>
      <c r="T431" s="857"/>
      <c r="U431" s="857"/>
      <c r="V431" s="857"/>
      <c r="W431" s="857"/>
      <c r="X431" s="857"/>
      <c r="Y431" s="857"/>
      <c r="Z431" s="857"/>
      <c r="AA431" s="857"/>
      <c r="AB431" s="857"/>
      <c r="AC431" s="857"/>
      <c r="AD431" s="857"/>
      <c r="AE431" s="857"/>
      <c r="AF431" s="857"/>
      <c r="AG431" s="857"/>
      <c r="AH431" s="857"/>
      <c r="AI431" s="857"/>
    </row>
    <row r="432" spans="2:35" s="887" customFormat="1" ht="18" hidden="1" customHeight="1" x14ac:dyDescent="0.25">
      <c r="B432" s="873" t="s">
        <v>1238</v>
      </c>
      <c r="C432" s="876">
        <v>12160</v>
      </c>
      <c r="E432" s="856"/>
      <c r="F432" s="857"/>
      <c r="G432" s="857"/>
      <c r="H432" s="857"/>
      <c r="I432" s="857"/>
      <c r="J432" s="857"/>
      <c r="K432" s="857"/>
      <c r="L432" s="857"/>
      <c r="M432" s="857"/>
      <c r="N432" s="857"/>
      <c r="O432" s="857"/>
      <c r="P432" s="857"/>
      <c r="Q432" s="857"/>
      <c r="R432" s="857"/>
      <c r="S432" s="857"/>
      <c r="T432" s="857"/>
      <c r="U432" s="857"/>
      <c r="V432" s="857"/>
      <c r="W432" s="857"/>
      <c r="X432" s="857"/>
      <c r="Y432" s="857"/>
      <c r="Z432" s="857"/>
      <c r="AA432" s="857"/>
      <c r="AB432" s="857"/>
      <c r="AC432" s="857"/>
      <c r="AD432" s="857"/>
      <c r="AE432" s="857"/>
      <c r="AF432" s="857"/>
      <c r="AG432" s="857"/>
      <c r="AH432" s="857"/>
      <c r="AI432" s="857"/>
    </row>
    <row r="433" spans="2:35" s="887" customFormat="1" ht="18" hidden="1" customHeight="1" x14ac:dyDescent="0.25">
      <c r="B433" s="873" t="s">
        <v>1236</v>
      </c>
      <c r="C433" s="876">
        <v>12100</v>
      </c>
      <c r="E433" s="856"/>
      <c r="F433" s="857"/>
      <c r="G433" s="857"/>
      <c r="H433" s="857"/>
      <c r="I433" s="857"/>
      <c r="J433" s="857"/>
      <c r="K433" s="857"/>
      <c r="L433" s="857"/>
      <c r="M433" s="857"/>
      <c r="N433" s="857"/>
      <c r="O433" s="857"/>
      <c r="P433" s="857"/>
      <c r="Q433" s="857"/>
      <c r="R433" s="857"/>
      <c r="S433" s="857"/>
      <c r="T433" s="857"/>
      <c r="U433" s="857"/>
      <c r="V433" s="857"/>
      <c r="W433" s="857"/>
      <c r="X433" s="857"/>
      <c r="Y433" s="857"/>
      <c r="Z433" s="857"/>
      <c r="AA433" s="857"/>
      <c r="AB433" s="857"/>
      <c r="AC433" s="857"/>
      <c r="AD433" s="857"/>
      <c r="AE433" s="857"/>
      <c r="AF433" s="857"/>
      <c r="AG433" s="857"/>
      <c r="AH433" s="857"/>
      <c r="AI433" s="857"/>
    </row>
    <row r="434" spans="2:35" s="887" customFormat="1" ht="18" hidden="1" customHeight="1" x14ac:dyDescent="0.25">
      <c r="B434" s="873" t="s">
        <v>1359</v>
      </c>
      <c r="C434" s="876">
        <v>33800</v>
      </c>
      <c r="E434" s="856"/>
      <c r="F434" s="857"/>
      <c r="G434" s="857"/>
      <c r="H434" s="857"/>
      <c r="I434" s="857"/>
      <c r="J434" s="857"/>
      <c r="K434" s="857"/>
      <c r="L434" s="857"/>
      <c r="M434" s="857"/>
      <c r="N434" s="857"/>
      <c r="O434" s="857"/>
      <c r="P434" s="857"/>
      <c r="Q434" s="857"/>
      <c r="R434" s="857"/>
      <c r="S434" s="857"/>
      <c r="T434" s="857"/>
      <c r="U434" s="857"/>
      <c r="V434" s="857"/>
      <c r="W434" s="857"/>
      <c r="X434" s="857"/>
      <c r="Y434" s="857"/>
      <c r="Z434" s="857"/>
      <c r="AA434" s="857"/>
      <c r="AB434" s="857"/>
      <c r="AC434" s="857"/>
      <c r="AD434" s="857"/>
      <c r="AE434" s="857"/>
      <c r="AF434" s="857"/>
      <c r="AG434" s="857"/>
      <c r="AH434" s="857"/>
      <c r="AI434" s="857"/>
    </row>
    <row r="435" spans="2:35" s="887" customFormat="1" ht="18" hidden="1" customHeight="1" x14ac:dyDescent="0.25">
      <c r="B435" s="873" t="s">
        <v>1286</v>
      </c>
      <c r="C435" s="876">
        <v>30601</v>
      </c>
      <c r="E435" s="856"/>
      <c r="F435" s="857"/>
      <c r="G435" s="857"/>
      <c r="H435" s="857"/>
      <c r="I435" s="857"/>
      <c r="J435" s="857"/>
      <c r="K435" s="857"/>
      <c r="L435" s="857"/>
      <c r="M435" s="857"/>
      <c r="N435" s="857"/>
      <c r="O435" s="857"/>
      <c r="P435" s="857"/>
      <c r="Q435" s="857"/>
      <c r="R435" s="857"/>
      <c r="S435" s="857"/>
      <c r="T435" s="857"/>
      <c r="U435" s="857"/>
      <c r="V435" s="857"/>
      <c r="W435" s="857"/>
      <c r="X435" s="857"/>
      <c r="Y435" s="857"/>
      <c r="Z435" s="857"/>
      <c r="AA435" s="857"/>
      <c r="AB435" s="857"/>
      <c r="AC435" s="857"/>
      <c r="AD435" s="857"/>
      <c r="AE435" s="857"/>
      <c r="AF435" s="857"/>
      <c r="AG435" s="857"/>
      <c r="AH435" s="857"/>
      <c r="AI435" s="857"/>
    </row>
    <row r="436" spans="2:35" ht="26.25" hidden="1" x14ac:dyDescent="0.25">
      <c r="B436" s="873" t="s">
        <v>1360</v>
      </c>
      <c r="C436" s="876">
        <v>33900</v>
      </c>
    </row>
    <row r="437" spans="2:35" hidden="1" x14ac:dyDescent="0.25">
      <c r="B437" s="873" t="s">
        <v>1469</v>
      </c>
      <c r="C437" s="876">
        <v>38402</v>
      </c>
    </row>
    <row r="438" spans="2:35" hidden="1" x14ac:dyDescent="0.25">
      <c r="B438" s="873" t="s">
        <v>1361</v>
      </c>
      <c r="C438" s="876">
        <v>34000</v>
      </c>
    </row>
    <row r="439" spans="2:35" hidden="1" x14ac:dyDescent="0.25">
      <c r="B439" s="873" t="s">
        <v>1362</v>
      </c>
      <c r="C439" s="876">
        <v>34100</v>
      </c>
    </row>
    <row r="440" spans="2:35" hidden="1" x14ac:dyDescent="0.25">
      <c r="B440" s="873" t="s">
        <v>1363</v>
      </c>
      <c r="C440" s="876">
        <v>34105</v>
      </c>
    </row>
    <row r="441" spans="2:35" hidden="1" x14ac:dyDescent="0.25">
      <c r="B441" s="873" t="s">
        <v>1365</v>
      </c>
      <c r="C441" s="876">
        <v>34205</v>
      </c>
    </row>
    <row r="442" spans="2:35" hidden="1" x14ac:dyDescent="0.25">
      <c r="B442" s="873" t="s">
        <v>1364</v>
      </c>
      <c r="C442" s="876">
        <v>34200</v>
      </c>
    </row>
    <row r="443" spans="2:35" hidden="1" x14ac:dyDescent="0.25">
      <c r="B443" s="873" t="s">
        <v>1494</v>
      </c>
      <c r="C443" s="876">
        <v>39301</v>
      </c>
    </row>
    <row r="444" spans="2:35" hidden="1" x14ac:dyDescent="0.25">
      <c r="B444" s="873" t="s">
        <v>1368</v>
      </c>
      <c r="C444" s="876">
        <v>34300</v>
      </c>
    </row>
    <row r="445" spans="2:35" hidden="1" x14ac:dyDescent="0.25">
      <c r="B445" s="873" t="s">
        <v>1369</v>
      </c>
      <c r="C445" s="876">
        <v>34400</v>
      </c>
    </row>
    <row r="446" spans="2:35" hidden="1" x14ac:dyDescent="0.25">
      <c r="B446" s="873" t="s">
        <v>1370</v>
      </c>
      <c r="C446" s="876">
        <v>34405</v>
      </c>
    </row>
    <row r="447" spans="2:35" hidden="1" x14ac:dyDescent="0.25">
      <c r="B447" s="873" t="s">
        <v>1239</v>
      </c>
      <c r="C447" s="876">
        <v>12220</v>
      </c>
    </row>
    <row r="448" spans="2:35" hidden="1" x14ac:dyDescent="0.25">
      <c r="B448" s="873" t="s">
        <v>1342</v>
      </c>
      <c r="C448" s="876">
        <v>33203</v>
      </c>
    </row>
    <row r="449" spans="2:3" hidden="1" x14ac:dyDescent="0.25">
      <c r="B449" s="873" t="s">
        <v>1496</v>
      </c>
      <c r="C449" s="876">
        <v>39401</v>
      </c>
    </row>
    <row r="450" spans="2:3" hidden="1" x14ac:dyDescent="0.25">
      <c r="B450" s="873" t="s">
        <v>1371</v>
      </c>
      <c r="C450" s="876">
        <v>34500</v>
      </c>
    </row>
    <row r="451" spans="2:3" hidden="1" x14ac:dyDescent="0.25">
      <c r="B451" s="873" t="s">
        <v>1374</v>
      </c>
      <c r="C451" s="876">
        <v>34600</v>
      </c>
    </row>
    <row r="452" spans="2:3" hidden="1" x14ac:dyDescent="0.25">
      <c r="B452" s="873" t="s">
        <v>1312</v>
      </c>
      <c r="C452" s="876">
        <v>31810</v>
      </c>
    </row>
    <row r="453" spans="2:3" hidden="1" x14ac:dyDescent="0.25">
      <c r="B453" s="873" t="s">
        <v>1508</v>
      </c>
      <c r="C453" s="876">
        <v>51000</v>
      </c>
    </row>
    <row r="454" spans="2:3" hidden="1" x14ac:dyDescent="0.25">
      <c r="B454" s="873" t="s">
        <v>1376</v>
      </c>
      <c r="C454" s="876">
        <v>34700</v>
      </c>
    </row>
    <row r="455" spans="2:3" hidden="1" x14ac:dyDescent="0.25">
      <c r="B455" s="873" t="s">
        <v>1377</v>
      </c>
      <c r="C455" s="876">
        <v>34800</v>
      </c>
    </row>
    <row r="456" spans="2:3" hidden="1" x14ac:dyDescent="0.25">
      <c r="B456" s="873" t="s">
        <v>1229</v>
      </c>
      <c r="C456" s="876">
        <v>10930</v>
      </c>
    </row>
    <row r="457" spans="2:3" hidden="1" x14ac:dyDescent="0.25">
      <c r="B457" s="873" t="s">
        <v>1241</v>
      </c>
      <c r="C457" s="876">
        <v>12600</v>
      </c>
    </row>
    <row r="458" spans="2:3" hidden="1" x14ac:dyDescent="0.25">
      <c r="B458" s="873" t="s">
        <v>1346</v>
      </c>
      <c r="C458" s="876">
        <v>33207</v>
      </c>
    </row>
    <row r="459" spans="2:3" hidden="1" x14ac:dyDescent="0.25">
      <c r="B459" s="873" t="s">
        <v>1331</v>
      </c>
      <c r="C459" s="876">
        <v>32901</v>
      </c>
    </row>
    <row r="460" spans="2:3" hidden="1" x14ac:dyDescent="0.25">
      <c r="B460" s="873" t="s">
        <v>1378</v>
      </c>
      <c r="C460" s="876">
        <v>34900</v>
      </c>
    </row>
    <row r="461" spans="2:3" hidden="1" x14ac:dyDescent="0.25">
      <c r="B461" s="873" t="s">
        <v>1463</v>
      </c>
      <c r="C461" s="876">
        <v>38105</v>
      </c>
    </row>
    <row r="462" spans="2:3" hidden="1" x14ac:dyDescent="0.25">
      <c r="B462" s="873" t="s">
        <v>1383</v>
      </c>
      <c r="C462" s="876">
        <v>35000</v>
      </c>
    </row>
    <row r="463" spans="2:3" hidden="1" x14ac:dyDescent="0.25">
      <c r="B463" s="873" t="s">
        <v>1339</v>
      </c>
      <c r="C463" s="876">
        <v>33105</v>
      </c>
    </row>
    <row r="464" spans="2:3" hidden="1" x14ac:dyDescent="0.25">
      <c r="B464" s="873" t="s">
        <v>1385</v>
      </c>
      <c r="C464" s="876">
        <v>35100</v>
      </c>
    </row>
    <row r="465" spans="2:3" hidden="1" x14ac:dyDescent="0.25">
      <c r="B465" s="873" t="s">
        <v>1386</v>
      </c>
      <c r="C465" s="876">
        <v>35105</v>
      </c>
    </row>
    <row r="466" spans="2:3" hidden="1" x14ac:dyDescent="0.25">
      <c r="B466" s="873" t="s">
        <v>1388</v>
      </c>
      <c r="C466" s="876">
        <v>35200</v>
      </c>
    </row>
    <row r="467" spans="2:3" hidden="1" x14ac:dyDescent="0.25">
      <c r="B467" s="873" t="s">
        <v>1303</v>
      </c>
      <c r="C467" s="876">
        <v>31320</v>
      </c>
    </row>
    <row r="468" spans="2:3" hidden="1" x14ac:dyDescent="0.25">
      <c r="B468" s="873" t="s">
        <v>1403</v>
      </c>
      <c r="C468" s="876">
        <v>36002</v>
      </c>
    </row>
    <row r="469" spans="2:3" hidden="1" x14ac:dyDescent="0.25">
      <c r="B469" s="873" t="s">
        <v>1412</v>
      </c>
      <c r="C469" s="876">
        <v>36102</v>
      </c>
    </row>
    <row r="470" spans="2:3" hidden="1" x14ac:dyDescent="0.25">
      <c r="B470" s="873" t="s">
        <v>1347</v>
      </c>
      <c r="C470" s="876">
        <v>33208</v>
      </c>
    </row>
    <row r="471" spans="2:3" hidden="1" x14ac:dyDescent="0.25">
      <c r="B471" s="873" t="s">
        <v>1242</v>
      </c>
      <c r="C471" s="876">
        <v>12700</v>
      </c>
    </row>
    <row r="472" spans="2:3" hidden="1" x14ac:dyDescent="0.25">
      <c r="B472" s="873" t="s">
        <v>1705</v>
      </c>
      <c r="C472" s="876">
        <v>98131</v>
      </c>
    </row>
    <row r="473" spans="2:3" hidden="1" x14ac:dyDescent="0.25">
      <c r="B473" s="873" t="s">
        <v>1407</v>
      </c>
      <c r="C473" s="876">
        <v>36006</v>
      </c>
    </row>
    <row r="474" spans="2:3" hidden="1" x14ac:dyDescent="0.25">
      <c r="B474" s="873" t="s">
        <v>1511</v>
      </c>
      <c r="C474" s="876">
        <v>60000</v>
      </c>
    </row>
    <row r="475" spans="2:3" hidden="1" x14ac:dyDescent="0.25">
      <c r="B475" s="873" t="s">
        <v>1393</v>
      </c>
      <c r="C475" s="876">
        <v>35405</v>
      </c>
    </row>
    <row r="476" spans="2:3" hidden="1" x14ac:dyDescent="0.25">
      <c r="B476" s="873" t="s">
        <v>1391</v>
      </c>
      <c r="C476" s="876">
        <v>35400</v>
      </c>
    </row>
    <row r="477" spans="2:3" hidden="1" x14ac:dyDescent="0.25">
      <c r="B477" s="873" t="s">
        <v>1333</v>
      </c>
      <c r="C477" s="876">
        <v>32910</v>
      </c>
    </row>
    <row r="478" spans="2:3" hidden="1" x14ac:dyDescent="0.25">
      <c r="B478" s="873" t="s">
        <v>1394</v>
      </c>
      <c r="C478" s="876">
        <v>35500</v>
      </c>
    </row>
    <row r="479" spans="2:3" hidden="1" x14ac:dyDescent="0.25">
      <c r="B479" s="873" t="s">
        <v>1237</v>
      </c>
      <c r="C479" s="876">
        <v>12150</v>
      </c>
    </row>
    <row r="480" spans="2:3" hidden="1" x14ac:dyDescent="0.25">
      <c r="B480" s="873" t="s">
        <v>1395</v>
      </c>
      <c r="C480" s="876">
        <v>35600</v>
      </c>
    </row>
    <row r="481" spans="2:3" hidden="1" x14ac:dyDescent="0.25">
      <c r="B481" s="873" t="s">
        <v>1396</v>
      </c>
      <c r="C481" s="876">
        <v>35700</v>
      </c>
    </row>
    <row r="482" spans="2:3" hidden="1" x14ac:dyDescent="0.25">
      <c r="B482" s="873" t="s">
        <v>1398</v>
      </c>
      <c r="C482" s="876">
        <v>35805</v>
      </c>
    </row>
    <row r="483" spans="2:3" hidden="1" x14ac:dyDescent="0.25">
      <c r="B483" s="873" t="s">
        <v>1397</v>
      </c>
      <c r="C483" s="876">
        <v>35800</v>
      </c>
    </row>
    <row r="484" spans="2:3" hidden="1" x14ac:dyDescent="0.25">
      <c r="B484" s="873" t="s">
        <v>1413</v>
      </c>
      <c r="C484" s="876">
        <v>36105</v>
      </c>
    </row>
    <row r="485" spans="2:3" hidden="1" x14ac:dyDescent="0.25">
      <c r="B485" s="873" t="s">
        <v>1399</v>
      </c>
      <c r="C485" s="876">
        <v>35900</v>
      </c>
    </row>
    <row r="486" spans="2:3" hidden="1" x14ac:dyDescent="0.25">
      <c r="B486" s="873" t="s">
        <v>1400</v>
      </c>
      <c r="C486" s="876">
        <v>35905</v>
      </c>
    </row>
    <row r="487" spans="2:3" hidden="1" x14ac:dyDescent="0.25">
      <c r="B487" s="873" t="s">
        <v>1474</v>
      </c>
      <c r="C487" s="876">
        <v>38602</v>
      </c>
    </row>
    <row r="488" spans="2:3" hidden="1" x14ac:dyDescent="0.25">
      <c r="B488" s="873" t="s">
        <v>1381</v>
      </c>
      <c r="C488" s="876">
        <v>34905</v>
      </c>
    </row>
    <row r="489" spans="2:3" hidden="1" x14ac:dyDescent="0.25">
      <c r="B489" s="873" t="s">
        <v>1411</v>
      </c>
      <c r="C489" s="876">
        <v>36100</v>
      </c>
    </row>
    <row r="490" spans="2:3" hidden="1" x14ac:dyDescent="0.25">
      <c r="B490" s="873" t="s">
        <v>1415</v>
      </c>
      <c r="C490" s="876">
        <v>36205</v>
      </c>
    </row>
    <row r="491" spans="2:3" hidden="1" x14ac:dyDescent="0.25">
      <c r="B491" s="873" t="s">
        <v>1414</v>
      </c>
      <c r="C491" s="876">
        <v>36200</v>
      </c>
    </row>
    <row r="492" spans="2:3" hidden="1" x14ac:dyDescent="0.25">
      <c r="B492" s="873" t="s">
        <v>1416</v>
      </c>
      <c r="C492" s="876">
        <v>36300</v>
      </c>
    </row>
    <row r="493" spans="2:3" hidden="1" x14ac:dyDescent="0.25">
      <c r="B493" s="873" t="s">
        <v>1382</v>
      </c>
      <c r="C493" s="876">
        <v>34910</v>
      </c>
    </row>
    <row r="494" spans="2:3" hidden="1" x14ac:dyDescent="0.25">
      <c r="B494" s="873" t="s">
        <v>1476</v>
      </c>
      <c r="C494" s="876">
        <v>38610</v>
      </c>
    </row>
    <row r="495" spans="2:3" hidden="1" x14ac:dyDescent="0.25">
      <c r="B495" s="873" t="s">
        <v>1372</v>
      </c>
      <c r="C495" s="876">
        <v>34501</v>
      </c>
    </row>
    <row r="496" spans="2:3" hidden="1" x14ac:dyDescent="0.25">
      <c r="B496" s="873" t="s">
        <v>1479</v>
      </c>
      <c r="C496" s="876">
        <v>38701</v>
      </c>
    </row>
    <row r="497" spans="2:3" hidden="1" x14ac:dyDescent="0.25">
      <c r="B497" s="873" t="s">
        <v>1259</v>
      </c>
      <c r="C497" s="876">
        <v>20700</v>
      </c>
    </row>
    <row r="498" spans="2:3" hidden="1" x14ac:dyDescent="0.25">
      <c r="B498" s="873" t="s">
        <v>1250</v>
      </c>
      <c r="C498" s="876">
        <v>18740</v>
      </c>
    </row>
    <row r="499" spans="2:3" hidden="1" x14ac:dyDescent="0.25">
      <c r="B499" s="873" t="s">
        <v>1260</v>
      </c>
      <c r="C499" s="876">
        <v>20800</v>
      </c>
    </row>
    <row r="500" spans="2:3" hidden="1" x14ac:dyDescent="0.25">
      <c r="B500" s="873" t="s">
        <v>1233</v>
      </c>
      <c r="C500" s="876">
        <v>11310</v>
      </c>
    </row>
    <row r="501" spans="2:3" hidden="1" x14ac:dyDescent="0.25">
      <c r="B501" s="873" t="s">
        <v>1249</v>
      </c>
      <c r="C501" s="876">
        <v>18690</v>
      </c>
    </row>
    <row r="502" spans="2:3" hidden="1" x14ac:dyDescent="0.25">
      <c r="B502" s="873" t="s">
        <v>1231</v>
      </c>
      <c r="C502" s="876">
        <v>10950</v>
      </c>
    </row>
    <row r="503" spans="2:3" hidden="1" x14ac:dyDescent="0.25">
      <c r="B503" s="873" t="s">
        <v>1255</v>
      </c>
      <c r="C503" s="876">
        <v>20200</v>
      </c>
    </row>
    <row r="504" spans="2:3" ht="26.25" hidden="1" x14ac:dyDescent="0.25">
      <c r="B504" s="873" t="s">
        <v>1251</v>
      </c>
      <c r="C504" s="876">
        <v>18780</v>
      </c>
    </row>
    <row r="505" spans="2:3" hidden="1" x14ac:dyDescent="0.25">
      <c r="B505" s="873" t="s">
        <v>1263</v>
      </c>
      <c r="C505" s="876">
        <v>21300</v>
      </c>
    </row>
    <row r="506" spans="2:3" hidden="1" x14ac:dyDescent="0.25">
      <c r="B506" s="873" t="s">
        <v>1168</v>
      </c>
      <c r="C506" s="876">
        <v>37001</v>
      </c>
    </row>
    <row r="507" spans="2:3" hidden="1" x14ac:dyDescent="0.25">
      <c r="B507" s="873" t="s">
        <v>1336</v>
      </c>
      <c r="C507" s="876">
        <v>33001</v>
      </c>
    </row>
    <row r="508" spans="2:3" hidden="1" x14ac:dyDescent="0.25">
      <c r="B508" s="873" t="s">
        <v>1422</v>
      </c>
      <c r="C508" s="876">
        <v>36405</v>
      </c>
    </row>
    <row r="509" spans="2:3" hidden="1" x14ac:dyDescent="0.25">
      <c r="B509" s="873" t="s">
        <v>1421</v>
      </c>
      <c r="C509" s="876">
        <v>36400</v>
      </c>
    </row>
    <row r="510" spans="2:3" ht="26.25" hidden="1" x14ac:dyDescent="0.25">
      <c r="B510" s="873" t="s">
        <v>1509</v>
      </c>
      <c r="C510" s="876">
        <v>51000.1</v>
      </c>
    </row>
    <row r="511" spans="2:3" hidden="1" x14ac:dyDescent="0.25">
      <c r="B511" s="873" t="s">
        <v>1510</v>
      </c>
      <c r="C511" s="876">
        <v>51000.2</v>
      </c>
    </row>
    <row r="512" spans="2:3" hidden="1" x14ac:dyDescent="0.25">
      <c r="B512" s="873" t="s">
        <v>1387</v>
      </c>
      <c r="C512" s="876">
        <v>35106</v>
      </c>
    </row>
    <row r="513" spans="2:3" ht="26.25" hidden="1" x14ac:dyDescent="0.25">
      <c r="B513" s="873" t="s">
        <v>1324</v>
      </c>
      <c r="C513" s="876">
        <v>32500</v>
      </c>
    </row>
    <row r="514" spans="2:3" hidden="1" x14ac:dyDescent="0.25">
      <c r="B514" s="873" t="s">
        <v>1423</v>
      </c>
      <c r="C514" s="876">
        <v>36500</v>
      </c>
    </row>
    <row r="515" spans="2:3" hidden="1" x14ac:dyDescent="0.25">
      <c r="B515" s="873" t="s">
        <v>1313</v>
      </c>
      <c r="C515" s="876">
        <v>31820</v>
      </c>
    </row>
    <row r="516" spans="2:3" hidden="1" x14ac:dyDescent="0.25">
      <c r="B516" s="873" t="s">
        <v>1221</v>
      </c>
      <c r="C516" s="876">
        <v>10200</v>
      </c>
    </row>
    <row r="517" spans="2:3" hidden="1" x14ac:dyDescent="0.25">
      <c r="B517" s="873" t="s">
        <v>1427</v>
      </c>
      <c r="C517" s="876">
        <v>36600</v>
      </c>
    </row>
    <row r="518" spans="2:3" hidden="1" x14ac:dyDescent="0.25">
      <c r="B518" s="873" t="s">
        <v>1226</v>
      </c>
      <c r="C518" s="876">
        <v>10850</v>
      </c>
    </row>
    <row r="519" spans="2:3" hidden="1" x14ac:dyDescent="0.25">
      <c r="B519" s="873" t="s">
        <v>1228</v>
      </c>
      <c r="C519" s="876">
        <v>10910</v>
      </c>
    </row>
    <row r="520" spans="2:3" hidden="1" x14ac:dyDescent="0.25">
      <c r="B520" s="873" t="s">
        <v>1230</v>
      </c>
      <c r="C520" s="876">
        <v>10940</v>
      </c>
    </row>
    <row r="521" spans="2:3" hidden="1" x14ac:dyDescent="0.25">
      <c r="B521" s="873" t="s">
        <v>1429</v>
      </c>
      <c r="C521" s="876">
        <v>36700</v>
      </c>
    </row>
    <row r="522" spans="2:3" hidden="1" x14ac:dyDescent="0.25">
      <c r="B522" s="873" t="s">
        <v>1433</v>
      </c>
      <c r="C522" s="876">
        <v>36802</v>
      </c>
    </row>
    <row r="523" spans="2:3" hidden="1" x14ac:dyDescent="0.25">
      <c r="B523" s="873" t="s">
        <v>1432</v>
      </c>
      <c r="C523" s="876">
        <v>36800</v>
      </c>
    </row>
    <row r="524" spans="2:3" hidden="1" x14ac:dyDescent="0.25">
      <c r="B524" s="873" t="s">
        <v>1437</v>
      </c>
      <c r="C524" s="876">
        <v>36905</v>
      </c>
    </row>
    <row r="525" spans="2:3" hidden="1" x14ac:dyDescent="0.25">
      <c r="B525" s="873" t="s">
        <v>1435</v>
      </c>
      <c r="C525" s="876">
        <v>36900</v>
      </c>
    </row>
    <row r="526" spans="2:3" hidden="1" x14ac:dyDescent="0.25">
      <c r="B526" s="873" t="s">
        <v>1440</v>
      </c>
      <c r="C526" s="876">
        <v>37100</v>
      </c>
    </row>
    <row r="527" spans="2:3" hidden="1" x14ac:dyDescent="0.25">
      <c r="B527" s="873" t="s">
        <v>1441</v>
      </c>
      <c r="C527" s="876">
        <v>37200</v>
      </c>
    </row>
    <row r="528" spans="2:3" hidden="1" x14ac:dyDescent="0.25">
      <c r="B528" s="873" t="s">
        <v>1442</v>
      </c>
      <c r="C528" s="876">
        <v>37300</v>
      </c>
    </row>
    <row r="529" spans="2:3" hidden="1" x14ac:dyDescent="0.25">
      <c r="B529" s="873" t="s">
        <v>1444</v>
      </c>
      <c r="C529" s="876">
        <v>37305</v>
      </c>
    </row>
    <row r="530" spans="2:3" hidden="1" x14ac:dyDescent="0.25">
      <c r="B530" s="873" t="s">
        <v>1409</v>
      </c>
      <c r="C530" s="876">
        <v>36008</v>
      </c>
    </row>
    <row r="531" spans="2:3" hidden="1" x14ac:dyDescent="0.25">
      <c r="B531" s="873" t="s">
        <v>1502</v>
      </c>
      <c r="C531" s="876">
        <v>39703</v>
      </c>
    </row>
    <row r="532" spans="2:3" hidden="1" x14ac:dyDescent="0.25">
      <c r="B532" s="873" t="s">
        <v>1348</v>
      </c>
      <c r="C532" s="876">
        <v>33209</v>
      </c>
    </row>
    <row r="533" spans="2:3" hidden="1" x14ac:dyDescent="0.25">
      <c r="B533" s="873" t="s">
        <v>1446</v>
      </c>
      <c r="C533" s="876">
        <v>37405</v>
      </c>
    </row>
    <row r="534" spans="2:3" hidden="1" x14ac:dyDescent="0.25">
      <c r="B534" s="873" t="s">
        <v>1445</v>
      </c>
      <c r="C534" s="876">
        <v>37400</v>
      </c>
    </row>
    <row r="535" spans="2:3" hidden="1" x14ac:dyDescent="0.25">
      <c r="B535" s="873" t="s">
        <v>1447</v>
      </c>
      <c r="C535" s="876">
        <v>37500</v>
      </c>
    </row>
    <row r="536" spans="2:3" hidden="1" x14ac:dyDescent="0.25">
      <c r="B536" s="873" t="s">
        <v>1450</v>
      </c>
      <c r="C536" s="876">
        <v>37605</v>
      </c>
    </row>
    <row r="537" spans="2:3" hidden="1" x14ac:dyDescent="0.25">
      <c r="B537" s="873" t="s">
        <v>1448</v>
      </c>
      <c r="C537" s="876">
        <v>37600</v>
      </c>
    </row>
    <row r="538" spans="2:3" hidden="1" x14ac:dyDescent="0.25">
      <c r="B538" s="873" t="s">
        <v>1243</v>
      </c>
      <c r="C538" s="876">
        <v>13500</v>
      </c>
    </row>
    <row r="539" spans="2:3" hidden="1" x14ac:dyDescent="0.25">
      <c r="B539" s="873" t="s">
        <v>1452</v>
      </c>
      <c r="C539" s="876">
        <v>37700</v>
      </c>
    </row>
    <row r="540" spans="2:3" hidden="1" x14ac:dyDescent="0.25">
      <c r="B540" s="873" t="s">
        <v>1453</v>
      </c>
      <c r="C540" s="876">
        <v>37705</v>
      </c>
    </row>
    <row r="541" spans="2:3" hidden="1" x14ac:dyDescent="0.25">
      <c r="B541" s="873" t="s">
        <v>1277</v>
      </c>
      <c r="C541" s="876">
        <v>30103</v>
      </c>
    </row>
    <row r="542" spans="2:3" hidden="1" x14ac:dyDescent="0.25">
      <c r="B542" s="873" t="s">
        <v>1366</v>
      </c>
      <c r="C542" s="876">
        <v>34220</v>
      </c>
    </row>
    <row r="543" spans="2:3" hidden="1" x14ac:dyDescent="0.25">
      <c r="B543" s="873" t="s">
        <v>1375</v>
      </c>
      <c r="C543" s="876">
        <v>34605</v>
      </c>
    </row>
    <row r="544" spans="2:3" hidden="1" x14ac:dyDescent="0.25">
      <c r="B544" s="873" t="s">
        <v>1456</v>
      </c>
      <c r="C544" s="876">
        <v>37805</v>
      </c>
    </row>
    <row r="545" spans="2:3" hidden="1" x14ac:dyDescent="0.25">
      <c r="B545" s="873" t="s">
        <v>1454</v>
      </c>
      <c r="C545" s="876">
        <v>37800</v>
      </c>
    </row>
    <row r="546" spans="2:3" hidden="1" x14ac:dyDescent="0.25">
      <c r="B546" s="873" t="s">
        <v>1459</v>
      </c>
      <c r="C546" s="876">
        <v>37905</v>
      </c>
    </row>
    <row r="547" spans="2:3" hidden="1" x14ac:dyDescent="0.25">
      <c r="B547" s="873" t="s">
        <v>1457</v>
      </c>
      <c r="C547" s="876">
        <v>37900</v>
      </c>
    </row>
    <row r="548" spans="2:3" hidden="1" x14ac:dyDescent="0.25">
      <c r="B548" s="873" t="s">
        <v>1461</v>
      </c>
      <c r="C548" s="876">
        <v>38005</v>
      </c>
    </row>
    <row r="549" spans="2:3" hidden="1" x14ac:dyDescent="0.25">
      <c r="B549" s="873" t="s">
        <v>1460</v>
      </c>
      <c r="C549" s="876">
        <v>38000</v>
      </c>
    </row>
    <row r="550" spans="2:3" hidden="1" x14ac:dyDescent="0.25">
      <c r="B550" s="873" t="s">
        <v>1443</v>
      </c>
      <c r="C550" s="876">
        <v>37301</v>
      </c>
    </row>
    <row r="551" spans="2:3" hidden="1" x14ac:dyDescent="0.25">
      <c r="B551" s="873" t="s">
        <v>1516</v>
      </c>
      <c r="C551" s="876">
        <v>98101</v>
      </c>
    </row>
    <row r="552" spans="2:3" hidden="1" x14ac:dyDescent="0.25">
      <c r="B552" s="873" t="s">
        <v>1462</v>
      </c>
      <c r="C552" s="876">
        <v>38100</v>
      </c>
    </row>
    <row r="553" spans="2:3" ht="26.25" hidden="1" x14ac:dyDescent="0.25">
      <c r="B553" s="873" t="s">
        <v>1517</v>
      </c>
      <c r="C553" s="876">
        <v>98103</v>
      </c>
    </row>
    <row r="554" spans="2:3" hidden="1" x14ac:dyDescent="0.25">
      <c r="B554" s="873" t="s">
        <v>1465</v>
      </c>
      <c r="C554" s="876">
        <v>38205</v>
      </c>
    </row>
    <row r="555" spans="2:3" hidden="1" x14ac:dyDescent="0.25">
      <c r="B555" s="873" t="s">
        <v>1464</v>
      </c>
      <c r="C555" s="876">
        <v>38200</v>
      </c>
    </row>
    <row r="556" spans="2:3" hidden="1" x14ac:dyDescent="0.25">
      <c r="B556" s="873" t="s">
        <v>1419</v>
      </c>
      <c r="C556" s="876">
        <v>36305</v>
      </c>
    </row>
    <row r="557" spans="2:3" hidden="1" x14ac:dyDescent="0.25">
      <c r="B557" s="873" t="s">
        <v>1389</v>
      </c>
      <c r="C557" s="876">
        <v>35300</v>
      </c>
    </row>
    <row r="558" spans="2:3" hidden="1" x14ac:dyDescent="0.25">
      <c r="B558" s="873" t="s">
        <v>1467</v>
      </c>
      <c r="C558" s="876">
        <v>38300</v>
      </c>
    </row>
    <row r="559" spans="2:3" hidden="1" x14ac:dyDescent="0.25">
      <c r="B559" s="873" t="s">
        <v>1244</v>
      </c>
      <c r="C559" s="876">
        <v>13700</v>
      </c>
    </row>
    <row r="560" spans="2:3" hidden="1" x14ac:dyDescent="0.25">
      <c r="B560" s="873" t="s">
        <v>1408</v>
      </c>
      <c r="C560" s="876">
        <v>36007</v>
      </c>
    </row>
    <row r="561" spans="2:3" hidden="1" x14ac:dyDescent="0.25">
      <c r="B561" s="873" t="s">
        <v>1283</v>
      </c>
      <c r="C561" s="876">
        <v>30405</v>
      </c>
    </row>
    <row r="562" spans="2:3" hidden="1" x14ac:dyDescent="0.25">
      <c r="B562" s="873" t="s">
        <v>1455</v>
      </c>
      <c r="C562" s="876">
        <v>37801</v>
      </c>
    </row>
    <row r="563" spans="2:3" hidden="1" x14ac:dyDescent="0.25">
      <c r="B563" s="873" t="s">
        <v>1322</v>
      </c>
      <c r="C563" s="876">
        <v>32405</v>
      </c>
    </row>
    <row r="564" spans="2:3" hidden="1" x14ac:dyDescent="0.25">
      <c r="B564" s="873" t="s">
        <v>1489</v>
      </c>
      <c r="C564" s="876">
        <v>39204</v>
      </c>
    </row>
    <row r="565" spans="2:3" hidden="1" x14ac:dyDescent="0.25">
      <c r="B565" s="873" t="s">
        <v>1384</v>
      </c>
      <c r="C565" s="876">
        <v>35005</v>
      </c>
    </row>
    <row r="566" spans="2:3" hidden="1" x14ac:dyDescent="0.25">
      <c r="B566" s="873" t="s">
        <v>1470</v>
      </c>
      <c r="C566" s="876">
        <v>38405</v>
      </c>
    </row>
    <row r="567" spans="2:3" hidden="1" x14ac:dyDescent="0.25">
      <c r="B567" s="873" t="s">
        <v>1468</v>
      </c>
      <c r="C567" s="876">
        <v>38400</v>
      </c>
    </row>
    <row r="568" spans="2:3" hidden="1" x14ac:dyDescent="0.25">
      <c r="B568" s="873" t="s">
        <v>1418</v>
      </c>
      <c r="C568" s="876">
        <v>36302</v>
      </c>
    </row>
    <row r="569" spans="2:3" hidden="1" x14ac:dyDescent="0.25">
      <c r="B569" s="873" t="s">
        <v>1223</v>
      </c>
      <c r="C569" s="876">
        <v>10500</v>
      </c>
    </row>
    <row r="570" spans="2:3" hidden="1" x14ac:dyDescent="0.25">
      <c r="B570" s="873" t="s">
        <v>1235</v>
      </c>
      <c r="C570" s="876">
        <v>11900</v>
      </c>
    </row>
    <row r="571" spans="2:3" ht="26.25" hidden="1" x14ac:dyDescent="0.25">
      <c r="B571" s="873" t="s">
        <v>1265</v>
      </c>
      <c r="C571" s="876">
        <v>21525.1</v>
      </c>
    </row>
    <row r="572" spans="2:3" ht="26.25" hidden="1" x14ac:dyDescent="0.25">
      <c r="B572" s="873" t="s">
        <v>1246</v>
      </c>
      <c r="C572" s="876">
        <v>14300.1</v>
      </c>
    </row>
    <row r="573" spans="2:3" hidden="1" x14ac:dyDescent="0.25">
      <c r="B573" s="873" t="s">
        <v>1245</v>
      </c>
      <c r="C573" s="876">
        <v>14300</v>
      </c>
    </row>
    <row r="574" spans="2:3" hidden="1" x14ac:dyDescent="0.25">
      <c r="B574" s="873" t="s">
        <v>1471</v>
      </c>
      <c r="C574" s="876">
        <v>38500</v>
      </c>
    </row>
    <row r="575" spans="2:3" hidden="1" x14ac:dyDescent="0.25">
      <c r="B575" s="873" t="s">
        <v>1380</v>
      </c>
      <c r="C575" s="876">
        <v>34903</v>
      </c>
    </row>
    <row r="576" spans="2:3" hidden="1" x14ac:dyDescent="0.25">
      <c r="B576" s="873" t="s">
        <v>1701</v>
      </c>
      <c r="C576" s="876">
        <v>91041</v>
      </c>
    </row>
    <row r="577" spans="2:3" hidden="1" x14ac:dyDescent="0.25">
      <c r="B577" s="873" t="s">
        <v>1475</v>
      </c>
      <c r="C577" s="876">
        <v>38605</v>
      </c>
    </row>
    <row r="578" spans="2:3" hidden="1" x14ac:dyDescent="0.25">
      <c r="B578" s="873" t="s">
        <v>1472</v>
      </c>
      <c r="C578" s="876">
        <v>38600</v>
      </c>
    </row>
    <row r="579" spans="2:3" hidden="1" x14ac:dyDescent="0.25">
      <c r="B579" s="873" t="s">
        <v>1478</v>
      </c>
      <c r="C579" s="876">
        <v>38700</v>
      </c>
    </row>
    <row r="580" spans="2:3" hidden="1" x14ac:dyDescent="0.25">
      <c r="B580" s="873" t="s">
        <v>1278</v>
      </c>
      <c r="C580" s="876">
        <v>30104</v>
      </c>
    </row>
    <row r="581" spans="2:3" hidden="1" x14ac:dyDescent="0.25">
      <c r="B581" s="873" t="s">
        <v>1334</v>
      </c>
      <c r="C581" s="876">
        <v>32920</v>
      </c>
    </row>
    <row r="582" spans="2:3" hidden="1" x14ac:dyDescent="0.25">
      <c r="B582" s="873" t="s">
        <v>1480</v>
      </c>
      <c r="C582" s="876">
        <v>38800</v>
      </c>
    </row>
    <row r="583" spans="2:3" hidden="1" x14ac:dyDescent="0.25">
      <c r="B583" s="873" t="s">
        <v>1316</v>
      </c>
      <c r="C583" s="876">
        <v>32005</v>
      </c>
    </row>
    <row r="584" spans="2:3" hidden="1" x14ac:dyDescent="0.25">
      <c r="B584" s="873" t="s">
        <v>1498</v>
      </c>
      <c r="C584" s="876">
        <v>39501</v>
      </c>
    </row>
    <row r="585" spans="2:3" hidden="1" x14ac:dyDescent="0.25">
      <c r="B585" s="873" t="s">
        <v>1482</v>
      </c>
      <c r="C585" s="876">
        <v>38900</v>
      </c>
    </row>
    <row r="586" spans="2:3" hidden="1" x14ac:dyDescent="0.25">
      <c r="B586" s="873" t="s">
        <v>1262</v>
      </c>
      <c r="C586" s="876">
        <v>21200</v>
      </c>
    </row>
    <row r="587" spans="2:3" hidden="1" x14ac:dyDescent="0.25">
      <c r="B587" s="873" t="s">
        <v>1266</v>
      </c>
      <c r="C587" s="876">
        <v>21550</v>
      </c>
    </row>
    <row r="588" spans="2:3" hidden="1" x14ac:dyDescent="0.25">
      <c r="B588" s="873" t="s">
        <v>836</v>
      </c>
      <c r="C588" s="876">
        <v>21520</v>
      </c>
    </row>
    <row r="589" spans="2:3" hidden="1" x14ac:dyDescent="0.25">
      <c r="B589" s="873" t="s">
        <v>1264</v>
      </c>
      <c r="C589" s="876">
        <v>21525</v>
      </c>
    </row>
    <row r="590" spans="2:3" hidden="1" x14ac:dyDescent="0.25">
      <c r="B590" s="873" t="s">
        <v>1483</v>
      </c>
      <c r="C590" s="876">
        <v>39000</v>
      </c>
    </row>
    <row r="591" spans="2:3" hidden="1" x14ac:dyDescent="0.25">
      <c r="B591" s="873" t="s">
        <v>1271</v>
      </c>
      <c r="C591" s="876">
        <v>23000</v>
      </c>
    </row>
    <row r="592" spans="2:3" hidden="1" x14ac:dyDescent="0.25">
      <c r="B592" s="873" t="s">
        <v>1272</v>
      </c>
      <c r="C592" s="876">
        <v>23100</v>
      </c>
    </row>
    <row r="593" spans="2:3" ht="26.25" hidden="1" x14ac:dyDescent="0.25">
      <c r="B593" s="873" t="s">
        <v>1261</v>
      </c>
      <c r="C593" s="876">
        <v>20900</v>
      </c>
    </row>
    <row r="594" spans="2:3" ht="26.25" hidden="1" x14ac:dyDescent="0.25">
      <c r="B594" s="873" t="s">
        <v>1273</v>
      </c>
      <c r="C594" s="876">
        <v>23200</v>
      </c>
    </row>
    <row r="595" spans="2:3" hidden="1" x14ac:dyDescent="0.25">
      <c r="B595" s="873" t="s">
        <v>1267</v>
      </c>
      <c r="C595" s="876">
        <v>21570</v>
      </c>
    </row>
    <row r="596" spans="2:3" hidden="1" x14ac:dyDescent="0.25">
      <c r="B596" s="873" t="s">
        <v>1449</v>
      </c>
      <c r="C596" s="876">
        <v>37601</v>
      </c>
    </row>
    <row r="597" spans="2:3" hidden="1" x14ac:dyDescent="0.25">
      <c r="B597" s="873" t="s">
        <v>1485</v>
      </c>
      <c r="C597" s="876">
        <v>39101</v>
      </c>
    </row>
    <row r="598" spans="2:3" hidden="1" x14ac:dyDescent="0.25">
      <c r="B598" s="873" t="s">
        <v>1484</v>
      </c>
      <c r="C598" s="876">
        <v>39100</v>
      </c>
    </row>
    <row r="599" spans="2:3" hidden="1" x14ac:dyDescent="0.25">
      <c r="B599" s="873" t="s">
        <v>1486</v>
      </c>
      <c r="C599" s="876">
        <v>39105</v>
      </c>
    </row>
    <row r="600" spans="2:3" hidden="1" x14ac:dyDescent="0.25">
      <c r="B600" s="873" t="s">
        <v>1343</v>
      </c>
      <c r="C600" s="876">
        <v>33204</v>
      </c>
    </row>
    <row r="601" spans="2:3" hidden="1" x14ac:dyDescent="0.25">
      <c r="B601" s="873" t="s">
        <v>1487</v>
      </c>
      <c r="C601" s="876">
        <v>39200</v>
      </c>
    </row>
    <row r="602" spans="2:3" hidden="1" x14ac:dyDescent="0.25">
      <c r="B602" s="873" t="s">
        <v>1490</v>
      </c>
      <c r="C602" s="876">
        <v>39205</v>
      </c>
    </row>
    <row r="603" spans="2:3" hidden="1" x14ac:dyDescent="0.25">
      <c r="B603" s="873" t="s">
        <v>1493</v>
      </c>
      <c r="C603" s="876">
        <v>39300</v>
      </c>
    </row>
    <row r="604" spans="2:3" hidden="1" x14ac:dyDescent="0.25">
      <c r="B604" s="873" t="s">
        <v>1520</v>
      </c>
      <c r="C604" s="876">
        <v>99401</v>
      </c>
    </row>
    <row r="605" spans="2:3" hidden="1" x14ac:dyDescent="0.25">
      <c r="B605" s="873" t="s">
        <v>1495</v>
      </c>
      <c r="C605" s="876">
        <v>39400</v>
      </c>
    </row>
    <row r="606" spans="2:3" hidden="1" x14ac:dyDescent="0.25">
      <c r="B606" s="873" t="s">
        <v>1497</v>
      </c>
      <c r="C606" s="876">
        <v>39500</v>
      </c>
    </row>
    <row r="607" spans="2:3" hidden="1" x14ac:dyDescent="0.25">
      <c r="B607" s="873" t="s">
        <v>1500</v>
      </c>
      <c r="C607" s="876">
        <v>39605</v>
      </c>
    </row>
    <row r="608" spans="2:3" hidden="1" x14ac:dyDescent="0.25">
      <c r="B608" s="873" t="s">
        <v>1499</v>
      </c>
      <c r="C608" s="876">
        <v>39600</v>
      </c>
    </row>
    <row r="609" spans="2:3" hidden="1" x14ac:dyDescent="0.25">
      <c r="B609" s="873" t="s">
        <v>1367</v>
      </c>
      <c r="C609" s="876">
        <v>34230</v>
      </c>
    </row>
    <row r="610" spans="2:3" hidden="1" x14ac:dyDescent="0.25">
      <c r="B610" s="873" t="s">
        <v>1268</v>
      </c>
      <c r="C610" s="876">
        <v>21800</v>
      </c>
    </row>
    <row r="611" spans="2:3" hidden="1" x14ac:dyDescent="0.25">
      <c r="B611" s="873" t="s">
        <v>1300</v>
      </c>
      <c r="C611" s="876">
        <v>31205</v>
      </c>
    </row>
    <row r="612" spans="2:3" hidden="1" x14ac:dyDescent="0.25">
      <c r="B612" s="873" t="s">
        <v>1323</v>
      </c>
      <c r="C612" s="876">
        <v>32410</v>
      </c>
    </row>
    <row r="613" spans="2:3" hidden="1" x14ac:dyDescent="0.25">
      <c r="B613" s="873" t="s">
        <v>1234</v>
      </c>
      <c r="C613" s="876">
        <v>11600</v>
      </c>
    </row>
    <row r="614" spans="2:3" hidden="1" x14ac:dyDescent="0.25">
      <c r="B614" s="873" t="s">
        <v>1503</v>
      </c>
      <c r="C614" s="876">
        <v>39705</v>
      </c>
    </row>
    <row r="615" spans="2:3" hidden="1" x14ac:dyDescent="0.25">
      <c r="B615" s="873" t="s">
        <v>1501</v>
      </c>
      <c r="C615" s="876">
        <v>39700</v>
      </c>
    </row>
    <row r="616" spans="2:3" hidden="1" x14ac:dyDescent="0.25">
      <c r="B616" s="873" t="s">
        <v>1425</v>
      </c>
      <c r="C616" s="876">
        <v>36502</v>
      </c>
    </row>
    <row r="617" spans="2:3" hidden="1" x14ac:dyDescent="0.25">
      <c r="B617" s="873" t="s">
        <v>1505</v>
      </c>
      <c r="C617" s="876">
        <v>39805</v>
      </c>
    </row>
    <row r="618" spans="2:3" hidden="1" x14ac:dyDescent="0.25">
      <c r="B618" s="873" t="s">
        <v>1504</v>
      </c>
      <c r="C618" s="876">
        <v>39800</v>
      </c>
    </row>
    <row r="619" spans="2:3" hidden="1" x14ac:dyDescent="0.25">
      <c r="B619" s="873" t="s">
        <v>1269</v>
      </c>
      <c r="C619" s="876">
        <v>21900</v>
      </c>
    </row>
    <row r="620" spans="2:3" hidden="1" x14ac:dyDescent="0.25">
      <c r="B620" s="873" t="s">
        <v>1351</v>
      </c>
      <c r="C620" s="876">
        <v>33400</v>
      </c>
    </row>
    <row r="621" spans="2:3" hidden="1" x14ac:dyDescent="0.25">
      <c r="B621" s="873" t="s">
        <v>1506</v>
      </c>
      <c r="C621" s="876">
        <v>39900</v>
      </c>
    </row>
    <row r="622" spans="2:3" hidden="1" x14ac:dyDescent="0.25">
      <c r="B622" s="873" t="s">
        <v>1274</v>
      </c>
      <c r="C622" s="876">
        <v>30000</v>
      </c>
    </row>
    <row r="623" spans="2:3" hidden="1" x14ac:dyDescent="0.25">
      <c r="B623" s="873" t="s">
        <v>1430</v>
      </c>
      <c r="C623" s="876">
        <v>36701</v>
      </c>
    </row>
  </sheetData>
  <mergeCells count="3">
    <mergeCell ref="E3:I3"/>
    <mergeCell ref="K3:O3"/>
    <mergeCell ref="Q3:S3"/>
  </mergeCells>
  <printOptions horizontalCentered="1"/>
  <pageMargins left="0" right="0" top="0.75" bottom="0.75" header="0.3" footer="0.3"/>
  <pageSetup paperSize="5" scale="36" firstPageNumber="7" fitToHeight="0" orientation="landscape" r:id="rId1"/>
  <headerFooter scaleWithDoc="0" alignWithMargins="0"/>
  <rowBreaks count="1" manualBreakCount="1">
    <brk id="315" max="16383" man="1"/>
  </rowBreaks>
  <colBreaks count="1" manualBreakCount="1">
    <brk id="7" max="1048575" man="1"/>
  </col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7B934D-3776-4CEC-A6A1-1CED7AA60ABA}">
  <dimension ref="A1:CF436"/>
  <sheetViews>
    <sheetView workbookViewId="0">
      <selection sqref="A1:B2"/>
    </sheetView>
  </sheetViews>
  <sheetFormatPr defaultColWidth="9.140625" defaultRowHeight="15.75" x14ac:dyDescent="0.25"/>
  <cols>
    <col min="1" max="1" width="14.28515625" style="887" customWidth="1"/>
    <col min="2" max="2" width="63.7109375" style="856" customWidth="1"/>
    <col min="3" max="3" width="18.140625" style="946" customWidth="1"/>
    <col min="4" max="4" width="18.140625" style="947" customWidth="1"/>
    <col min="5" max="5" width="17.28515625" style="933" customWidth="1"/>
    <col min="6" max="6" width="16.42578125" style="933" customWidth="1"/>
    <col min="7" max="7" width="18.7109375" style="933" customWidth="1"/>
    <col min="8" max="8" width="22.85546875" style="933" customWidth="1"/>
    <col min="9" max="9" width="16" style="933" customWidth="1"/>
    <col min="10" max="11" width="18.7109375" style="933" customWidth="1"/>
    <col min="12" max="12" width="16.7109375" style="933" bestFit="1" customWidth="1"/>
    <col min="13" max="13" width="16.7109375" style="933" customWidth="1"/>
    <col min="14" max="14" width="18.7109375" style="933" customWidth="1"/>
    <col min="15" max="15" width="18.7109375" style="857" customWidth="1"/>
    <col min="16" max="16" width="11.28515625" style="857" bestFit="1" customWidth="1"/>
    <col min="17" max="18" width="18.7109375" style="857" customWidth="1"/>
    <col min="19" max="19" width="23.7109375" style="857" customWidth="1"/>
    <col min="20" max="20" width="15.28515625" style="857" customWidth="1"/>
    <col min="21" max="29" width="18.7109375" style="933" customWidth="1"/>
    <col min="30" max="30" width="19.28515625" style="933" customWidth="1"/>
    <col min="31" max="34" width="17" style="933" customWidth="1"/>
    <col min="35" max="35" width="19" style="933" customWidth="1"/>
    <col min="36" max="39" width="17" style="933" customWidth="1"/>
    <col min="40" max="45" width="13.42578125" style="933" customWidth="1"/>
    <col min="46" max="46" width="14.85546875" style="933" customWidth="1"/>
    <col min="47" max="55" width="18.7109375" style="860" customWidth="1"/>
    <col min="56" max="56" width="18.85546875" style="933" customWidth="1"/>
    <col min="57" max="58" width="18.7109375" style="933" customWidth="1"/>
    <col min="59" max="60" width="18.85546875" style="933" customWidth="1"/>
    <col min="61" max="76" width="16.42578125" style="933" customWidth="1"/>
    <col min="77" max="77" width="12.42578125" style="933" customWidth="1"/>
    <col min="78" max="78" width="12.7109375" style="933" bestFit="1" customWidth="1"/>
    <col min="79" max="16384" width="9.140625" style="933"/>
  </cols>
  <sheetData>
    <row r="1" spans="1:84" s="857" customFormat="1" ht="18" customHeight="1" x14ac:dyDescent="0.25">
      <c r="A1" s="1257" t="s">
        <v>1711</v>
      </c>
      <c r="B1" s="1257"/>
      <c r="C1" s="905"/>
      <c r="D1" s="906"/>
      <c r="E1" s="859"/>
      <c r="F1" s="859"/>
      <c r="G1" s="859"/>
      <c r="H1" s="859"/>
      <c r="I1" s="859"/>
      <c r="J1" s="859"/>
      <c r="K1" s="859"/>
      <c r="L1" s="859"/>
      <c r="M1" s="859"/>
      <c r="N1" s="859"/>
      <c r="O1" s="859"/>
      <c r="P1" s="859"/>
      <c r="Q1" s="859"/>
      <c r="R1" s="859"/>
      <c r="S1" s="859"/>
      <c r="T1" s="859"/>
      <c r="AD1" s="860"/>
      <c r="AU1" s="859"/>
      <c r="AV1" s="859"/>
      <c r="AW1" s="859"/>
      <c r="AX1" s="859"/>
      <c r="AY1" s="859"/>
      <c r="AZ1" s="859"/>
      <c r="BA1" s="859"/>
      <c r="BB1" s="859"/>
      <c r="BC1" s="859"/>
    </row>
    <row r="2" spans="1:84" s="857" customFormat="1" ht="18" customHeight="1" x14ac:dyDescent="0.25">
      <c r="A2" s="1257" t="s">
        <v>1712</v>
      </c>
      <c r="B2" s="1257"/>
      <c r="C2" s="907"/>
      <c r="D2" s="908"/>
      <c r="AU2" s="859"/>
      <c r="AV2" s="859"/>
      <c r="AW2" s="859"/>
      <c r="AX2" s="859"/>
      <c r="AY2" s="859"/>
      <c r="AZ2" s="859"/>
      <c r="BA2" s="859"/>
      <c r="BB2" s="859"/>
      <c r="BC2" s="859"/>
    </row>
    <row r="3" spans="1:84" s="857" customFormat="1" ht="18" customHeight="1" x14ac:dyDescent="0.25">
      <c r="A3" s="909" t="s">
        <v>1713</v>
      </c>
      <c r="B3" s="910"/>
      <c r="C3" s="907"/>
      <c r="D3" s="908"/>
      <c r="AU3" s="859"/>
      <c r="AV3" s="859"/>
      <c r="AW3" s="859"/>
      <c r="AX3" s="859"/>
      <c r="AY3" s="859"/>
      <c r="AZ3" s="859"/>
      <c r="BA3" s="859"/>
      <c r="BB3" s="859"/>
      <c r="BC3" s="859"/>
    </row>
    <row r="4" spans="1:84" s="857" customFormat="1" ht="10.5" customHeight="1" x14ac:dyDescent="0.35">
      <c r="A4" s="911"/>
      <c r="B4" s="892"/>
      <c r="C4" s="912"/>
      <c r="D4" s="913"/>
      <c r="E4" s="892"/>
      <c r="F4" s="892"/>
      <c r="G4" s="892"/>
      <c r="H4" s="892"/>
      <c r="I4" s="892"/>
      <c r="J4" s="892"/>
      <c r="K4" s="892"/>
      <c r="L4" s="892"/>
      <c r="M4" s="892"/>
      <c r="N4" s="892"/>
      <c r="O4" s="892"/>
      <c r="P4" s="892"/>
      <c r="Q4" s="892"/>
      <c r="R4" s="892"/>
      <c r="S4" s="892"/>
      <c r="T4" s="892"/>
      <c r="U4" s="892"/>
      <c r="V4" s="892"/>
      <c r="W4" s="892"/>
      <c r="X4" s="892"/>
      <c r="Y4" s="892"/>
      <c r="Z4" s="892"/>
      <c r="AA4" s="892"/>
      <c r="AB4" s="892"/>
      <c r="AC4" s="892"/>
      <c r="AD4" s="892"/>
      <c r="AE4" s="892"/>
      <c r="AF4" s="892"/>
      <c r="AG4" s="892"/>
      <c r="AH4" s="892"/>
      <c r="AI4" s="892"/>
      <c r="AJ4" s="892"/>
      <c r="AK4" s="892"/>
      <c r="AL4" s="892"/>
      <c r="AM4" s="892"/>
      <c r="AN4" s="892"/>
      <c r="AO4" s="892"/>
      <c r="AP4" s="892"/>
      <c r="AQ4" s="892"/>
      <c r="AR4" s="892"/>
      <c r="AS4" s="892"/>
      <c r="AT4" s="892"/>
      <c r="AU4" s="859"/>
      <c r="AV4" s="859"/>
      <c r="AW4" s="859"/>
      <c r="AX4" s="859"/>
      <c r="AY4" s="859"/>
      <c r="AZ4" s="859"/>
      <c r="BA4" s="859"/>
      <c r="BB4" s="859"/>
      <c r="BC4" s="859"/>
      <c r="BD4" s="892"/>
      <c r="BE4" s="892"/>
      <c r="BF4" s="892"/>
      <c r="BG4" s="892"/>
      <c r="BH4" s="892"/>
      <c r="BI4" s="892"/>
      <c r="BJ4" s="892"/>
      <c r="BK4" s="892"/>
      <c r="BL4" s="892"/>
      <c r="BM4" s="892"/>
      <c r="BN4" s="892"/>
      <c r="BO4" s="892"/>
      <c r="BP4" s="892"/>
      <c r="BQ4" s="892"/>
      <c r="BR4" s="892"/>
      <c r="BS4" s="892"/>
      <c r="BT4" s="892"/>
      <c r="BU4" s="892"/>
      <c r="BV4" s="892"/>
      <c r="BW4" s="892"/>
      <c r="BX4" s="892"/>
    </row>
    <row r="5" spans="1:84" s="857" customFormat="1" ht="66" customHeight="1" x14ac:dyDescent="0.25">
      <c r="A5" s="897" t="s">
        <v>1207</v>
      </c>
      <c r="B5" s="914" t="s">
        <v>1208</v>
      </c>
      <c r="C5" s="915" t="s">
        <v>1714</v>
      </c>
      <c r="D5" s="916" t="s">
        <v>1715</v>
      </c>
      <c r="E5" s="917"/>
      <c r="F5" s="918"/>
      <c r="G5" s="918"/>
      <c r="H5" s="918"/>
      <c r="I5" s="918"/>
      <c r="J5" s="918"/>
      <c r="K5" s="918"/>
      <c r="L5" s="918"/>
      <c r="M5" s="918"/>
      <c r="N5" s="918"/>
      <c r="O5" s="918"/>
      <c r="P5" s="918"/>
      <c r="Q5" s="918"/>
      <c r="R5" s="918"/>
      <c r="S5" s="918"/>
      <c r="T5" s="918"/>
      <c r="U5" s="918"/>
      <c r="V5" s="918"/>
      <c r="W5" s="918"/>
      <c r="X5" s="918"/>
      <c r="Y5" s="918"/>
      <c r="Z5" s="918"/>
      <c r="AA5" s="918"/>
      <c r="AB5" s="918"/>
      <c r="AC5" s="918"/>
      <c r="AD5" s="918"/>
      <c r="AE5" s="918"/>
      <c r="AF5" s="918"/>
      <c r="AG5" s="918"/>
      <c r="AH5" s="918"/>
      <c r="AI5" s="918"/>
      <c r="AJ5" s="918"/>
      <c r="AK5" s="918"/>
      <c r="AL5" s="918"/>
      <c r="AM5" s="918"/>
      <c r="AN5" s="918"/>
      <c r="AO5" s="918"/>
      <c r="AP5" s="918"/>
      <c r="AQ5" s="918"/>
      <c r="AR5" s="918"/>
      <c r="AS5" s="918"/>
      <c r="AT5" s="918"/>
      <c r="AU5" s="919"/>
      <c r="AV5" s="919"/>
      <c r="AW5" s="919"/>
      <c r="AX5" s="919"/>
      <c r="AY5" s="919"/>
      <c r="AZ5" s="919"/>
      <c r="BA5" s="919"/>
      <c r="BB5" s="919"/>
      <c r="BC5" s="919"/>
      <c r="BD5" s="920"/>
      <c r="BE5" s="920"/>
      <c r="BF5" s="920"/>
      <c r="BG5" s="920"/>
      <c r="BH5" s="920"/>
      <c r="BI5" s="918"/>
      <c r="BJ5" s="918"/>
      <c r="BK5" s="918"/>
      <c r="BL5" s="918"/>
      <c r="BM5" s="918"/>
      <c r="BN5" s="918"/>
      <c r="BO5" s="918"/>
      <c r="BP5" s="918"/>
      <c r="BQ5" s="918"/>
      <c r="BR5" s="918"/>
      <c r="BS5" s="918"/>
      <c r="BT5" s="918"/>
      <c r="BU5" s="918"/>
      <c r="BV5" s="918"/>
      <c r="BW5" s="918"/>
      <c r="BX5" s="918"/>
    </row>
    <row r="6" spans="1:84" s="857" customFormat="1" x14ac:dyDescent="0.25">
      <c r="A6" s="872" t="s">
        <v>533</v>
      </c>
      <c r="B6" s="873" t="s">
        <v>1220</v>
      </c>
      <c r="C6" s="921">
        <v>0</v>
      </c>
      <c r="D6" s="922">
        <v>0</v>
      </c>
      <c r="E6" s="875"/>
      <c r="F6" s="875"/>
      <c r="G6" s="875"/>
      <c r="H6" s="875"/>
      <c r="I6" s="875"/>
      <c r="J6" s="875"/>
      <c r="K6" s="875"/>
      <c r="L6" s="875"/>
      <c r="M6" s="875"/>
      <c r="N6" s="875"/>
      <c r="O6" s="875"/>
      <c r="P6" s="875"/>
      <c r="Q6" s="875"/>
      <c r="R6" s="875"/>
      <c r="S6" s="875"/>
      <c r="T6" s="875"/>
      <c r="U6" s="875"/>
      <c r="V6" s="875"/>
      <c r="W6" s="875"/>
      <c r="X6" s="875"/>
      <c r="Y6" s="875"/>
      <c r="Z6" s="875"/>
      <c r="AA6" s="875"/>
      <c r="AB6" s="875"/>
      <c r="AC6" s="875"/>
      <c r="AD6" s="875"/>
      <c r="AE6" s="875"/>
      <c r="AF6" s="875"/>
      <c r="AG6" s="875"/>
      <c r="AH6" s="875"/>
      <c r="AI6" s="875"/>
      <c r="AJ6" s="875"/>
      <c r="AK6" s="875"/>
      <c r="AL6" s="875"/>
      <c r="AM6" s="875"/>
      <c r="AN6" s="875"/>
      <c r="AO6" s="875"/>
      <c r="AP6" s="875"/>
      <c r="AQ6" s="875"/>
      <c r="AR6" s="875"/>
      <c r="AS6" s="875"/>
      <c r="AT6" s="875"/>
      <c r="AU6" s="875"/>
      <c r="AV6" s="875"/>
      <c r="AW6" s="875"/>
      <c r="AX6" s="875"/>
      <c r="AY6" s="875"/>
      <c r="AZ6" s="875"/>
      <c r="BA6" s="875"/>
      <c r="BB6" s="875"/>
      <c r="BC6" s="875"/>
      <c r="BD6" s="875"/>
      <c r="BE6" s="875"/>
      <c r="BF6" s="875"/>
      <c r="BG6" s="875"/>
      <c r="BH6" s="875"/>
      <c r="BI6" s="875"/>
      <c r="BJ6" s="875"/>
      <c r="BK6" s="875"/>
      <c r="BL6" s="875"/>
      <c r="BM6" s="875"/>
      <c r="BN6" s="875"/>
      <c r="BO6" s="875"/>
      <c r="BP6" s="875"/>
      <c r="BQ6" s="875"/>
      <c r="BR6" s="875"/>
      <c r="BS6" s="875"/>
      <c r="BT6" s="875"/>
      <c r="BU6" s="875"/>
      <c r="BV6" s="875"/>
      <c r="BW6" s="875"/>
      <c r="BX6" s="875"/>
    </row>
    <row r="7" spans="1:84" x14ac:dyDescent="0.25">
      <c r="A7" s="923">
        <v>10200</v>
      </c>
      <c r="B7" s="873" t="s">
        <v>1221</v>
      </c>
      <c r="C7" s="921">
        <v>151746993</v>
      </c>
      <c r="D7" s="924">
        <v>9.3393600000000001E-4</v>
      </c>
      <c r="E7" s="925"/>
      <c r="F7" s="926"/>
      <c r="G7" s="926"/>
      <c r="H7" s="926"/>
      <c r="I7" s="926"/>
      <c r="J7" s="926"/>
      <c r="K7" s="926"/>
      <c r="L7" s="926"/>
      <c r="M7" s="926"/>
      <c r="N7" s="926"/>
      <c r="O7" s="926"/>
      <c r="P7" s="926"/>
      <c r="Q7" s="926"/>
      <c r="R7" s="926"/>
      <c r="S7" s="926"/>
      <c r="T7" s="926"/>
      <c r="U7" s="926"/>
      <c r="V7" s="926"/>
      <c r="W7" s="926"/>
      <c r="X7" s="926"/>
      <c r="Y7" s="926"/>
      <c r="Z7" s="926"/>
      <c r="AA7" s="926"/>
      <c r="AB7" s="926"/>
      <c r="AC7" s="926"/>
      <c r="AD7" s="926"/>
      <c r="AE7" s="926"/>
      <c r="AF7" s="926"/>
      <c r="AG7" s="926"/>
      <c r="AH7" s="926"/>
      <c r="AI7" s="926"/>
      <c r="AJ7" s="926"/>
      <c r="AK7" s="926"/>
      <c r="AL7" s="926"/>
      <c r="AM7" s="926"/>
      <c r="AN7" s="926"/>
      <c r="AO7" s="926"/>
      <c r="AP7" s="926"/>
      <c r="AQ7" s="926"/>
      <c r="AR7" s="926"/>
      <c r="AS7" s="926"/>
      <c r="AT7" s="926"/>
      <c r="AU7" s="927"/>
      <c r="AV7" s="927"/>
      <c r="AW7" s="927"/>
      <c r="AX7" s="927"/>
      <c r="AY7" s="927"/>
      <c r="AZ7" s="927"/>
      <c r="BA7" s="927"/>
      <c r="BB7" s="927"/>
      <c r="BC7" s="928"/>
      <c r="BD7" s="929"/>
      <c r="BE7" s="930"/>
      <c r="BF7" s="930"/>
      <c r="BG7" s="931"/>
      <c r="BH7" s="931"/>
      <c r="BI7" s="926"/>
      <c r="BJ7" s="926"/>
      <c r="BK7" s="926"/>
      <c r="BL7" s="926"/>
      <c r="BM7" s="926"/>
      <c r="BN7" s="926"/>
      <c r="BO7" s="926"/>
      <c r="BP7" s="926"/>
      <c r="BQ7" s="926"/>
      <c r="BR7" s="926"/>
      <c r="BS7" s="926"/>
      <c r="BT7" s="926"/>
      <c r="BU7" s="926"/>
      <c r="BV7" s="926"/>
      <c r="BW7" s="926"/>
      <c r="BX7" s="926"/>
      <c r="BY7" s="932"/>
      <c r="BZ7" s="932"/>
      <c r="CA7" s="932"/>
      <c r="CB7" s="932"/>
      <c r="CC7" s="932"/>
      <c r="CD7" s="932"/>
      <c r="CE7" s="932"/>
      <c r="CF7" s="932"/>
    </row>
    <row r="8" spans="1:84" x14ac:dyDescent="0.25">
      <c r="A8" s="876">
        <v>10400</v>
      </c>
      <c r="B8" s="873" t="s">
        <v>1222</v>
      </c>
      <c r="C8" s="921">
        <v>444465812</v>
      </c>
      <c r="D8" s="924">
        <v>2.735492E-3</v>
      </c>
      <c r="E8" s="925"/>
      <c r="F8" s="926"/>
      <c r="G8" s="926"/>
      <c r="H8" s="926"/>
      <c r="I8" s="926"/>
      <c r="J8" s="926"/>
      <c r="K8" s="926"/>
      <c r="L8" s="926"/>
      <c r="M8" s="926"/>
      <c r="N8" s="926"/>
      <c r="O8" s="926"/>
      <c r="P8" s="926"/>
      <c r="Q8" s="926"/>
      <c r="R8" s="926"/>
      <c r="S8" s="926"/>
      <c r="T8" s="926"/>
      <c r="U8" s="926"/>
      <c r="V8" s="926"/>
      <c r="W8" s="926"/>
      <c r="X8" s="926"/>
      <c r="Y8" s="926"/>
      <c r="Z8" s="926"/>
      <c r="AA8" s="926"/>
      <c r="AB8" s="926"/>
      <c r="AC8" s="926"/>
      <c r="AD8" s="926"/>
      <c r="AE8" s="926"/>
      <c r="AF8" s="926"/>
      <c r="AG8" s="926"/>
      <c r="AH8" s="926"/>
      <c r="AI8" s="926"/>
      <c r="AJ8" s="926"/>
      <c r="AK8" s="926"/>
      <c r="AL8" s="926"/>
      <c r="AM8" s="926"/>
      <c r="AN8" s="926"/>
      <c r="AO8" s="926"/>
      <c r="AP8" s="926"/>
      <c r="AQ8" s="926"/>
      <c r="AR8" s="926"/>
      <c r="AS8" s="926"/>
      <c r="AT8" s="926"/>
      <c r="AU8" s="927"/>
      <c r="AV8" s="927"/>
      <c r="AW8" s="927"/>
      <c r="AX8" s="927"/>
      <c r="AY8" s="927"/>
      <c r="AZ8" s="927"/>
      <c r="BA8" s="927"/>
      <c r="BB8" s="927"/>
      <c r="BC8" s="928"/>
      <c r="BD8" s="929"/>
      <c r="BE8" s="930"/>
      <c r="BF8" s="930"/>
      <c r="BG8" s="931"/>
      <c r="BH8" s="931"/>
      <c r="BI8" s="926"/>
      <c r="BJ8" s="926"/>
      <c r="BK8" s="926"/>
      <c r="BL8" s="926"/>
      <c r="BM8" s="926"/>
      <c r="BN8" s="926"/>
      <c r="BO8" s="926"/>
      <c r="BP8" s="926"/>
      <c r="BQ8" s="926"/>
      <c r="BR8" s="926"/>
      <c r="BS8" s="926"/>
      <c r="BT8" s="926"/>
      <c r="BU8" s="926"/>
      <c r="BV8" s="926"/>
      <c r="BW8" s="926"/>
      <c r="BX8" s="926"/>
      <c r="BY8" s="932"/>
      <c r="BZ8" s="932"/>
      <c r="CA8" s="932"/>
      <c r="CB8" s="932"/>
      <c r="CC8" s="932"/>
      <c r="CD8" s="932"/>
      <c r="CE8" s="932"/>
      <c r="CF8" s="932"/>
    </row>
    <row r="9" spans="1:84" x14ac:dyDescent="0.25">
      <c r="A9" s="876">
        <v>10500</v>
      </c>
      <c r="B9" s="873" t="s">
        <v>1223</v>
      </c>
      <c r="C9" s="921">
        <v>109573995</v>
      </c>
      <c r="D9" s="924">
        <v>6.7438000000000003E-4</v>
      </c>
      <c r="E9" s="925"/>
      <c r="F9" s="926"/>
      <c r="G9" s="926"/>
      <c r="H9" s="926"/>
      <c r="I9" s="926"/>
      <c r="J9" s="926"/>
      <c r="K9" s="926"/>
      <c r="L9" s="926"/>
      <c r="M9" s="926"/>
      <c r="N9" s="926"/>
      <c r="O9" s="926"/>
      <c r="P9" s="926"/>
      <c r="Q9" s="926"/>
      <c r="R9" s="926"/>
      <c r="S9" s="926"/>
      <c r="T9" s="926"/>
      <c r="U9" s="926"/>
      <c r="V9" s="926"/>
      <c r="W9" s="926"/>
      <c r="X9" s="926"/>
      <c r="Y9" s="926"/>
      <c r="Z9" s="926"/>
      <c r="AA9" s="926"/>
      <c r="AB9" s="926"/>
      <c r="AC9" s="926"/>
      <c r="AD9" s="926"/>
      <c r="AE9" s="926"/>
      <c r="AF9" s="926"/>
      <c r="AG9" s="926"/>
      <c r="AH9" s="926"/>
      <c r="AI9" s="926"/>
      <c r="AJ9" s="926"/>
      <c r="AK9" s="926"/>
      <c r="AL9" s="926"/>
      <c r="AM9" s="926"/>
      <c r="AN9" s="926"/>
      <c r="AO9" s="926"/>
      <c r="AP9" s="926"/>
      <c r="AQ9" s="926"/>
      <c r="AR9" s="926"/>
      <c r="AS9" s="926"/>
      <c r="AT9" s="926"/>
      <c r="AU9" s="927"/>
      <c r="AV9" s="927"/>
      <c r="AW9" s="927"/>
      <c r="AX9" s="927"/>
      <c r="AY9" s="927"/>
      <c r="AZ9" s="927"/>
      <c r="BA9" s="927"/>
      <c r="BB9" s="927"/>
      <c r="BC9" s="928"/>
      <c r="BD9" s="929"/>
      <c r="BE9" s="930"/>
      <c r="BF9" s="930"/>
      <c r="BG9" s="931"/>
      <c r="BH9" s="931"/>
      <c r="BI9" s="926"/>
      <c r="BJ9" s="926"/>
      <c r="BK9" s="926"/>
      <c r="BL9" s="926"/>
      <c r="BM9" s="926"/>
      <c r="BN9" s="926"/>
      <c r="BO9" s="926"/>
      <c r="BP9" s="926"/>
      <c r="BQ9" s="926"/>
      <c r="BR9" s="926"/>
      <c r="BS9" s="926"/>
      <c r="BT9" s="926"/>
      <c r="BU9" s="926"/>
      <c r="BV9" s="926"/>
      <c r="BW9" s="926"/>
      <c r="BX9" s="926"/>
      <c r="BY9" s="932"/>
      <c r="BZ9" s="932"/>
      <c r="CA9" s="932"/>
      <c r="CB9" s="932"/>
      <c r="CC9" s="932"/>
      <c r="CD9" s="932"/>
      <c r="CE9" s="932"/>
      <c r="CF9" s="932"/>
    </row>
    <row r="10" spans="1:84" x14ac:dyDescent="0.25">
      <c r="A10" s="876">
        <v>10700</v>
      </c>
      <c r="B10" s="873" t="s">
        <v>1224</v>
      </c>
      <c r="C10" s="921">
        <v>666810502</v>
      </c>
      <c r="D10" s="924">
        <v>4.1039249999999996E-3</v>
      </c>
      <c r="E10" s="925"/>
      <c r="F10" s="926"/>
      <c r="G10" s="926"/>
      <c r="H10" s="926"/>
      <c r="I10" s="926"/>
      <c r="J10" s="926"/>
      <c r="K10" s="926"/>
      <c r="L10" s="926"/>
      <c r="M10" s="926"/>
      <c r="N10" s="926"/>
      <c r="O10" s="926"/>
      <c r="P10" s="926"/>
      <c r="Q10" s="926"/>
      <c r="R10" s="926"/>
      <c r="S10" s="926"/>
      <c r="T10" s="926"/>
      <c r="U10" s="926"/>
      <c r="V10" s="926"/>
      <c r="W10" s="926"/>
      <c r="X10" s="926"/>
      <c r="Y10" s="926"/>
      <c r="Z10" s="926"/>
      <c r="AA10" s="926"/>
      <c r="AB10" s="926"/>
      <c r="AC10" s="926"/>
      <c r="AD10" s="926"/>
      <c r="AE10" s="926"/>
      <c r="AF10" s="926"/>
      <c r="AG10" s="926"/>
      <c r="AH10" s="926"/>
      <c r="AI10" s="926"/>
      <c r="AJ10" s="926"/>
      <c r="AK10" s="926"/>
      <c r="AL10" s="926"/>
      <c r="AM10" s="926"/>
      <c r="AN10" s="926"/>
      <c r="AO10" s="926"/>
      <c r="AP10" s="926"/>
      <c r="AQ10" s="926"/>
      <c r="AR10" s="926"/>
      <c r="AS10" s="926"/>
      <c r="AT10" s="926"/>
      <c r="AU10" s="927"/>
      <c r="AV10" s="927"/>
      <c r="AW10" s="927"/>
      <c r="AX10" s="927"/>
      <c r="AY10" s="927"/>
      <c r="AZ10" s="927"/>
      <c r="BA10" s="927"/>
      <c r="BB10" s="927"/>
      <c r="BC10" s="928"/>
      <c r="BD10" s="929"/>
      <c r="BE10" s="930"/>
      <c r="BF10" s="930"/>
      <c r="BG10" s="931"/>
      <c r="BH10" s="931"/>
      <c r="BI10" s="926"/>
      <c r="BJ10" s="926"/>
      <c r="BK10" s="926"/>
      <c r="BL10" s="926"/>
      <c r="BM10" s="926"/>
      <c r="BN10" s="926"/>
      <c r="BO10" s="926"/>
      <c r="BP10" s="926"/>
      <c r="BQ10" s="926"/>
      <c r="BR10" s="926"/>
      <c r="BS10" s="926"/>
      <c r="BT10" s="926"/>
      <c r="BU10" s="926"/>
      <c r="BV10" s="926"/>
      <c r="BW10" s="926"/>
      <c r="BX10" s="926"/>
      <c r="BY10" s="932"/>
      <c r="BZ10" s="932"/>
      <c r="CA10" s="932"/>
      <c r="CB10" s="932"/>
      <c r="CC10" s="932"/>
      <c r="CD10" s="932"/>
      <c r="CE10" s="932"/>
      <c r="CF10" s="932"/>
    </row>
    <row r="11" spans="1:84" x14ac:dyDescent="0.25">
      <c r="A11" s="876">
        <v>10800</v>
      </c>
      <c r="B11" s="873" t="s">
        <v>1225</v>
      </c>
      <c r="C11" s="921">
        <v>2902727739</v>
      </c>
      <c r="D11" s="924">
        <v>1.7865012999999999E-2</v>
      </c>
      <c r="E11" s="925"/>
      <c r="F11" s="926"/>
      <c r="G11" s="926"/>
      <c r="H11" s="926"/>
      <c r="I11" s="926"/>
      <c r="J11" s="926"/>
      <c r="K11" s="926"/>
      <c r="L11" s="926"/>
      <c r="M11" s="926"/>
      <c r="N11" s="926"/>
      <c r="O11" s="926"/>
      <c r="P11" s="926"/>
      <c r="Q11" s="926"/>
      <c r="R11" s="926"/>
      <c r="S11" s="926"/>
      <c r="T11" s="926"/>
      <c r="U11" s="926"/>
      <c r="V11" s="926"/>
      <c r="W11" s="926"/>
      <c r="X11" s="926"/>
      <c r="Y11" s="926"/>
      <c r="Z11" s="926"/>
      <c r="AA11" s="926"/>
      <c r="AB11" s="926"/>
      <c r="AC11" s="926"/>
      <c r="AD11" s="926"/>
      <c r="AE11" s="926"/>
      <c r="AF11" s="926"/>
      <c r="AG11" s="926"/>
      <c r="AH11" s="926"/>
      <c r="AI11" s="926"/>
      <c r="AJ11" s="926"/>
      <c r="AK11" s="926"/>
      <c r="AL11" s="926"/>
      <c r="AM11" s="926"/>
      <c r="AN11" s="926"/>
      <c r="AO11" s="926"/>
      <c r="AP11" s="926"/>
      <c r="AQ11" s="926"/>
      <c r="AR11" s="926"/>
      <c r="AS11" s="926"/>
      <c r="AT11" s="926"/>
      <c r="AU11" s="927"/>
      <c r="AV11" s="927"/>
      <c r="AW11" s="927"/>
      <c r="AX11" s="927"/>
      <c r="AY11" s="927"/>
      <c r="AZ11" s="927"/>
      <c r="BA11" s="927"/>
      <c r="BB11" s="927"/>
      <c r="BC11" s="928"/>
      <c r="BD11" s="929"/>
      <c r="BE11" s="930"/>
      <c r="BF11" s="930"/>
      <c r="BG11" s="931"/>
      <c r="BH11" s="931"/>
      <c r="BI11" s="926"/>
      <c r="BJ11" s="926"/>
      <c r="BK11" s="926"/>
      <c r="BL11" s="926"/>
      <c r="BM11" s="926"/>
      <c r="BN11" s="926"/>
      <c r="BO11" s="926"/>
      <c r="BP11" s="926"/>
      <c r="BQ11" s="926"/>
      <c r="BR11" s="926"/>
      <c r="BS11" s="926"/>
      <c r="BT11" s="926"/>
      <c r="BU11" s="926"/>
      <c r="BV11" s="926"/>
      <c r="BW11" s="926"/>
      <c r="BX11" s="926"/>
      <c r="BY11" s="932"/>
      <c r="BZ11" s="932"/>
      <c r="CA11" s="932"/>
      <c r="CB11" s="932"/>
      <c r="CC11" s="932"/>
      <c r="CD11" s="932"/>
      <c r="CE11" s="932"/>
      <c r="CF11" s="932"/>
    </row>
    <row r="12" spans="1:84" x14ac:dyDescent="0.25">
      <c r="A12" s="876">
        <v>10850</v>
      </c>
      <c r="B12" s="873" t="s">
        <v>1226</v>
      </c>
      <c r="C12" s="921">
        <v>24730030</v>
      </c>
      <c r="D12" s="924">
        <v>1.5220199999999999E-4</v>
      </c>
      <c r="E12" s="925"/>
      <c r="F12" s="926"/>
      <c r="G12" s="926"/>
      <c r="H12" s="926"/>
      <c r="I12" s="926"/>
      <c r="J12" s="926"/>
      <c r="K12" s="926"/>
      <c r="L12" s="926"/>
      <c r="M12" s="926"/>
      <c r="N12" s="926"/>
      <c r="O12" s="926"/>
      <c r="P12" s="926"/>
      <c r="Q12" s="926"/>
      <c r="R12" s="926"/>
      <c r="S12" s="926"/>
      <c r="T12" s="926"/>
      <c r="U12" s="926"/>
      <c r="V12" s="926"/>
      <c r="W12" s="926"/>
      <c r="X12" s="926"/>
      <c r="Y12" s="926"/>
      <c r="Z12" s="926"/>
      <c r="AA12" s="926"/>
      <c r="AB12" s="926"/>
      <c r="AC12" s="926"/>
      <c r="AD12" s="926"/>
      <c r="AE12" s="926"/>
      <c r="AF12" s="926"/>
      <c r="AG12" s="926"/>
      <c r="AH12" s="926"/>
      <c r="AI12" s="926"/>
      <c r="AJ12" s="926"/>
      <c r="AK12" s="926"/>
      <c r="AL12" s="926"/>
      <c r="AM12" s="926"/>
      <c r="AN12" s="926"/>
      <c r="AO12" s="926"/>
      <c r="AP12" s="926"/>
      <c r="AQ12" s="926"/>
      <c r="AR12" s="926"/>
      <c r="AS12" s="926"/>
      <c r="AT12" s="926"/>
      <c r="AU12" s="927"/>
      <c r="AV12" s="927"/>
      <c r="AW12" s="927"/>
      <c r="AX12" s="927"/>
      <c r="AY12" s="927"/>
      <c r="AZ12" s="927"/>
      <c r="BA12" s="927"/>
      <c r="BB12" s="927"/>
      <c r="BC12" s="928"/>
      <c r="BD12" s="929"/>
      <c r="BE12" s="930"/>
      <c r="BF12" s="930"/>
      <c r="BG12" s="931"/>
      <c r="BH12" s="931"/>
      <c r="BI12" s="926"/>
      <c r="BJ12" s="926"/>
      <c r="BK12" s="926"/>
      <c r="BL12" s="926"/>
      <c r="BM12" s="926"/>
      <c r="BN12" s="926"/>
      <c r="BO12" s="926"/>
      <c r="BP12" s="926"/>
      <c r="BQ12" s="926"/>
      <c r="BR12" s="926"/>
      <c r="BS12" s="926"/>
      <c r="BT12" s="926"/>
      <c r="BU12" s="926"/>
      <c r="BV12" s="926"/>
      <c r="BW12" s="926"/>
      <c r="BX12" s="926"/>
      <c r="BY12" s="932"/>
      <c r="BZ12" s="932"/>
      <c r="CA12" s="932"/>
      <c r="CB12" s="932"/>
      <c r="CC12" s="932"/>
      <c r="CD12" s="932"/>
      <c r="CE12" s="932"/>
      <c r="CF12" s="932"/>
    </row>
    <row r="13" spans="1:84" x14ac:dyDescent="0.25">
      <c r="A13" s="876">
        <v>10900</v>
      </c>
      <c r="B13" s="873" t="s">
        <v>1227</v>
      </c>
      <c r="C13" s="921">
        <v>214197980</v>
      </c>
      <c r="D13" s="924">
        <v>1.318294E-3</v>
      </c>
      <c r="E13" s="925"/>
      <c r="F13" s="926"/>
      <c r="G13" s="926"/>
      <c r="H13" s="926"/>
      <c r="I13" s="926"/>
      <c r="J13" s="926"/>
      <c r="K13" s="926"/>
      <c r="L13" s="926"/>
      <c r="M13" s="926"/>
      <c r="N13" s="926"/>
      <c r="O13" s="926"/>
      <c r="P13" s="926"/>
      <c r="Q13" s="926"/>
      <c r="R13" s="926"/>
      <c r="S13" s="926"/>
      <c r="T13" s="926"/>
      <c r="U13" s="926"/>
      <c r="V13" s="926"/>
      <c r="W13" s="926"/>
      <c r="X13" s="926"/>
      <c r="Y13" s="926"/>
      <c r="Z13" s="926"/>
      <c r="AA13" s="926"/>
      <c r="AB13" s="926"/>
      <c r="AC13" s="926"/>
      <c r="AD13" s="926"/>
      <c r="AE13" s="926"/>
      <c r="AF13" s="926"/>
      <c r="AG13" s="926"/>
      <c r="AH13" s="926"/>
      <c r="AI13" s="926"/>
      <c r="AJ13" s="926"/>
      <c r="AK13" s="926"/>
      <c r="AL13" s="926"/>
      <c r="AM13" s="926"/>
      <c r="AN13" s="926"/>
      <c r="AO13" s="926"/>
      <c r="AP13" s="926"/>
      <c r="AQ13" s="926"/>
      <c r="AR13" s="926"/>
      <c r="AS13" s="926"/>
      <c r="AT13" s="926"/>
      <c r="AU13" s="927"/>
      <c r="AV13" s="927"/>
      <c r="AW13" s="927"/>
      <c r="AX13" s="927"/>
      <c r="AY13" s="927"/>
      <c r="AZ13" s="927"/>
      <c r="BA13" s="927"/>
      <c r="BB13" s="927"/>
      <c r="BC13" s="928"/>
      <c r="BD13" s="929"/>
      <c r="BE13" s="930"/>
      <c r="BF13" s="930"/>
      <c r="BG13" s="931"/>
      <c r="BH13" s="931"/>
      <c r="BI13" s="926"/>
      <c r="BJ13" s="926"/>
      <c r="BK13" s="926"/>
      <c r="BL13" s="926"/>
      <c r="BM13" s="926"/>
      <c r="BN13" s="926"/>
      <c r="BO13" s="926"/>
      <c r="BP13" s="926"/>
      <c r="BQ13" s="926"/>
      <c r="BR13" s="926"/>
      <c r="BS13" s="926"/>
      <c r="BT13" s="926"/>
      <c r="BU13" s="926"/>
      <c r="BV13" s="926"/>
      <c r="BW13" s="926"/>
      <c r="BX13" s="926"/>
      <c r="BY13" s="932"/>
      <c r="BZ13" s="932"/>
      <c r="CA13" s="932"/>
      <c r="CB13" s="932"/>
      <c r="CC13" s="932"/>
      <c r="CD13" s="932"/>
      <c r="CE13" s="932"/>
      <c r="CF13" s="932"/>
    </row>
    <row r="14" spans="1:84" x14ac:dyDescent="0.25">
      <c r="A14" s="876">
        <v>10910</v>
      </c>
      <c r="B14" s="873" t="s">
        <v>1228</v>
      </c>
      <c r="C14" s="921">
        <v>43291722</v>
      </c>
      <c r="D14" s="924">
        <v>2.6644199999999998E-4</v>
      </c>
      <c r="E14" s="925"/>
      <c r="F14" s="926"/>
      <c r="G14" s="926"/>
      <c r="H14" s="926"/>
      <c r="I14" s="926"/>
      <c r="J14" s="926"/>
      <c r="K14" s="926"/>
      <c r="L14" s="926"/>
      <c r="M14" s="926"/>
      <c r="N14" s="926"/>
      <c r="O14" s="926"/>
      <c r="P14" s="926"/>
      <c r="Q14" s="926"/>
      <c r="R14" s="926"/>
      <c r="S14" s="926"/>
      <c r="T14" s="926"/>
      <c r="U14" s="926"/>
      <c r="V14" s="926"/>
      <c r="W14" s="926"/>
      <c r="X14" s="926"/>
      <c r="Y14" s="926"/>
      <c r="Z14" s="926"/>
      <c r="AA14" s="926"/>
      <c r="AB14" s="926"/>
      <c r="AC14" s="926"/>
      <c r="AD14" s="926"/>
      <c r="AE14" s="926"/>
      <c r="AF14" s="926"/>
      <c r="AG14" s="926"/>
      <c r="AH14" s="926"/>
      <c r="AI14" s="926"/>
      <c r="AJ14" s="926"/>
      <c r="AK14" s="926"/>
      <c r="AL14" s="926"/>
      <c r="AM14" s="926"/>
      <c r="AN14" s="926"/>
      <c r="AO14" s="926"/>
      <c r="AP14" s="926"/>
      <c r="AQ14" s="926"/>
      <c r="AR14" s="926"/>
      <c r="AS14" s="926"/>
      <c r="AT14" s="926"/>
      <c r="AU14" s="927"/>
      <c r="AV14" s="927"/>
      <c r="AW14" s="927"/>
      <c r="AX14" s="927"/>
      <c r="AY14" s="927"/>
      <c r="AZ14" s="927"/>
      <c r="BA14" s="927"/>
      <c r="BB14" s="927"/>
      <c r="BC14" s="928"/>
      <c r="BD14" s="929"/>
      <c r="BE14" s="930"/>
      <c r="BF14" s="930"/>
      <c r="BG14" s="931"/>
      <c r="BH14" s="931"/>
      <c r="BI14" s="926"/>
      <c r="BJ14" s="926"/>
      <c r="BK14" s="926"/>
      <c r="BL14" s="926"/>
      <c r="BM14" s="926"/>
      <c r="BN14" s="926"/>
      <c r="BO14" s="926"/>
      <c r="BP14" s="926"/>
      <c r="BQ14" s="926"/>
      <c r="BR14" s="926"/>
      <c r="BS14" s="926"/>
      <c r="BT14" s="926"/>
      <c r="BU14" s="926"/>
      <c r="BV14" s="926"/>
      <c r="BW14" s="926"/>
      <c r="BX14" s="926"/>
      <c r="BY14" s="932"/>
      <c r="BZ14" s="932"/>
      <c r="CA14" s="932"/>
      <c r="CB14" s="932"/>
      <c r="CC14" s="932"/>
      <c r="CD14" s="932"/>
      <c r="CE14" s="932"/>
      <c r="CF14" s="932"/>
    </row>
    <row r="15" spans="1:84" x14ac:dyDescent="0.25">
      <c r="A15" s="876">
        <v>10930</v>
      </c>
      <c r="B15" s="873" t="s">
        <v>1229</v>
      </c>
      <c r="C15" s="921">
        <v>368768666</v>
      </c>
      <c r="D15" s="924">
        <v>2.2696090000000001E-3</v>
      </c>
      <c r="E15" s="925"/>
      <c r="F15" s="926"/>
      <c r="G15" s="926"/>
      <c r="H15" s="926"/>
      <c r="I15" s="926"/>
      <c r="J15" s="926"/>
      <c r="K15" s="926"/>
      <c r="L15" s="926"/>
      <c r="M15" s="926"/>
      <c r="N15" s="926"/>
      <c r="O15" s="926"/>
      <c r="P15" s="926"/>
      <c r="Q15" s="926"/>
      <c r="R15" s="926"/>
      <c r="S15" s="926"/>
      <c r="T15" s="926"/>
      <c r="U15" s="926"/>
      <c r="V15" s="926"/>
      <c r="W15" s="926"/>
      <c r="X15" s="926"/>
      <c r="Y15" s="926"/>
      <c r="Z15" s="926"/>
      <c r="AA15" s="926"/>
      <c r="AB15" s="926"/>
      <c r="AC15" s="926"/>
      <c r="AD15" s="926"/>
      <c r="AE15" s="926"/>
      <c r="AF15" s="926"/>
      <c r="AG15" s="926"/>
      <c r="AH15" s="926"/>
      <c r="AI15" s="926"/>
      <c r="AJ15" s="926"/>
      <c r="AK15" s="926"/>
      <c r="AL15" s="926"/>
      <c r="AM15" s="926"/>
      <c r="AN15" s="926"/>
      <c r="AO15" s="926"/>
      <c r="AP15" s="926"/>
      <c r="AQ15" s="926"/>
      <c r="AR15" s="926"/>
      <c r="AS15" s="926"/>
      <c r="AT15" s="926"/>
      <c r="AU15" s="927"/>
      <c r="AV15" s="927"/>
      <c r="AW15" s="927"/>
      <c r="AX15" s="927"/>
      <c r="AY15" s="927"/>
      <c r="AZ15" s="927"/>
      <c r="BA15" s="927"/>
      <c r="BB15" s="927"/>
      <c r="BC15" s="928"/>
      <c r="BD15" s="929"/>
      <c r="BE15" s="930"/>
      <c r="BF15" s="930"/>
      <c r="BG15" s="931"/>
      <c r="BH15" s="931"/>
      <c r="BI15" s="926"/>
      <c r="BJ15" s="926"/>
      <c r="BK15" s="926"/>
      <c r="BL15" s="926"/>
      <c r="BM15" s="926"/>
      <c r="BN15" s="926"/>
      <c r="BO15" s="926"/>
      <c r="BP15" s="926"/>
      <c r="BQ15" s="926"/>
      <c r="BR15" s="926"/>
      <c r="BS15" s="926"/>
      <c r="BT15" s="926"/>
      <c r="BU15" s="926"/>
      <c r="BV15" s="926"/>
      <c r="BW15" s="926"/>
      <c r="BX15" s="926"/>
      <c r="BY15" s="932"/>
      <c r="BZ15" s="932"/>
      <c r="CA15" s="932"/>
      <c r="CB15" s="932"/>
      <c r="CC15" s="932"/>
      <c r="CD15" s="932"/>
      <c r="CE15" s="932"/>
      <c r="CF15" s="932"/>
    </row>
    <row r="16" spans="1:84" x14ac:dyDescent="0.25">
      <c r="A16" s="876">
        <v>10940</v>
      </c>
      <c r="B16" s="873" t="s">
        <v>1230</v>
      </c>
      <c r="C16" s="921">
        <v>98418381</v>
      </c>
      <c r="D16" s="924">
        <v>6.0572200000000005E-4</v>
      </c>
      <c r="E16" s="925"/>
      <c r="F16" s="926"/>
      <c r="G16" s="926"/>
      <c r="H16" s="926"/>
      <c r="I16" s="926"/>
      <c r="J16" s="926"/>
      <c r="K16" s="926"/>
      <c r="L16" s="926"/>
      <c r="M16" s="926"/>
      <c r="N16" s="926"/>
      <c r="O16" s="926"/>
      <c r="P16" s="926"/>
      <c r="Q16" s="926"/>
      <c r="R16" s="926"/>
      <c r="S16" s="926"/>
      <c r="T16" s="926"/>
      <c r="U16" s="926"/>
      <c r="V16" s="926"/>
      <c r="W16" s="926"/>
      <c r="X16" s="926"/>
      <c r="Y16" s="926"/>
      <c r="Z16" s="926"/>
      <c r="AA16" s="926"/>
      <c r="AB16" s="926"/>
      <c r="AC16" s="926"/>
      <c r="AD16" s="926"/>
      <c r="AE16" s="926"/>
      <c r="AF16" s="926"/>
      <c r="AG16" s="926"/>
      <c r="AH16" s="926"/>
      <c r="AI16" s="926"/>
      <c r="AJ16" s="926"/>
      <c r="AK16" s="926"/>
      <c r="AL16" s="926"/>
      <c r="AM16" s="926"/>
      <c r="AN16" s="926"/>
      <c r="AO16" s="926"/>
      <c r="AP16" s="926"/>
      <c r="AQ16" s="926"/>
      <c r="AR16" s="926"/>
      <c r="AS16" s="926"/>
      <c r="AT16" s="926"/>
      <c r="AU16" s="927"/>
      <c r="AV16" s="927"/>
      <c r="AW16" s="927"/>
      <c r="AX16" s="927"/>
      <c r="AY16" s="927"/>
      <c r="AZ16" s="927"/>
      <c r="BA16" s="927"/>
      <c r="BB16" s="927"/>
      <c r="BC16" s="928"/>
      <c r="BD16" s="929"/>
      <c r="BE16" s="930"/>
      <c r="BF16" s="930"/>
      <c r="BG16" s="931"/>
      <c r="BH16" s="931"/>
      <c r="BI16" s="926"/>
      <c r="BJ16" s="926"/>
      <c r="BK16" s="926"/>
      <c r="BL16" s="926"/>
      <c r="BM16" s="926"/>
      <c r="BN16" s="926"/>
      <c r="BO16" s="926"/>
      <c r="BP16" s="926"/>
      <c r="BQ16" s="926"/>
      <c r="BR16" s="926"/>
      <c r="BS16" s="926"/>
      <c r="BT16" s="926"/>
      <c r="BU16" s="926"/>
      <c r="BV16" s="926"/>
      <c r="BW16" s="926"/>
      <c r="BX16" s="926"/>
      <c r="BY16" s="932"/>
      <c r="BZ16" s="932"/>
      <c r="CA16" s="932"/>
      <c r="CB16" s="932"/>
      <c r="CC16" s="932"/>
      <c r="CD16" s="932"/>
      <c r="CE16" s="932"/>
      <c r="CF16" s="932"/>
    </row>
    <row r="17" spans="1:84" x14ac:dyDescent="0.25">
      <c r="A17" s="876">
        <v>10950</v>
      </c>
      <c r="B17" s="873" t="s">
        <v>1231</v>
      </c>
      <c r="C17" s="921">
        <v>117161496</v>
      </c>
      <c r="D17" s="924">
        <v>7.2107699999999998E-4</v>
      </c>
      <c r="E17" s="925"/>
      <c r="F17" s="926"/>
      <c r="G17" s="926"/>
      <c r="H17" s="926"/>
      <c r="I17" s="926"/>
      <c r="J17" s="926"/>
      <c r="K17" s="926"/>
      <c r="L17" s="926"/>
      <c r="M17" s="926"/>
      <c r="N17" s="926"/>
      <c r="O17" s="926"/>
      <c r="P17" s="926"/>
      <c r="Q17" s="926"/>
      <c r="R17" s="926"/>
      <c r="S17" s="926"/>
      <c r="T17" s="926"/>
      <c r="U17" s="926"/>
      <c r="V17" s="926"/>
      <c r="W17" s="926"/>
      <c r="X17" s="926"/>
      <c r="Y17" s="926"/>
      <c r="Z17" s="926"/>
      <c r="AA17" s="926"/>
      <c r="AB17" s="926"/>
      <c r="AC17" s="926"/>
      <c r="AD17" s="926"/>
      <c r="AE17" s="926"/>
      <c r="AF17" s="926"/>
      <c r="AG17" s="926"/>
      <c r="AH17" s="926"/>
      <c r="AI17" s="926"/>
      <c r="AJ17" s="926"/>
      <c r="AK17" s="926"/>
      <c r="AL17" s="926"/>
      <c r="AM17" s="926"/>
      <c r="AN17" s="926"/>
      <c r="AO17" s="926"/>
      <c r="AP17" s="926"/>
      <c r="AQ17" s="926"/>
      <c r="AR17" s="926"/>
      <c r="AS17" s="926"/>
      <c r="AT17" s="926"/>
      <c r="AU17" s="927"/>
      <c r="AV17" s="927"/>
      <c r="AW17" s="927"/>
      <c r="AX17" s="927"/>
      <c r="AY17" s="927"/>
      <c r="AZ17" s="927"/>
      <c r="BA17" s="927"/>
      <c r="BB17" s="927"/>
      <c r="BC17" s="928"/>
      <c r="BD17" s="929"/>
      <c r="BE17" s="930"/>
      <c r="BF17" s="930"/>
      <c r="BG17" s="931"/>
      <c r="BH17" s="931"/>
      <c r="BI17" s="926"/>
      <c r="BJ17" s="926"/>
      <c r="BK17" s="926"/>
      <c r="BL17" s="926"/>
      <c r="BM17" s="926"/>
      <c r="BN17" s="926"/>
      <c r="BO17" s="926"/>
      <c r="BP17" s="926"/>
      <c r="BQ17" s="926"/>
      <c r="BR17" s="926"/>
      <c r="BS17" s="926"/>
      <c r="BT17" s="926"/>
      <c r="BU17" s="926"/>
      <c r="BV17" s="926"/>
      <c r="BW17" s="926"/>
      <c r="BX17" s="926"/>
      <c r="BY17" s="932"/>
      <c r="BZ17" s="932"/>
      <c r="CA17" s="932"/>
      <c r="CB17" s="932"/>
      <c r="CC17" s="932"/>
      <c r="CD17" s="932"/>
      <c r="CE17" s="932"/>
      <c r="CF17" s="932"/>
    </row>
    <row r="18" spans="1:84" x14ac:dyDescent="0.25">
      <c r="A18" s="876">
        <v>11300</v>
      </c>
      <c r="B18" s="873" t="s">
        <v>1232</v>
      </c>
      <c r="C18" s="921">
        <v>663692776</v>
      </c>
      <c r="D18" s="924">
        <v>4.0847369999999997E-3</v>
      </c>
      <c r="E18" s="925"/>
      <c r="F18" s="926"/>
      <c r="G18" s="926"/>
      <c r="H18" s="926"/>
      <c r="I18" s="926"/>
      <c r="J18" s="926"/>
      <c r="K18" s="926"/>
      <c r="L18" s="926"/>
      <c r="M18" s="926"/>
      <c r="N18" s="926"/>
      <c r="O18" s="926"/>
      <c r="P18" s="926"/>
      <c r="Q18" s="926"/>
      <c r="R18" s="926"/>
      <c r="S18" s="926"/>
      <c r="T18" s="926"/>
      <c r="U18" s="926"/>
      <c r="V18" s="926"/>
      <c r="W18" s="926"/>
      <c r="X18" s="926"/>
      <c r="Y18" s="926"/>
      <c r="Z18" s="926"/>
      <c r="AA18" s="926"/>
      <c r="AB18" s="926"/>
      <c r="AC18" s="926"/>
      <c r="AD18" s="926"/>
      <c r="AE18" s="926"/>
      <c r="AF18" s="926"/>
      <c r="AG18" s="926"/>
      <c r="AH18" s="926"/>
      <c r="AI18" s="926"/>
      <c r="AJ18" s="926"/>
      <c r="AK18" s="926"/>
      <c r="AL18" s="926"/>
      <c r="AM18" s="926"/>
      <c r="AN18" s="926"/>
      <c r="AO18" s="926"/>
      <c r="AP18" s="926"/>
      <c r="AQ18" s="926"/>
      <c r="AR18" s="926"/>
      <c r="AS18" s="926"/>
      <c r="AT18" s="926"/>
      <c r="AU18" s="927"/>
      <c r="AV18" s="927"/>
      <c r="AW18" s="927"/>
      <c r="AX18" s="927"/>
      <c r="AY18" s="927"/>
      <c r="AZ18" s="927"/>
      <c r="BA18" s="927"/>
      <c r="BB18" s="927"/>
      <c r="BC18" s="928"/>
      <c r="BD18" s="929"/>
      <c r="BE18" s="930"/>
      <c r="BF18" s="930"/>
      <c r="BG18" s="931"/>
      <c r="BH18" s="931"/>
      <c r="BI18" s="926"/>
      <c r="BJ18" s="926"/>
      <c r="BK18" s="926"/>
      <c r="BL18" s="926"/>
      <c r="BM18" s="926"/>
      <c r="BN18" s="926"/>
      <c r="BO18" s="926"/>
      <c r="BP18" s="926"/>
      <c r="BQ18" s="926"/>
      <c r="BR18" s="926"/>
      <c r="BS18" s="926"/>
      <c r="BT18" s="926"/>
      <c r="BU18" s="926"/>
      <c r="BV18" s="926"/>
      <c r="BW18" s="926"/>
      <c r="BX18" s="926"/>
      <c r="BY18" s="932"/>
      <c r="BZ18" s="932"/>
      <c r="CA18" s="932"/>
      <c r="CB18" s="932"/>
      <c r="CC18" s="932"/>
      <c r="CD18" s="932"/>
      <c r="CE18" s="932"/>
      <c r="CF18" s="932"/>
    </row>
    <row r="19" spans="1:84" x14ac:dyDescent="0.25">
      <c r="A19" s="876">
        <v>11310</v>
      </c>
      <c r="B19" s="873" t="s">
        <v>1233</v>
      </c>
      <c r="C19" s="921">
        <v>76416085</v>
      </c>
      <c r="D19" s="924">
        <v>4.70307E-4</v>
      </c>
      <c r="E19" s="925"/>
      <c r="F19" s="926"/>
      <c r="G19" s="926"/>
      <c r="H19" s="926"/>
      <c r="I19" s="926"/>
      <c r="J19" s="926"/>
      <c r="K19" s="926"/>
      <c r="L19" s="926"/>
      <c r="M19" s="926"/>
      <c r="N19" s="926"/>
      <c r="O19" s="926"/>
      <c r="P19" s="926"/>
      <c r="Q19" s="926"/>
      <c r="R19" s="926"/>
      <c r="S19" s="926"/>
      <c r="T19" s="926"/>
      <c r="U19" s="926"/>
      <c r="V19" s="926"/>
      <c r="W19" s="926"/>
      <c r="X19" s="926"/>
      <c r="Y19" s="926"/>
      <c r="Z19" s="926"/>
      <c r="AA19" s="926"/>
      <c r="AB19" s="926"/>
      <c r="AC19" s="926"/>
      <c r="AD19" s="926"/>
      <c r="AE19" s="926"/>
      <c r="AF19" s="926"/>
      <c r="AG19" s="926"/>
      <c r="AH19" s="926"/>
      <c r="AI19" s="926"/>
      <c r="AJ19" s="926"/>
      <c r="AK19" s="926"/>
      <c r="AL19" s="926"/>
      <c r="AM19" s="926"/>
      <c r="AN19" s="926"/>
      <c r="AO19" s="926"/>
      <c r="AP19" s="926"/>
      <c r="AQ19" s="926"/>
      <c r="AR19" s="926"/>
      <c r="AS19" s="926"/>
      <c r="AT19" s="926"/>
      <c r="AU19" s="927"/>
      <c r="AV19" s="927"/>
      <c r="AW19" s="927"/>
      <c r="AX19" s="927"/>
      <c r="AY19" s="927"/>
      <c r="AZ19" s="927"/>
      <c r="BA19" s="927"/>
      <c r="BB19" s="927"/>
      <c r="BC19" s="928"/>
      <c r="BD19" s="929"/>
      <c r="BE19" s="930"/>
      <c r="BF19" s="930"/>
      <c r="BG19" s="931"/>
      <c r="BH19" s="931"/>
      <c r="BI19" s="926"/>
      <c r="BJ19" s="926"/>
      <c r="BK19" s="926"/>
      <c r="BL19" s="926"/>
      <c r="BM19" s="926"/>
      <c r="BN19" s="926"/>
      <c r="BO19" s="926"/>
      <c r="BP19" s="926"/>
      <c r="BQ19" s="926"/>
      <c r="BR19" s="926"/>
      <c r="BS19" s="926"/>
      <c r="BT19" s="926"/>
      <c r="BU19" s="926"/>
      <c r="BV19" s="926"/>
      <c r="BW19" s="926"/>
      <c r="BX19" s="926"/>
      <c r="BY19" s="932"/>
      <c r="BZ19" s="932"/>
      <c r="CA19" s="932"/>
      <c r="CB19" s="932"/>
      <c r="CC19" s="932"/>
      <c r="CD19" s="932"/>
      <c r="CE19" s="932"/>
      <c r="CF19" s="932"/>
    </row>
    <row r="20" spans="1:84" x14ac:dyDescent="0.25">
      <c r="A20" s="876">
        <v>11600</v>
      </c>
      <c r="B20" s="873" t="s">
        <v>1234</v>
      </c>
      <c r="C20" s="921">
        <v>306685702</v>
      </c>
      <c r="D20" s="924">
        <v>1.8875160000000001E-3</v>
      </c>
      <c r="E20" s="925"/>
      <c r="F20" s="926"/>
      <c r="G20" s="926"/>
      <c r="H20" s="926"/>
      <c r="I20" s="926"/>
      <c r="J20" s="926"/>
      <c r="K20" s="926"/>
      <c r="L20" s="926"/>
      <c r="M20" s="926"/>
      <c r="N20" s="926"/>
      <c r="O20" s="926"/>
      <c r="P20" s="926"/>
      <c r="Q20" s="926"/>
      <c r="R20" s="926"/>
      <c r="S20" s="926"/>
      <c r="T20" s="926"/>
      <c r="U20" s="926"/>
      <c r="V20" s="926"/>
      <c r="W20" s="926"/>
      <c r="X20" s="926"/>
      <c r="Y20" s="926"/>
      <c r="Z20" s="926"/>
      <c r="AA20" s="926"/>
      <c r="AB20" s="926"/>
      <c r="AC20" s="926"/>
      <c r="AD20" s="926"/>
      <c r="AE20" s="926"/>
      <c r="AF20" s="926"/>
      <c r="AG20" s="926"/>
      <c r="AH20" s="926"/>
      <c r="AI20" s="926"/>
      <c r="AJ20" s="926"/>
      <c r="AK20" s="926"/>
      <c r="AL20" s="926"/>
      <c r="AM20" s="926"/>
      <c r="AN20" s="926"/>
      <c r="AO20" s="926"/>
      <c r="AP20" s="926"/>
      <c r="AQ20" s="926"/>
      <c r="AR20" s="926"/>
      <c r="AS20" s="926"/>
      <c r="AT20" s="926"/>
      <c r="AU20" s="927"/>
      <c r="AV20" s="927"/>
      <c r="AW20" s="927"/>
      <c r="AX20" s="927"/>
      <c r="AY20" s="927"/>
      <c r="AZ20" s="927"/>
      <c r="BA20" s="927"/>
      <c r="BB20" s="927"/>
      <c r="BC20" s="928"/>
      <c r="BD20" s="929"/>
      <c r="BE20" s="930"/>
      <c r="BF20" s="930"/>
      <c r="BG20" s="931"/>
      <c r="BH20" s="931"/>
      <c r="BI20" s="926"/>
      <c r="BJ20" s="926"/>
      <c r="BK20" s="926"/>
      <c r="BL20" s="926"/>
      <c r="BM20" s="926"/>
      <c r="BN20" s="926"/>
      <c r="BO20" s="926"/>
      <c r="BP20" s="926"/>
      <c r="BQ20" s="926"/>
      <c r="BR20" s="926"/>
      <c r="BS20" s="926"/>
      <c r="BT20" s="926"/>
      <c r="BU20" s="926"/>
      <c r="BV20" s="926"/>
      <c r="BW20" s="926"/>
      <c r="BX20" s="926"/>
      <c r="BY20" s="932"/>
      <c r="BZ20" s="932"/>
      <c r="CA20" s="932"/>
      <c r="CB20" s="932"/>
      <c r="CC20" s="932"/>
      <c r="CD20" s="932"/>
      <c r="CE20" s="932"/>
      <c r="CF20" s="932"/>
    </row>
    <row r="21" spans="1:84" x14ac:dyDescent="0.25">
      <c r="A21" s="876">
        <v>11900</v>
      </c>
      <c r="B21" s="873" t="s">
        <v>1235</v>
      </c>
      <c r="C21" s="921">
        <v>31033406</v>
      </c>
      <c r="D21" s="924">
        <v>1.9099699999999999E-4</v>
      </c>
      <c r="E21" s="925"/>
      <c r="F21" s="926"/>
      <c r="G21" s="926"/>
      <c r="H21" s="926"/>
      <c r="I21" s="926"/>
      <c r="J21" s="926"/>
      <c r="K21" s="926"/>
      <c r="L21" s="926"/>
      <c r="M21" s="926"/>
      <c r="N21" s="926"/>
      <c r="O21" s="926"/>
      <c r="P21" s="926"/>
      <c r="Q21" s="926"/>
      <c r="R21" s="926"/>
      <c r="S21" s="926"/>
      <c r="T21" s="926"/>
      <c r="U21" s="926"/>
      <c r="V21" s="926"/>
      <c r="W21" s="926"/>
      <c r="X21" s="926"/>
      <c r="Y21" s="926"/>
      <c r="Z21" s="926"/>
      <c r="AA21" s="926"/>
      <c r="AB21" s="926"/>
      <c r="AC21" s="926"/>
      <c r="AD21" s="926"/>
      <c r="AE21" s="926"/>
      <c r="AF21" s="926"/>
      <c r="AG21" s="926"/>
      <c r="AH21" s="926"/>
      <c r="AI21" s="926"/>
      <c r="AJ21" s="926"/>
      <c r="AK21" s="926"/>
      <c r="AL21" s="926"/>
      <c r="AM21" s="926"/>
      <c r="AN21" s="926"/>
      <c r="AO21" s="926"/>
      <c r="AP21" s="926"/>
      <c r="AQ21" s="926"/>
      <c r="AR21" s="926"/>
      <c r="AS21" s="926"/>
      <c r="AT21" s="926"/>
      <c r="AU21" s="927"/>
      <c r="AV21" s="927"/>
      <c r="AW21" s="927"/>
      <c r="AX21" s="927"/>
      <c r="AY21" s="927"/>
      <c r="AZ21" s="927"/>
      <c r="BA21" s="927"/>
      <c r="BB21" s="927"/>
      <c r="BC21" s="928"/>
      <c r="BD21" s="929"/>
      <c r="BE21" s="930"/>
      <c r="BF21" s="930"/>
      <c r="BG21" s="931"/>
      <c r="BH21" s="931"/>
      <c r="BI21" s="926"/>
      <c r="BJ21" s="926"/>
      <c r="BK21" s="926"/>
      <c r="BL21" s="926"/>
      <c r="BM21" s="926"/>
      <c r="BN21" s="926"/>
      <c r="BO21" s="926"/>
      <c r="BP21" s="926"/>
      <c r="BQ21" s="926"/>
      <c r="BR21" s="926"/>
      <c r="BS21" s="926"/>
      <c r="BT21" s="926"/>
      <c r="BU21" s="926"/>
      <c r="BV21" s="926"/>
      <c r="BW21" s="926"/>
      <c r="BX21" s="926"/>
      <c r="BY21" s="932"/>
      <c r="BZ21" s="932"/>
      <c r="CA21" s="932"/>
      <c r="CB21" s="932"/>
      <c r="CC21" s="932"/>
      <c r="CD21" s="932"/>
      <c r="CE21" s="932"/>
      <c r="CF21" s="932"/>
    </row>
    <row r="22" spans="1:84" x14ac:dyDescent="0.25">
      <c r="A22" s="876">
        <v>12100</v>
      </c>
      <c r="B22" s="873" t="s">
        <v>1236</v>
      </c>
      <c r="C22" s="921">
        <v>36513981</v>
      </c>
      <c r="D22" s="924">
        <v>2.2472799999999999E-4</v>
      </c>
      <c r="E22" s="925"/>
      <c r="F22" s="926"/>
      <c r="G22" s="926"/>
      <c r="H22" s="926"/>
      <c r="I22" s="926"/>
      <c r="J22" s="926"/>
      <c r="K22" s="926"/>
      <c r="L22" s="926"/>
      <c r="M22" s="926"/>
      <c r="N22" s="926"/>
      <c r="O22" s="926"/>
      <c r="P22" s="926"/>
      <c r="Q22" s="926"/>
      <c r="R22" s="926"/>
      <c r="S22" s="926"/>
      <c r="T22" s="926"/>
      <c r="U22" s="926"/>
      <c r="V22" s="926"/>
      <c r="W22" s="926"/>
      <c r="X22" s="926"/>
      <c r="Y22" s="926"/>
      <c r="Z22" s="926"/>
      <c r="AA22" s="926"/>
      <c r="AB22" s="926"/>
      <c r="AC22" s="926"/>
      <c r="AD22" s="926"/>
      <c r="AE22" s="926"/>
      <c r="AF22" s="926"/>
      <c r="AG22" s="926"/>
      <c r="AH22" s="926"/>
      <c r="AI22" s="926"/>
      <c r="AJ22" s="926"/>
      <c r="AK22" s="926"/>
      <c r="AL22" s="926"/>
      <c r="AM22" s="926"/>
      <c r="AN22" s="926"/>
      <c r="AO22" s="926"/>
      <c r="AP22" s="926"/>
      <c r="AQ22" s="926"/>
      <c r="AR22" s="926"/>
      <c r="AS22" s="926"/>
      <c r="AT22" s="926"/>
      <c r="AU22" s="927"/>
      <c r="AV22" s="927"/>
      <c r="AW22" s="927"/>
      <c r="AX22" s="927"/>
      <c r="AY22" s="927"/>
      <c r="AZ22" s="927"/>
      <c r="BA22" s="927"/>
      <c r="BB22" s="927"/>
      <c r="BC22" s="928"/>
      <c r="BD22" s="929"/>
      <c r="BE22" s="930"/>
      <c r="BF22" s="930"/>
      <c r="BG22" s="931"/>
      <c r="BH22" s="931"/>
      <c r="BI22" s="926"/>
      <c r="BJ22" s="926"/>
      <c r="BK22" s="926"/>
      <c r="BL22" s="926"/>
      <c r="BM22" s="926"/>
      <c r="BN22" s="926"/>
      <c r="BO22" s="926"/>
      <c r="BP22" s="926"/>
      <c r="BQ22" s="926"/>
      <c r="BR22" s="926"/>
      <c r="BS22" s="926"/>
      <c r="BT22" s="926"/>
      <c r="BU22" s="926"/>
      <c r="BV22" s="926"/>
      <c r="BW22" s="926"/>
      <c r="BX22" s="926"/>
      <c r="BY22" s="932"/>
      <c r="BZ22" s="932"/>
      <c r="CA22" s="932"/>
      <c r="CB22" s="932"/>
      <c r="CC22" s="932"/>
      <c r="CD22" s="932"/>
      <c r="CE22" s="932"/>
      <c r="CF22" s="932"/>
    </row>
    <row r="23" spans="1:84" x14ac:dyDescent="0.25">
      <c r="A23" s="876">
        <v>12150</v>
      </c>
      <c r="B23" s="873" t="s">
        <v>1237</v>
      </c>
      <c r="C23" s="921">
        <v>6236085</v>
      </c>
      <c r="D23" s="924">
        <v>3.8380000000000002E-5</v>
      </c>
      <c r="E23" s="925"/>
      <c r="F23" s="926"/>
      <c r="G23" s="926"/>
      <c r="H23" s="926"/>
      <c r="I23" s="926"/>
      <c r="J23" s="926"/>
      <c r="K23" s="926"/>
      <c r="L23" s="926"/>
      <c r="M23" s="926"/>
      <c r="N23" s="926"/>
      <c r="O23" s="926"/>
      <c r="P23" s="926"/>
      <c r="Q23" s="926"/>
      <c r="R23" s="926"/>
      <c r="S23" s="926"/>
      <c r="T23" s="926"/>
      <c r="U23" s="926"/>
      <c r="V23" s="926"/>
      <c r="W23" s="926"/>
      <c r="X23" s="926"/>
      <c r="Y23" s="926"/>
      <c r="Z23" s="926"/>
      <c r="AA23" s="926"/>
      <c r="AB23" s="926"/>
      <c r="AC23" s="926"/>
      <c r="AD23" s="926"/>
      <c r="AE23" s="926"/>
      <c r="AF23" s="926"/>
      <c r="AG23" s="926"/>
      <c r="AH23" s="926"/>
      <c r="AI23" s="926"/>
      <c r="AJ23" s="926"/>
      <c r="AK23" s="926"/>
      <c r="AL23" s="926"/>
      <c r="AM23" s="926"/>
      <c r="AN23" s="926"/>
      <c r="AO23" s="926"/>
      <c r="AP23" s="926"/>
      <c r="AQ23" s="926"/>
      <c r="AR23" s="926"/>
      <c r="AS23" s="926"/>
      <c r="AT23" s="926"/>
      <c r="AU23" s="927"/>
      <c r="AV23" s="927"/>
      <c r="AW23" s="927"/>
      <c r="AX23" s="927"/>
      <c r="AY23" s="927"/>
      <c r="AZ23" s="927"/>
      <c r="BA23" s="927"/>
      <c r="BB23" s="927"/>
      <c r="BC23" s="928"/>
      <c r="BD23" s="929"/>
      <c r="BE23" s="930"/>
      <c r="BF23" s="930"/>
      <c r="BG23" s="931"/>
      <c r="BH23" s="931"/>
      <c r="BI23" s="926"/>
      <c r="BJ23" s="926"/>
      <c r="BK23" s="926"/>
      <c r="BL23" s="926"/>
      <c r="BM23" s="926"/>
      <c r="BN23" s="926"/>
      <c r="BO23" s="926"/>
      <c r="BP23" s="926"/>
      <c r="BQ23" s="926"/>
      <c r="BR23" s="926"/>
      <c r="BS23" s="926"/>
      <c r="BT23" s="926"/>
      <c r="BU23" s="926"/>
      <c r="BV23" s="926"/>
      <c r="BW23" s="926"/>
      <c r="BX23" s="926"/>
      <c r="BY23" s="932"/>
      <c r="BZ23" s="932"/>
      <c r="CA23" s="932"/>
      <c r="CB23" s="932"/>
      <c r="CC23" s="932"/>
      <c r="CD23" s="932"/>
      <c r="CE23" s="932"/>
      <c r="CF23" s="932"/>
    </row>
    <row r="24" spans="1:84" x14ac:dyDescent="0.25">
      <c r="A24" s="876">
        <v>12160</v>
      </c>
      <c r="B24" s="873" t="s">
        <v>1238</v>
      </c>
      <c r="C24" s="921">
        <v>269976460</v>
      </c>
      <c r="D24" s="924">
        <v>1.6615860000000001E-3</v>
      </c>
      <c r="E24" s="925"/>
      <c r="F24" s="926"/>
      <c r="G24" s="926"/>
      <c r="H24" s="926"/>
      <c r="I24" s="926"/>
      <c r="J24" s="926"/>
      <c r="K24" s="926"/>
      <c r="L24" s="926"/>
      <c r="M24" s="926"/>
      <c r="N24" s="926"/>
      <c r="O24" s="926"/>
      <c r="P24" s="926"/>
      <c r="Q24" s="926"/>
      <c r="R24" s="926"/>
      <c r="S24" s="926"/>
      <c r="T24" s="926"/>
      <c r="U24" s="926"/>
      <c r="V24" s="926"/>
      <c r="W24" s="926"/>
      <c r="X24" s="926"/>
      <c r="Y24" s="926"/>
      <c r="Z24" s="926"/>
      <c r="AA24" s="926"/>
      <c r="AB24" s="926"/>
      <c r="AC24" s="926"/>
      <c r="AD24" s="926"/>
      <c r="AE24" s="926"/>
      <c r="AF24" s="926"/>
      <c r="AG24" s="926"/>
      <c r="AH24" s="926"/>
      <c r="AI24" s="926"/>
      <c r="AJ24" s="926"/>
      <c r="AK24" s="926"/>
      <c r="AL24" s="926"/>
      <c r="AM24" s="926"/>
      <c r="AN24" s="926"/>
      <c r="AO24" s="926"/>
      <c r="AP24" s="926"/>
      <c r="AQ24" s="926"/>
      <c r="AR24" s="926"/>
      <c r="AS24" s="926"/>
      <c r="AT24" s="926"/>
      <c r="AU24" s="927"/>
      <c r="AV24" s="927"/>
      <c r="AW24" s="927"/>
      <c r="AX24" s="927"/>
      <c r="AY24" s="927"/>
      <c r="AZ24" s="927"/>
      <c r="BA24" s="927"/>
      <c r="BB24" s="927"/>
      <c r="BC24" s="928"/>
      <c r="BD24" s="929"/>
      <c r="BE24" s="930"/>
      <c r="BF24" s="930"/>
      <c r="BG24" s="931"/>
      <c r="BH24" s="931"/>
      <c r="BI24" s="926"/>
      <c r="BJ24" s="926"/>
      <c r="BK24" s="926"/>
      <c r="BL24" s="926"/>
      <c r="BM24" s="926"/>
      <c r="BN24" s="926"/>
      <c r="BO24" s="926"/>
      <c r="BP24" s="926"/>
      <c r="BQ24" s="926"/>
      <c r="BR24" s="926"/>
      <c r="BS24" s="926"/>
      <c r="BT24" s="926"/>
      <c r="BU24" s="926"/>
      <c r="BV24" s="926"/>
      <c r="BW24" s="926"/>
      <c r="BX24" s="926"/>
      <c r="BY24" s="932"/>
      <c r="BZ24" s="932"/>
      <c r="CA24" s="932"/>
      <c r="CB24" s="932"/>
      <c r="CC24" s="932"/>
      <c r="CD24" s="932"/>
      <c r="CE24" s="932"/>
      <c r="CF24" s="932"/>
    </row>
    <row r="25" spans="1:84" x14ac:dyDescent="0.25">
      <c r="A25" s="876">
        <v>12220</v>
      </c>
      <c r="B25" s="873" t="s">
        <v>1239</v>
      </c>
      <c r="C25" s="921">
        <v>6757995556</v>
      </c>
      <c r="D25" s="924">
        <v>4.1592492000000002E-2</v>
      </c>
      <c r="E25" s="925"/>
      <c r="F25" s="926"/>
      <c r="G25" s="926"/>
      <c r="H25" s="926"/>
      <c r="I25" s="926"/>
      <c r="J25" s="926"/>
      <c r="K25" s="926"/>
      <c r="L25" s="926"/>
      <c r="M25" s="926"/>
      <c r="N25" s="926"/>
      <c r="O25" s="926"/>
      <c r="P25" s="926"/>
      <c r="Q25" s="926"/>
      <c r="R25" s="926"/>
      <c r="S25" s="926"/>
      <c r="T25" s="926"/>
      <c r="U25" s="926"/>
      <c r="V25" s="926"/>
      <c r="W25" s="926"/>
      <c r="X25" s="926"/>
      <c r="Y25" s="926"/>
      <c r="Z25" s="926"/>
      <c r="AA25" s="926"/>
      <c r="AB25" s="926"/>
      <c r="AC25" s="926"/>
      <c r="AD25" s="926"/>
      <c r="AE25" s="926"/>
      <c r="AF25" s="926"/>
      <c r="AG25" s="926"/>
      <c r="AH25" s="926"/>
      <c r="AI25" s="926"/>
      <c r="AJ25" s="926"/>
      <c r="AK25" s="926"/>
      <c r="AL25" s="926"/>
      <c r="AM25" s="926"/>
      <c r="AN25" s="926"/>
      <c r="AO25" s="926"/>
      <c r="AP25" s="926"/>
      <c r="AQ25" s="926"/>
      <c r="AR25" s="926"/>
      <c r="AS25" s="926"/>
      <c r="AT25" s="926"/>
      <c r="AU25" s="927"/>
      <c r="AV25" s="927"/>
      <c r="AW25" s="927"/>
      <c r="AX25" s="927"/>
      <c r="AY25" s="927"/>
      <c r="AZ25" s="927"/>
      <c r="BA25" s="927"/>
      <c r="BB25" s="927"/>
      <c r="BC25" s="928"/>
      <c r="BD25" s="929"/>
      <c r="BE25" s="930"/>
      <c r="BF25" s="930"/>
      <c r="BG25" s="931"/>
      <c r="BH25" s="931"/>
      <c r="BI25" s="926"/>
      <c r="BJ25" s="926"/>
      <c r="BK25" s="926"/>
      <c r="BL25" s="926"/>
      <c r="BM25" s="926"/>
      <c r="BN25" s="926"/>
      <c r="BO25" s="926"/>
      <c r="BP25" s="926"/>
      <c r="BQ25" s="926"/>
      <c r="BR25" s="926"/>
      <c r="BS25" s="926"/>
      <c r="BT25" s="926"/>
      <c r="BU25" s="926"/>
      <c r="BV25" s="926"/>
      <c r="BW25" s="926"/>
      <c r="BX25" s="926"/>
      <c r="BY25" s="932"/>
      <c r="BZ25" s="932"/>
      <c r="CA25" s="932"/>
      <c r="CB25" s="932"/>
      <c r="CC25" s="932"/>
      <c r="CD25" s="932"/>
      <c r="CE25" s="932"/>
      <c r="CF25" s="932"/>
    </row>
    <row r="26" spans="1:84" x14ac:dyDescent="0.25">
      <c r="A26" s="876">
        <v>12510</v>
      </c>
      <c r="B26" s="873" t="s">
        <v>1240</v>
      </c>
      <c r="C26" s="921">
        <v>637920734</v>
      </c>
      <c r="D26" s="924">
        <v>3.9261219999999998E-3</v>
      </c>
      <c r="E26" s="925"/>
      <c r="F26" s="926"/>
      <c r="G26" s="926"/>
      <c r="H26" s="926"/>
      <c r="I26" s="926"/>
      <c r="J26" s="926"/>
      <c r="K26" s="926"/>
      <c r="L26" s="926"/>
      <c r="M26" s="926"/>
      <c r="N26" s="926"/>
      <c r="O26" s="926"/>
      <c r="P26" s="926"/>
      <c r="Q26" s="926"/>
      <c r="R26" s="926"/>
      <c r="S26" s="926"/>
      <c r="T26" s="926"/>
      <c r="U26" s="926"/>
      <c r="V26" s="926"/>
      <c r="W26" s="926"/>
      <c r="X26" s="926"/>
      <c r="Y26" s="926"/>
      <c r="Z26" s="926"/>
      <c r="AA26" s="926"/>
      <c r="AB26" s="926"/>
      <c r="AC26" s="926"/>
      <c r="AD26" s="926"/>
      <c r="AE26" s="926"/>
      <c r="AF26" s="926"/>
      <c r="AG26" s="926"/>
      <c r="AH26" s="926"/>
      <c r="AI26" s="926"/>
      <c r="AJ26" s="926"/>
      <c r="AK26" s="926"/>
      <c r="AL26" s="926"/>
      <c r="AM26" s="926"/>
      <c r="AN26" s="926"/>
      <c r="AO26" s="926"/>
      <c r="AP26" s="926"/>
      <c r="AQ26" s="926"/>
      <c r="AR26" s="926"/>
      <c r="AS26" s="926"/>
      <c r="AT26" s="926"/>
      <c r="AU26" s="927"/>
      <c r="AV26" s="927"/>
      <c r="AW26" s="927"/>
      <c r="AX26" s="927"/>
      <c r="AY26" s="927"/>
      <c r="AZ26" s="927"/>
      <c r="BA26" s="927"/>
      <c r="BB26" s="927"/>
      <c r="BC26" s="928"/>
      <c r="BD26" s="929"/>
      <c r="BE26" s="930"/>
      <c r="BF26" s="930"/>
      <c r="BG26" s="931"/>
      <c r="BH26" s="931"/>
      <c r="BI26" s="926"/>
      <c r="BJ26" s="926"/>
      <c r="BK26" s="926"/>
      <c r="BL26" s="926"/>
      <c r="BM26" s="926"/>
      <c r="BN26" s="926"/>
      <c r="BO26" s="926"/>
      <c r="BP26" s="926"/>
      <c r="BQ26" s="926"/>
      <c r="BR26" s="926"/>
      <c r="BS26" s="926"/>
      <c r="BT26" s="926"/>
      <c r="BU26" s="926"/>
      <c r="BV26" s="926"/>
      <c r="BW26" s="926"/>
      <c r="BX26" s="926"/>
      <c r="BY26" s="932"/>
      <c r="BZ26" s="932"/>
      <c r="CA26" s="932"/>
      <c r="CB26" s="932"/>
      <c r="CC26" s="932"/>
      <c r="CD26" s="932"/>
      <c r="CE26" s="932"/>
      <c r="CF26" s="932"/>
    </row>
    <row r="27" spans="1:84" x14ac:dyDescent="0.25">
      <c r="A27" s="876">
        <v>12600</v>
      </c>
      <c r="B27" s="873" t="s">
        <v>1241</v>
      </c>
      <c r="C27" s="921">
        <v>276067384</v>
      </c>
      <c r="D27" s="924">
        <v>1.6990729999999999E-3</v>
      </c>
      <c r="E27" s="925"/>
      <c r="F27" s="926"/>
      <c r="G27" s="926"/>
      <c r="H27" s="926"/>
      <c r="I27" s="926"/>
      <c r="J27" s="926"/>
      <c r="K27" s="926"/>
      <c r="L27" s="926"/>
      <c r="M27" s="926"/>
      <c r="N27" s="926"/>
      <c r="O27" s="926"/>
      <c r="P27" s="926"/>
      <c r="Q27" s="926"/>
      <c r="R27" s="926"/>
      <c r="S27" s="926"/>
      <c r="T27" s="926"/>
      <c r="U27" s="926"/>
      <c r="V27" s="926"/>
      <c r="W27" s="926"/>
      <c r="X27" s="926"/>
      <c r="Y27" s="926"/>
      <c r="Z27" s="926"/>
      <c r="AA27" s="926"/>
      <c r="AB27" s="926"/>
      <c r="AC27" s="926"/>
      <c r="AD27" s="926"/>
      <c r="AE27" s="926"/>
      <c r="AF27" s="926"/>
      <c r="AG27" s="926"/>
      <c r="AH27" s="926"/>
      <c r="AI27" s="926"/>
      <c r="AJ27" s="926"/>
      <c r="AK27" s="926"/>
      <c r="AL27" s="926"/>
      <c r="AM27" s="926"/>
      <c r="AN27" s="926"/>
      <c r="AO27" s="926"/>
      <c r="AP27" s="926"/>
      <c r="AQ27" s="926"/>
      <c r="AR27" s="926"/>
      <c r="AS27" s="926"/>
      <c r="AT27" s="926"/>
      <c r="AU27" s="927"/>
      <c r="AV27" s="927"/>
      <c r="AW27" s="927"/>
      <c r="AX27" s="927"/>
      <c r="AY27" s="927"/>
      <c r="AZ27" s="927"/>
      <c r="BA27" s="927"/>
      <c r="BB27" s="927"/>
      <c r="BC27" s="928"/>
      <c r="BD27" s="929"/>
      <c r="BE27" s="930"/>
      <c r="BF27" s="930"/>
      <c r="BG27" s="931"/>
      <c r="BH27" s="931"/>
      <c r="BI27" s="926"/>
      <c r="BJ27" s="926"/>
      <c r="BK27" s="926"/>
      <c r="BL27" s="926"/>
      <c r="BM27" s="926"/>
      <c r="BN27" s="926"/>
      <c r="BO27" s="926"/>
      <c r="BP27" s="926"/>
      <c r="BQ27" s="926"/>
      <c r="BR27" s="926"/>
      <c r="BS27" s="926"/>
      <c r="BT27" s="926"/>
      <c r="BU27" s="926"/>
      <c r="BV27" s="926"/>
      <c r="BW27" s="926"/>
      <c r="BX27" s="926"/>
      <c r="BY27" s="932"/>
      <c r="BZ27" s="932"/>
      <c r="CA27" s="932"/>
      <c r="CB27" s="932"/>
      <c r="CC27" s="932"/>
      <c r="CD27" s="932"/>
      <c r="CE27" s="932"/>
      <c r="CF27" s="932"/>
    </row>
    <row r="28" spans="1:84" x14ac:dyDescent="0.25">
      <c r="A28" s="876">
        <v>12700</v>
      </c>
      <c r="B28" s="873" t="s">
        <v>1242</v>
      </c>
      <c r="C28" s="921">
        <v>161262001</v>
      </c>
      <c r="D28" s="924">
        <v>9.9249699999999995E-4</v>
      </c>
      <c r="E28" s="925"/>
      <c r="F28" s="926"/>
      <c r="G28" s="926"/>
      <c r="H28" s="926"/>
      <c r="I28" s="926"/>
      <c r="J28" s="926"/>
      <c r="K28" s="926"/>
      <c r="L28" s="926"/>
      <c r="M28" s="926"/>
      <c r="N28" s="926"/>
      <c r="O28" s="926"/>
      <c r="P28" s="926"/>
      <c r="Q28" s="926"/>
      <c r="R28" s="926"/>
      <c r="S28" s="926"/>
      <c r="T28" s="926"/>
      <c r="U28" s="926"/>
      <c r="V28" s="926"/>
      <c r="W28" s="926"/>
      <c r="X28" s="926"/>
      <c r="Y28" s="926"/>
      <c r="Z28" s="926"/>
      <c r="AA28" s="926"/>
      <c r="AB28" s="926"/>
      <c r="AC28" s="926"/>
      <c r="AD28" s="926"/>
      <c r="AE28" s="926"/>
      <c r="AF28" s="926"/>
      <c r="AG28" s="926"/>
      <c r="AH28" s="926"/>
      <c r="AI28" s="926"/>
      <c r="AJ28" s="926"/>
      <c r="AK28" s="926"/>
      <c r="AL28" s="926"/>
      <c r="AM28" s="926"/>
      <c r="AN28" s="926"/>
      <c r="AO28" s="926"/>
      <c r="AP28" s="926"/>
      <c r="AQ28" s="926"/>
      <c r="AR28" s="926"/>
      <c r="AS28" s="926"/>
      <c r="AT28" s="926"/>
      <c r="AU28" s="927"/>
      <c r="AV28" s="927"/>
      <c r="AW28" s="927"/>
      <c r="AX28" s="927"/>
      <c r="AY28" s="927"/>
      <c r="AZ28" s="927"/>
      <c r="BA28" s="927"/>
      <c r="BB28" s="927"/>
      <c r="BC28" s="928"/>
      <c r="BD28" s="929"/>
      <c r="BE28" s="930"/>
      <c r="BF28" s="930"/>
      <c r="BG28" s="931"/>
      <c r="BH28" s="931"/>
      <c r="BI28" s="926"/>
      <c r="BJ28" s="926"/>
      <c r="BK28" s="926"/>
      <c r="BL28" s="926"/>
      <c r="BM28" s="926"/>
      <c r="BN28" s="926"/>
      <c r="BO28" s="926"/>
      <c r="BP28" s="926"/>
      <c r="BQ28" s="926"/>
      <c r="BR28" s="926"/>
      <c r="BS28" s="926"/>
      <c r="BT28" s="926"/>
      <c r="BU28" s="926"/>
      <c r="BV28" s="926"/>
      <c r="BW28" s="926"/>
      <c r="BX28" s="926"/>
      <c r="BY28" s="932"/>
      <c r="BZ28" s="932"/>
      <c r="CA28" s="932"/>
      <c r="CB28" s="932"/>
      <c r="CC28" s="932"/>
      <c r="CD28" s="932"/>
      <c r="CE28" s="932"/>
      <c r="CF28" s="932"/>
    </row>
    <row r="29" spans="1:84" x14ac:dyDescent="0.25">
      <c r="A29" s="876">
        <v>13500</v>
      </c>
      <c r="B29" s="873" t="s">
        <v>1243</v>
      </c>
      <c r="C29" s="921">
        <v>632306158</v>
      </c>
      <c r="D29" s="924">
        <v>3.8915659999999999E-3</v>
      </c>
      <c r="E29" s="925"/>
      <c r="F29" s="926"/>
      <c r="G29" s="926"/>
      <c r="H29" s="926"/>
      <c r="I29" s="926"/>
      <c r="J29" s="926"/>
      <c r="K29" s="926"/>
      <c r="L29" s="926"/>
      <c r="M29" s="926"/>
      <c r="N29" s="926"/>
      <c r="O29" s="926"/>
      <c r="P29" s="926"/>
      <c r="Q29" s="926"/>
      <c r="R29" s="926"/>
      <c r="S29" s="926"/>
      <c r="T29" s="926"/>
      <c r="U29" s="926"/>
      <c r="V29" s="926"/>
      <c r="W29" s="926"/>
      <c r="X29" s="926"/>
      <c r="Y29" s="926"/>
      <c r="Z29" s="926"/>
      <c r="AA29" s="926"/>
      <c r="AB29" s="926"/>
      <c r="AC29" s="926"/>
      <c r="AD29" s="926"/>
      <c r="AE29" s="926"/>
      <c r="AF29" s="926"/>
      <c r="AG29" s="926"/>
      <c r="AH29" s="926"/>
      <c r="AI29" s="926"/>
      <c r="AJ29" s="926"/>
      <c r="AK29" s="926"/>
      <c r="AL29" s="926"/>
      <c r="AM29" s="926"/>
      <c r="AN29" s="926"/>
      <c r="AO29" s="926"/>
      <c r="AP29" s="926"/>
      <c r="AQ29" s="926"/>
      <c r="AR29" s="926"/>
      <c r="AS29" s="926"/>
      <c r="AT29" s="926"/>
      <c r="AU29" s="927"/>
      <c r="AV29" s="927"/>
      <c r="AW29" s="927"/>
      <c r="AX29" s="927"/>
      <c r="AY29" s="927"/>
      <c r="AZ29" s="927"/>
      <c r="BA29" s="927"/>
      <c r="BB29" s="927"/>
      <c r="BC29" s="928"/>
      <c r="BD29" s="929"/>
      <c r="BE29" s="930"/>
      <c r="BF29" s="930"/>
      <c r="BG29" s="931"/>
      <c r="BH29" s="931"/>
      <c r="BI29" s="926"/>
      <c r="BJ29" s="926"/>
      <c r="BK29" s="926"/>
      <c r="BL29" s="926"/>
      <c r="BM29" s="926"/>
      <c r="BN29" s="926"/>
      <c r="BO29" s="926"/>
      <c r="BP29" s="926"/>
      <c r="BQ29" s="926"/>
      <c r="BR29" s="926"/>
      <c r="BS29" s="926"/>
      <c r="BT29" s="926"/>
      <c r="BU29" s="926"/>
      <c r="BV29" s="926"/>
      <c r="BW29" s="926"/>
      <c r="BX29" s="926"/>
      <c r="BY29" s="932"/>
      <c r="BZ29" s="932"/>
      <c r="CA29" s="932"/>
      <c r="CB29" s="932"/>
      <c r="CC29" s="932"/>
      <c r="CD29" s="932"/>
      <c r="CE29" s="932"/>
      <c r="CF29" s="932"/>
    </row>
    <row r="30" spans="1:84" x14ac:dyDescent="0.25">
      <c r="A30" s="876">
        <v>13700</v>
      </c>
      <c r="B30" s="873" t="s">
        <v>1244</v>
      </c>
      <c r="C30" s="921">
        <v>68055205</v>
      </c>
      <c r="D30" s="924">
        <v>4.1885000000000002E-4</v>
      </c>
      <c r="E30" s="925"/>
      <c r="F30" s="926"/>
      <c r="G30" s="926"/>
      <c r="H30" s="926"/>
      <c r="I30" s="926"/>
      <c r="J30" s="926"/>
      <c r="K30" s="926"/>
      <c r="L30" s="926"/>
      <c r="M30" s="926"/>
      <c r="N30" s="926"/>
      <c r="O30" s="926"/>
      <c r="P30" s="926"/>
      <c r="Q30" s="926"/>
      <c r="R30" s="926"/>
      <c r="S30" s="926"/>
      <c r="T30" s="926"/>
      <c r="U30" s="926"/>
      <c r="V30" s="926"/>
      <c r="W30" s="926"/>
      <c r="X30" s="926"/>
      <c r="Y30" s="926"/>
      <c r="Z30" s="926"/>
      <c r="AA30" s="926"/>
      <c r="AB30" s="926"/>
      <c r="AC30" s="926"/>
      <c r="AD30" s="926"/>
      <c r="AE30" s="926"/>
      <c r="AF30" s="926"/>
      <c r="AG30" s="926"/>
      <c r="AH30" s="926"/>
      <c r="AI30" s="926"/>
      <c r="AJ30" s="926"/>
      <c r="AK30" s="926"/>
      <c r="AL30" s="926"/>
      <c r="AM30" s="926"/>
      <c r="AN30" s="926"/>
      <c r="AO30" s="926"/>
      <c r="AP30" s="926"/>
      <c r="AQ30" s="926"/>
      <c r="AR30" s="926"/>
      <c r="AS30" s="926"/>
      <c r="AT30" s="926"/>
      <c r="AU30" s="927"/>
      <c r="AV30" s="927"/>
      <c r="AW30" s="927"/>
      <c r="AX30" s="927"/>
      <c r="AY30" s="927"/>
      <c r="AZ30" s="927"/>
      <c r="BA30" s="927"/>
      <c r="BB30" s="927"/>
      <c r="BC30" s="928"/>
      <c r="BD30" s="929"/>
      <c r="BE30" s="930"/>
      <c r="BF30" s="930"/>
      <c r="BG30" s="931"/>
      <c r="BH30" s="931"/>
      <c r="BI30" s="926"/>
      <c r="BJ30" s="926"/>
      <c r="BK30" s="926"/>
      <c r="BL30" s="926"/>
      <c r="BM30" s="926"/>
      <c r="BN30" s="926"/>
      <c r="BO30" s="926"/>
      <c r="BP30" s="926"/>
      <c r="BQ30" s="926"/>
      <c r="BR30" s="926"/>
      <c r="BS30" s="926"/>
      <c r="BT30" s="926"/>
      <c r="BU30" s="926"/>
      <c r="BV30" s="926"/>
      <c r="BW30" s="926"/>
      <c r="BX30" s="926"/>
      <c r="BY30" s="932"/>
      <c r="BZ30" s="932"/>
      <c r="CA30" s="932"/>
      <c r="CB30" s="932"/>
      <c r="CC30" s="932"/>
      <c r="CD30" s="932"/>
      <c r="CE30" s="932"/>
      <c r="CF30" s="932"/>
    </row>
    <row r="31" spans="1:84" x14ac:dyDescent="0.25">
      <c r="A31" s="876">
        <v>14300</v>
      </c>
      <c r="B31" s="873" t="s">
        <v>1245</v>
      </c>
      <c r="C31" s="921">
        <v>226517876</v>
      </c>
      <c r="D31" s="924">
        <v>1.394118E-3</v>
      </c>
      <c r="E31" s="925"/>
      <c r="F31" s="926"/>
      <c r="G31" s="926"/>
      <c r="H31" s="926"/>
      <c r="I31" s="926"/>
      <c r="J31" s="926"/>
      <c r="K31" s="926"/>
      <c r="L31" s="926"/>
      <c r="M31" s="926"/>
      <c r="N31" s="926"/>
      <c r="O31" s="926"/>
      <c r="P31" s="926"/>
      <c r="Q31" s="926"/>
      <c r="R31" s="926"/>
      <c r="S31" s="926"/>
      <c r="T31" s="926"/>
      <c r="U31" s="926"/>
      <c r="V31" s="926"/>
      <c r="W31" s="926"/>
      <c r="X31" s="926"/>
      <c r="Y31" s="926"/>
      <c r="Z31" s="926"/>
      <c r="AA31" s="926"/>
      <c r="AB31" s="926"/>
      <c r="AC31" s="926"/>
      <c r="AD31" s="926"/>
      <c r="AE31" s="926"/>
      <c r="AF31" s="926"/>
      <c r="AG31" s="926"/>
      <c r="AH31" s="926"/>
      <c r="AI31" s="926"/>
      <c r="AJ31" s="926"/>
      <c r="AK31" s="926"/>
      <c r="AL31" s="926"/>
      <c r="AM31" s="926"/>
      <c r="AN31" s="926"/>
      <c r="AO31" s="926"/>
      <c r="AP31" s="926"/>
      <c r="AQ31" s="926"/>
      <c r="AR31" s="926"/>
      <c r="AS31" s="926"/>
      <c r="AT31" s="926"/>
      <c r="AU31" s="927"/>
      <c r="AV31" s="927"/>
      <c r="AW31" s="927"/>
      <c r="AX31" s="927"/>
      <c r="AY31" s="927"/>
      <c r="AZ31" s="927"/>
      <c r="BA31" s="927"/>
      <c r="BB31" s="927"/>
      <c r="BC31" s="928"/>
      <c r="BD31" s="929"/>
      <c r="BE31" s="930"/>
      <c r="BF31" s="930"/>
      <c r="BG31" s="931"/>
      <c r="BH31" s="931"/>
      <c r="BI31" s="926"/>
      <c r="BJ31" s="926"/>
      <c r="BK31" s="926"/>
      <c r="BL31" s="926"/>
      <c r="BM31" s="926"/>
      <c r="BN31" s="926"/>
      <c r="BO31" s="926"/>
      <c r="BP31" s="926"/>
      <c r="BQ31" s="926"/>
      <c r="BR31" s="926"/>
      <c r="BS31" s="926"/>
      <c r="BT31" s="926"/>
      <c r="BU31" s="926"/>
      <c r="BV31" s="926"/>
      <c r="BW31" s="926"/>
      <c r="BX31" s="926"/>
      <c r="BY31" s="932"/>
      <c r="BZ31" s="932"/>
      <c r="CA31" s="932"/>
      <c r="CB31" s="932"/>
      <c r="CC31" s="932"/>
      <c r="CD31" s="932"/>
      <c r="CE31" s="932"/>
      <c r="CF31" s="932"/>
    </row>
    <row r="32" spans="1:84" x14ac:dyDescent="0.25">
      <c r="A32" s="876">
        <v>14300.1</v>
      </c>
      <c r="B32" s="873" t="s">
        <v>1246</v>
      </c>
      <c r="C32" s="921">
        <v>23137417</v>
      </c>
      <c r="D32" s="924">
        <v>1.4240100000000001E-4</v>
      </c>
      <c r="E32" s="925"/>
      <c r="F32" s="926"/>
      <c r="G32" s="926"/>
      <c r="H32" s="926"/>
      <c r="I32" s="926"/>
      <c r="J32" s="926"/>
      <c r="K32" s="926"/>
      <c r="L32" s="926"/>
      <c r="M32" s="926"/>
      <c r="N32" s="926"/>
      <c r="O32" s="926"/>
      <c r="P32" s="926"/>
      <c r="Q32" s="926"/>
      <c r="R32" s="926"/>
      <c r="S32" s="926"/>
      <c r="T32" s="926"/>
      <c r="U32" s="926"/>
      <c r="V32" s="926"/>
      <c r="W32" s="926"/>
      <c r="X32" s="926"/>
      <c r="Y32" s="926"/>
      <c r="Z32" s="926"/>
      <c r="AA32" s="926"/>
      <c r="AB32" s="926"/>
      <c r="AC32" s="926"/>
      <c r="AD32" s="926"/>
      <c r="AE32" s="926"/>
      <c r="AF32" s="926"/>
      <c r="AG32" s="926"/>
      <c r="AH32" s="926"/>
      <c r="AI32" s="926"/>
      <c r="AJ32" s="926"/>
      <c r="AK32" s="926"/>
      <c r="AL32" s="926"/>
      <c r="AM32" s="926"/>
      <c r="AN32" s="926"/>
      <c r="AO32" s="926"/>
      <c r="AP32" s="926"/>
      <c r="AQ32" s="926"/>
      <c r="AR32" s="926"/>
      <c r="AS32" s="926"/>
      <c r="AT32" s="926"/>
      <c r="AU32" s="927"/>
      <c r="AV32" s="927"/>
      <c r="AW32" s="927"/>
      <c r="AX32" s="927"/>
      <c r="AY32" s="927"/>
      <c r="AZ32" s="927"/>
      <c r="BA32" s="927"/>
      <c r="BB32" s="927"/>
      <c r="BC32" s="928"/>
      <c r="BD32" s="929"/>
      <c r="BE32" s="930"/>
      <c r="BF32" s="930"/>
      <c r="BG32" s="931"/>
      <c r="BH32" s="931"/>
      <c r="BI32" s="926"/>
      <c r="BJ32" s="926"/>
      <c r="BK32" s="926"/>
      <c r="BL32" s="926"/>
      <c r="BM32" s="926"/>
      <c r="BN32" s="926"/>
      <c r="BO32" s="926"/>
      <c r="BP32" s="926"/>
      <c r="BQ32" s="926"/>
      <c r="BR32" s="926"/>
      <c r="BS32" s="926"/>
      <c r="BT32" s="926"/>
      <c r="BU32" s="926"/>
      <c r="BV32" s="926"/>
      <c r="BW32" s="926"/>
      <c r="BX32" s="926"/>
      <c r="BY32" s="932"/>
      <c r="BZ32" s="932"/>
      <c r="CA32" s="932"/>
      <c r="CB32" s="932"/>
      <c r="CC32" s="932"/>
      <c r="CD32" s="932"/>
      <c r="CE32" s="932"/>
      <c r="CF32" s="932"/>
    </row>
    <row r="33" spans="1:84" x14ac:dyDescent="0.25">
      <c r="A33" s="876">
        <v>18400</v>
      </c>
      <c r="B33" s="873" t="s">
        <v>1247</v>
      </c>
      <c r="C33" s="921">
        <v>787109713</v>
      </c>
      <c r="D33" s="924">
        <v>4.8443139999999997E-3</v>
      </c>
      <c r="E33" s="925"/>
      <c r="F33" s="926"/>
      <c r="G33" s="926"/>
      <c r="H33" s="926"/>
      <c r="I33" s="926"/>
      <c r="J33" s="926"/>
      <c r="K33" s="926"/>
      <c r="L33" s="926"/>
      <c r="M33" s="926"/>
      <c r="N33" s="926"/>
      <c r="O33" s="926"/>
      <c r="P33" s="926"/>
      <c r="Q33" s="926"/>
      <c r="R33" s="926"/>
      <c r="S33" s="926"/>
      <c r="T33" s="926"/>
      <c r="U33" s="926"/>
      <c r="V33" s="926"/>
      <c r="W33" s="926"/>
      <c r="X33" s="926"/>
      <c r="Y33" s="926"/>
      <c r="Z33" s="926"/>
      <c r="AA33" s="926"/>
      <c r="AB33" s="926"/>
      <c r="AC33" s="926"/>
      <c r="AD33" s="926"/>
      <c r="AE33" s="926"/>
      <c r="AF33" s="926"/>
      <c r="AG33" s="926"/>
      <c r="AH33" s="926"/>
      <c r="AI33" s="926"/>
      <c r="AJ33" s="926"/>
      <c r="AK33" s="926"/>
      <c r="AL33" s="926"/>
      <c r="AM33" s="926"/>
      <c r="AN33" s="926"/>
      <c r="AO33" s="926"/>
      <c r="AP33" s="926"/>
      <c r="AQ33" s="926"/>
      <c r="AR33" s="926"/>
      <c r="AS33" s="926"/>
      <c r="AT33" s="926"/>
      <c r="AU33" s="927"/>
      <c r="AV33" s="927"/>
      <c r="AW33" s="927"/>
      <c r="AX33" s="927"/>
      <c r="AY33" s="927"/>
      <c r="AZ33" s="927"/>
      <c r="BA33" s="927"/>
      <c r="BB33" s="927"/>
      <c r="BC33" s="928"/>
      <c r="BD33" s="929"/>
      <c r="BE33" s="930"/>
      <c r="BF33" s="930"/>
      <c r="BG33" s="931"/>
      <c r="BH33" s="931"/>
      <c r="BI33" s="926"/>
      <c r="BJ33" s="926"/>
      <c r="BK33" s="926"/>
      <c r="BL33" s="926"/>
      <c r="BM33" s="926"/>
      <c r="BN33" s="926"/>
      <c r="BO33" s="926"/>
      <c r="BP33" s="926"/>
      <c r="BQ33" s="926"/>
      <c r="BR33" s="926"/>
      <c r="BS33" s="926"/>
      <c r="BT33" s="926"/>
      <c r="BU33" s="926"/>
      <c r="BV33" s="926"/>
      <c r="BW33" s="926"/>
      <c r="BX33" s="926"/>
      <c r="BY33" s="932"/>
      <c r="BZ33" s="932"/>
      <c r="CA33" s="932"/>
      <c r="CB33" s="932"/>
      <c r="CC33" s="932"/>
      <c r="CD33" s="932"/>
      <c r="CE33" s="932"/>
      <c r="CF33" s="932"/>
    </row>
    <row r="34" spans="1:84" x14ac:dyDescent="0.25">
      <c r="A34" s="876">
        <v>18600</v>
      </c>
      <c r="B34" s="873" t="s">
        <v>1248</v>
      </c>
      <c r="C34" s="921">
        <v>2209213</v>
      </c>
      <c r="D34" s="924">
        <v>1.3597E-5</v>
      </c>
      <c r="E34" s="925"/>
      <c r="F34" s="926"/>
      <c r="G34" s="926"/>
      <c r="H34" s="926"/>
      <c r="I34" s="926"/>
      <c r="J34" s="926"/>
      <c r="K34" s="926"/>
      <c r="L34" s="926"/>
      <c r="M34" s="926"/>
      <c r="N34" s="926"/>
      <c r="O34" s="926"/>
      <c r="P34" s="926"/>
      <c r="Q34" s="926"/>
      <c r="R34" s="926"/>
      <c r="S34" s="926"/>
      <c r="T34" s="926"/>
      <c r="U34" s="926"/>
      <c r="V34" s="926"/>
      <c r="W34" s="926"/>
      <c r="X34" s="926"/>
      <c r="Y34" s="926"/>
      <c r="Z34" s="926"/>
      <c r="AA34" s="926"/>
      <c r="AB34" s="926"/>
      <c r="AC34" s="926"/>
      <c r="AD34" s="926"/>
      <c r="AE34" s="926"/>
      <c r="AF34" s="926"/>
      <c r="AG34" s="926"/>
      <c r="AH34" s="926"/>
      <c r="AI34" s="926"/>
      <c r="AJ34" s="926"/>
      <c r="AK34" s="926"/>
      <c r="AL34" s="926"/>
      <c r="AM34" s="926"/>
      <c r="AN34" s="926"/>
      <c r="AO34" s="926"/>
      <c r="AP34" s="926"/>
      <c r="AQ34" s="926"/>
      <c r="AR34" s="926"/>
      <c r="AS34" s="926"/>
      <c r="AT34" s="926"/>
      <c r="AU34" s="927"/>
      <c r="AV34" s="927"/>
      <c r="AW34" s="927"/>
      <c r="AX34" s="927"/>
      <c r="AY34" s="927"/>
      <c r="AZ34" s="927"/>
      <c r="BA34" s="927"/>
      <c r="BB34" s="927"/>
      <c r="BC34" s="928"/>
      <c r="BD34" s="929"/>
      <c r="BE34" s="930"/>
      <c r="BF34" s="930"/>
      <c r="BG34" s="931"/>
      <c r="BH34" s="931"/>
      <c r="BI34" s="926"/>
      <c r="BJ34" s="926"/>
      <c r="BK34" s="926"/>
      <c r="BL34" s="926"/>
      <c r="BM34" s="926"/>
      <c r="BN34" s="926"/>
      <c r="BO34" s="926"/>
      <c r="BP34" s="926"/>
      <c r="BQ34" s="926"/>
      <c r="BR34" s="926"/>
      <c r="BS34" s="926"/>
      <c r="BT34" s="926"/>
      <c r="BU34" s="926"/>
      <c r="BV34" s="926"/>
      <c r="BW34" s="926"/>
      <c r="BX34" s="926"/>
      <c r="BY34" s="932"/>
      <c r="BZ34" s="932"/>
      <c r="CA34" s="932"/>
      <c r="CB34" s="932"/>
      <c r="CC34" s="932"/>
      <c r="CD34" s="932"/>
      <c r="CE34" s="932"/>
      <c r="CF34" s="932"/>
    </row>
    <row r="35" spans="1:84" x14ac:dyDescent="0.25">
      <c r="A35" s="876">
        <v>18690</v>
      </c>
      <c r="B35" s="873" t="s">
        <v>1249</v>
      </c>
      <c r="C35" s="921">
        <v>0</v>
      </c>
      <c r="D35" s="924">
        <v>0</v>
      </c>
      <c r="E35" s="925"/>
      <c r="F35" s="926"/>
      <c r="G35" s="926"/>
      <c r="H35" s="926"/>
      <c r="I35" s="926"/>
      <c r="J35" s="926"/>
      <c r="K35" s="926"/>
      <c r="L35" s="926"/>
      <c r="M35" s="926"/>
      <c r="N35" s="926"/>
      <c r="O35" s="926"/>
      <c r="P35" s="926"/>
      <c r="Q35" s="926"/>
      <c r="R35" s="926"/>
      <c r="S35" s="926"/>
      <c r="T35" s="926"/>
      <c r="U35" s="926"/>
      <c r="V35" s="926"/>
      <c r="W35" s="926"/>
      <c r="X35" s="926"/>
      <c r="Y35" s="926"/>
      <c r="Z35" s="926"/>
      <c r="AA35" s="926"/>
      <c r="AB35" s="926"/>
      <c r="AC35" s="926"/>
      <c r="AD35" s="926"/>
      <c r="AE35" s="926"/>
      <c r="AF35" s="926"/>
      <c r="AG35" s="926"/>
      <c r="AH35" s="926"/>
      <c r="AI35" s="926"/>
      <c r="AJ35" s="926"/>
      <c r="AK35" s="926"/>
      <c r="AL35" s="926"/>
      <c r="AM35" s="926"/>
      <c r="AN35" s="926"/>
      <c r="AO35" s="926"/>
      <c r="AP35" s="926"/>
      <c r="AQ35" s="926"/>
      <c r="AR35" s="926"/>
      <c r="AS35" s="926"/>
      <c r="AT35" s="926"/>
      <c r="AU35" s="927"/>
      <c r="AV35" s="927"/>
      <c r="AW35" s="927"/>
      <c r="AX35" s="927"/>
      <c r="AY35" s="927"/>
      <c r="AZ35" s="927"/>
      <c r="BA35" s="927"/>
      <c r="BB35" s="927"/>
      <c r="BC35" s="928"/>
      <c r="BD35" s="929"/>
      <c r="BE35" s="930"/>
      <c r="BF35" s="930"/>
      <c r="BG35" s="931"/>
      <c r="BH35" s="931"/>
      <c r="BI35" s="926"/>
      <c r="BJ35" s="926"/>
      <c r="BK35" s="926"/>
      <c r="BL35" s="926"/>
      <c r="BM35" s="926"/>
      <c r="BN35" s="926"/>
      <c r="BO35" s="926"/>
      <c r="BP35" s="926"/>
      <c r="BQ35" s="926"/>
      <c r="BR35" s="926"/>
      <c r="BS35" s="926"/>
      <c r="BT35" s="926"/>
      <c r="BU35" s="926"/>
      <c r="BV35" s="926"/>
      <c r="BW35" s="926"/>
      <c r="BX35" s="926"/>
      <c r="BY35" s="932"/>
      <c r="BZ35" s="932"/>
      <c r="CA35" s="932"/>
      <c r="CB35" s="932"/>
      <c r="CC35" s="932"/>
      <c r="CD35" s="932"/>
      <c r="CE35" s="932"/>
      <c r="CF35" s="932"/>
    </row>
    <row r="36" spans="1:84" x14ac:dyDescent="0.25">
      <c r="A36" s="876">
        <v>18740</v>
      </c>
      <c r="B36" s="873" t="s">
        <v>1250</v>
      </c>
      <c r="C36" s="921">
        <v>1078845</v>
      </c>
      <c r="D36" s="924">
        <v>6.64E-6</v>
      </c>
      <c r="E36" s="925"/>
      <c r="F36" s="926"/>
      <c r="G36" s="926"/>
      <c r="H36" s="926"/>
      <c r="I36" s="926"/>
      <c r="J36" s="926"/>
      <c r="K36" s="926"/>
      <c r="L36" s="926"/>
      <c r="M36" s="926"/>
      <c r="N36" s="926"/>
      <c r="O36" s="926"/>
      <c r="P36" s="926"/>
      <c r="Q36" s="926"/>
      <c r="R36" s="926"/>
      <c r="S36" s="926"/>
      <c r="T36" s="926"/>
      <c r="U36" s="926"/>
      <c r="V36" s="926"/>
      <c r="W36" s="926"/>
      <c r="X36" s="926"/>
      <c r="Y36" s="926"/>
      <c r="Z36" s="926"/>
      <c r="AA36" s="926"/>
      <c r="AB36" s="926"/>
      <c r="AC36" s="926"/>
      <c r="AD36" s="926"/>
      <c r="AE36" s="926"/>
      <c r="AF36" s="926"/>
      <c r="AG36" s="926"/>
      <c r="AH36" s="926"/>
      <c r="AI36" s="926"/>
      <c r="AJ36" s="926"/>
      <c r="AK36" s="926"/>
      <c r="AL36" s="926"/>
      <c r="AM36" s="926"/>
      <c r="AN36" s="926"/>
      <c r="AO36" s="926"/>
      <c r="AP36" s="926"/>
      <c r="AQ36" s="926"/>
      <c r="AR36" s="926"/>
      <c r="AS36" s="926"/>
      <c r="AT36" s="926"/>
      <c r="AU36" s="927"/>
      <c r="AV36" s="927"/>
      <c r="AW36" s="927"/>
      <c r="AX36" s="927"/>
      <c r="AY36" s="927"/>
      <c r="AZ36" s="927"/>
      <c r="BA36" s="927"/>
      <c r="BB36" s="927"/>
      <c r="BC36" s="928"/>
      <c r="BD36" s="929"/>
      <c r="BE36" s="930"/>
      <c r="BF36" s="930"/>
      <c r="BG36" s="931"/>
      <c r="BH36" s="931"/>
      <c r="BI36" s="926"/>
      <c r="BJ36" s="926"/>
      <c r="BK36" s="926"/>
      <c r="BL36" s="926"/>
      <c r="BM36" s="926"/>
      <c r="BN36" s="926"/>
      <c r="BO36" s="926"/>
      <c r="BP36" s="926"/>
      <c r="BQ36" s="926"/>
      <c r="BR36" s="926"/>
      <c r="BS36" s="926"/>
      <c r="BT36" s="926"/>
      <c r="BU36" s="926"/>
      <c r="BV36" s="926"/>
      <c r="BW36" s="926"/>
      <c r="BX36" s="926"/>
      <c r="BY36" s="932"/>
      <c r="BZ36" s="932"/>
      <c r="CA36" s="932"/>
      <c r="CB36" s="932"/>
      <c r="CC36" s="932"/>
      <c r="CD36" s="932"/>
      <c r="CE36" s="932"/>
      <c r="CF36" s="932"/>
    </row>
    <row r="37" spans="1:84" x14ac:dyDescent="0.25">
      <c r="A37" s="876">
        <v>18780</v>
      </c>
      <c r="B37" s="873" t="s">
        <v>1251</v>
      </c>
      <c r="C37" s="921">
        <v>2834141</v>
      </c>
      <c r="D37" s="924">
        <v>1.7442999999999999E-5</v>
      </c>
      <c r="E37" s="925"/>
      <c r="F37" s="926"/>
      <c r="G37" s="926"/>
      <c r="H37" s="926"/>
      <c r="I37" s="926"/>
      <c r="J37" s="926"/>
      <c r="K37" s="926"/>
      <c r="L37" s="926"/>
      <c r="M37" s="926"/>
      <c r="N37" s="926"/>
      <c r="O37" s="926"/>
      <c r="P37" s="926"/>
      <c r="Q37" s="926"/>
      <c r="R37" s="926"/>
      <c r="S37" s="926"/>
      <c r="T37" s="926"/>
      <c r="U37" s="926"/>
      <c r="V37" s="926"/>
      <c r="W37" s="926"/>
      <c r="X37" s="926"/>
      <c r="Y37" s="926"/>
      <c r="Z37" s="926"/>
      <c r="AA37" s="926"/>
      <c r="AB37" s="926"/>
      <c r="AC37" s="926"/>
      <c r="AD37" s="926"/>
      <c r="AE37" s="926"/>
      <c r="AF37" s="926"/>
      <c r="AG37" s="926"/>
      <c r="AH37" s="926"/>
      <c r="AI37" s="926"/>
      <c r="AJ37" s="926"/>
      <c r="AK37" s="926"/>
      <c r="AL37" s="926"/>
      <c r="AM37" s="926"/>
      <c r="AN37" s="926"/>
      <c r="AO37" s="926"/>
      <c r="AP37" s="926"/>
      <c r="AQ37" s="926"/>
      <c r="AR37" s="926"/>
      <c r="AS37" s="926"/>
      <c r="AT37" s="926"/>
      <c r="AU37" s="927"/>
      <c r="AV37" s="927"/>
      <c r="AW37" s="927"/>
      <c r="AX37" s="927"/>
      <c r="AY37" s="927"/>
      <c r="AZ37" s="927"/>
      <c r="BA37" s="927"/>
      <c r="BB37" s="927"/>
      <c r="BC37" s="928"/>
      <c r="BD37" s="929"/>
      <c r="BE37" s="930"/>
      <c r="BF37" s="930"/>
      <c r="BG37" s="931"/>
      <c r="BH37" s="931"/>
      <c r="BI37" s="926"/>
      <c r="BJ37" s="926"/>
      <c r="BK37" s="926"/>
      <c r="BL37" s="926"/>
      <c r="BM37" s="926"/>
      <c r="BN37" s="926"/>
      <c r="BO37" s="926"/>
      <c r="BP37" s="926"/>
      <c r="BQ37" s="926"/>
      <c r="BR37" s="926"/>
      <c r="BS37" s="926"/>
      <c r="BT37" s="926"/>
      <c r="BU37" s="926"/>
      <c r="BV37" s="926"/>
      <c r="BW37" s="926"/>
      <c r="BX37" s="926"/>
      <c r="BY37" s="932"/>
      <c r="BZ37" s="932"/>
      <c r="CA37" s="932"/>
      <c r="CB37" s="932"/>
      <c r="CC37" s="932"/>
      <c r="CD37" s="932"/>
      <c r="CE37" s="932"/>
      <c r="CF37" s="932"/>
    </row>
    <row r="38" spans="1:84" x14ac:dyDescent="0.25">
      <c r="A38" s="876">
        <v>19005</v>
      </c>
      <c r="B38" s="873" t="s">
        <v>1252</v>
      </c>
      <c r="C38" s="921">
        <v>111125154</v>
      </c>
      <c r="D38" s="924">
        <v>6.8392599999999996E-4</v>
      </c>
      <c r="E38" s="925"/>
      <c r="F38" s="926"/>
      <c r="G38" s="926"/>
      <c r="H38" s="926"/>
      <c r="I38" s="926"/>
      <c r="J38" s="926"/>
      <c r="K38" s="926"/>
      <c r="L38" s="926"/>
      <c r="M38" s="926"/>
      <c r="N38" s="926"/>
      <c r="O38" s="926"/>
      <c r="P38" s="926"/>
      <c r="Q38" s="926"/>
      <c r="R38" s="926"/>
      <c r="S38" s="926"/>
      <c r="T38" s="926"/>
      <c r="U38" s="926"/>
      <c r="V38" s="926"/>
      <c r="W38" s="926"/>
      <c r="X38" s="926"/>
      <c r="Y38" s="926"/>
      <c r="Z38" s="926"/>
      <c r="AA38" s="926"/>
      <c r="AB38" s="926"/>
      <c r="AC38" s="926"/>
      <c r="AD38" s="926"/>
      <c r="AE38" s="926"/>
      <c r="AF38" s="926"/>
      <c r="AG38" s="926"/>
      <c r="AH38" s="926"/>
      <c r="AI38" s="926"/>
      <c r="AJ38" s="926"/>
      <c r="AK38" s="926"/>
      <c r="AL38" s="926"/>
      <c r="AM38" s="926"/>
      <c r="AN38" s="926"/>
      <c r="AO38" s="926"/>
      <c r="AP38" s="926"/>
      <c r="AQ38" s="926"/>
      <c r="AR38" s="926"/>
      <c r="AS38" s="926"/>
      <c r="AT38" s="926"/>
      <c r="AU38" s="927"/>
      <c r="AV38" s="927"/>
      <c r="AW38" s="927"/>
      <c r="AX38" s="927"/>
      <c r="AY38" s="927"/>
      <c r="AZ38" s="927"/>
      <c r="BA38" s="927"/>
      <c r="BB38" s="927"/>
      <c r="BC38" s="928"/>
      <c r="BD38" s="929"/>
      <c r="BE38" s="930"/>
      <c r="BF38" s="930"/>
      <c r="BG38" s="931"/>
      <c r="BH38" s="931"/>
      <c r="BI38" s="926"/>
      <c r="BJ38" s="926"/>
      <c r="BK38" s="926"/>
      <c r="BL38" s="926"/>
      <c r="BM38" s="926"/>
      <c r="BN38" s="926"/>
      <c r="BO38" s="926"/>
      <c r="BP38" s="926"/>
      <c r="BQ38" s="926"/>
      <c r="BR38" s="926"/>
      <c r="BS38" s="926"/>
      <c r="BT38" s="926"/>
      <c r="BU38" s="926"/>
      <c r="BV38" s="926"/>
      <c r="BW38" s="926"/>
      <c r="BX38" s="926"/>
      <c r="BY38" s="932"/>
      <c r="BZ38" s="932"/>
      <c r="CA38" s="932"/>
      <c r="CB38" s="932"/>
      <c r="CC38" s="932"/>
      <c r="CD38" s="932"/>
      <c r="CE38" s="932"/>
      <c r="CF38" s="932"/>
    </row>
    <row r="39" spans="1:84" x14ac:dyDescent="0.25">
      <c r="A39" s="876">
        <v>19100</v>
      </c>
      <c r="B39" s="873" t="s">
        <v>1253</v>
      </c>
      <c r="C39" s="921">
        <v>9931694455</v>
      </c>
      <c r="D39" s="924">
        <v>6.1125212999999998E-2</v>
      </c>
      <c r="E39" s="925"/>
      <c r="F39" s="926"/>
      <c r="G39" s="926"/>
      <c r="H39" s="926"/>
      <c r="I39" s="926"/>
      <c r="J39" s="926"/>
      <c r="K39" s="926"/>
      <c r="L39" s="926"/>
      <c r="M39" s="926"/>
      <c r="N39" s="926"/>
      <c r="O39" s="926"/>
      <c r="P39" s="926"/>
      <c r="Q39" s="926"/>
      <c r="R39" s="926"/>
      <c r="S39" s="926"/>
      <c r="T39" s="926"/>
      <c r="U39" s="926"/>
      <c r="V39" s="926"/>
      <c r="W39" s="926"/>
      <c r="X39" s="926"/>
      <c r="Y39" s="926"/>
      <c r="Z39" s="926"/>
      <c r="AA39" s="926"/>
      <c r="AB39" s="926"/>
      <c r="AC39" s="926"/>
      <c r="AD39" s="926"/>
      <c r="AE39" s="926"/>
      <c r="AF39" s="926"/>
      <c r="AG39" s="926"/>
      <c r="AH39" s="926"/>
      <c r="AI39" s="926"/>
      <c r="AJ39" s="926"/>
      <c r="AK39" s="926"/>
      <c r="AL39" s="926"/>
      <c r="AM39" s="926"/>
      <c r="AN39" s="926"/>
      <c r="AO39" s="926"/>
      <c r="AP39" s="926"/>
      <c r="AQ39" s="926"/>
      <c r="AR39" s="926"/>
      <c r="AS39" s="926"/>
      <c r="AT39" s="926"/>
      <c r="AU39" s="927"/>
      <c r="AV39" s="927"/>
      <c r="AW39" s="927"/>
      <c r="AX39" s="927"/>
      <c r="AY39" s="927"/>
      <c r="AZ39" s="927"/>
      <c r="BA39" s="927"/>
      <c r="BB39" s="927"/>
      <c r="BC39" s="928"/>
      <c r="BD39" s="929"/>
      <c r="BE39" s="930"/>
      <c r="BF39" s="930"/>
      <c r="BG39" s="931"/>
      <c r="BH39" s="931"/>
      <c r="BI39" s="926"/>
      <c r="BJ39" s="926"/>
      <c r="BK39" s="926"/>
      <c r="BL39" s="926"/>
      <c r="BM39" s="926"/>
      <c r="BN39" s="926"/>
      <c r="BO39" s="926"/>
      <c r="BP39" s="926"/>
      <c r="BQ39" s="926"/>
      <c r="BR39" s="926"/>
      <c r="BS39" s="926"/>
      <c r="BT39" s="926"/>
      <c r="BU39" s="926"/>
      <c r="BV39" s="926"/>
      <c r="BW39" s="926"/>
      <c r="BX39" s="926"/>
      <c r="BY39" s="932"/>
      <c r="BZ39" s="932"/>
      <c r="CA39" s="932"/>
      <c r="CB39" s="932"/>
      <c r="CC39" s="932"/>
      <c r="CD39" s="932"/>
      <c r="CE39" s="932"/>
      <c r="CF39" s="932"/>
    </row>
    <row r="40" spans="1:84" x14ac:dyDescent="0.25">
      <c r="A40" s="876">
        <v>20100</v>
      </c>
      <c r="B40" s="873" t="s">
        <v>1254</v>
      </c>
      <c r="C40" s="921">
        <v>1636989813</v>
      </c>
      <c r="D40" s="924">
        <v>1.0074952999999999E-2</v>
      </c>
      <c r="E40" s="925"/>
      <c r="F40" s="926"/>
      <c r="G40" s="926"/>
      <c r="H40" s="926"/>
      <c r="I40" s="926"/>
      <c r="J40" s="926"/>
      <c r="K40" s="926"/>
      <c r="L40" s="926"/>
      <c r="M40" s="926"/>
      <c r="N40" s="926"/>
      <c r="O40" s="926"/>
      <c r="P40" s="926"/>
      <c r="Q40" s="926"/>
      <c r="R40" s="926"/>
      <c r="S40" s="926"/>
      <c r="T40" s="926"/>
      <c r="U40" s="926"/>
      <c r="V40" s="926"/>
      <c r="W40" s="926"/>
      <c r="X40" s="926"/>
      <c r="Y40" s="926"/>
      <c r="Z40" s="926"/>
      <c r="AA40" s="926"/>
      <c r="AB40" s="926"/>
      <c r="AC40" s="926"/>
      <c r="AD40" s="926"/>
      <c r="AE40" s="926"/>
      <c r="AF40" s="926"/>
      <c r="AG40" s="926"/>
      <c r="AH40" s="926"/>
      <c r="AI40" s="926"/>
      <c r="AJ40" s="926"/>
      <c r="AK40" s="926"/>
      <c r="AL40" s="926"/>
      <c r="AM40" s="926"/>
      <c r="AN40" s="926"/>
      <c r="AO40" s="926"/>
      <c r="AP40" s="926"/>
      <c r="AQ40" s="926"/>
      <c r="AR40" s="926"/>
      <c r="AS40" s="926"/>
      <c r="AT40" s="926"/>
      <c r="AU40" s="927"/>
      <c r="AV40" s="927"/>
      <c r="AW40" s="927"/>
      <c r="AX40" s="927"/>
      <c r="AY40" s="927"/>
      <c r="AZ40" s="927"/>
      <c r="BA40" s="927"/>
      <c r="BB40" s="927"/>
      <c r="BC40" s="928"/>
      <c r="BD40" s="929"/>
      <c r="BE40" s="930"/>
      <c r="BF40" s="930"/>
      <c r="BG40" s="931"/>
      <c r="BH40" s="931"/>
      <c r="BI40" s="926"/>
      <c r="BJ40" s="926"/>
      <c r="BK40" s="926"/>
      <c r="BL40" s="926"/>
      <c r="BM40" s="926"/>
      <c r="BN40" s="926"/>
      <c r="BO40" s="926"/>
      <c r="BP40" s="926"/>
      <c r="BQ40" s="926"/>
      <c r="BR40" s="926"/>
      <c r="BS40" s="926"/>
      <c r="BT40" s="926"/>
      <c r="BU40" s="926"/>
      <c r="BV40" s="926"/>
      <c r="BW40" s="926"/>
      <c r="BX40" s="926"/>
      <c r="BY40" s="932"/>
      <c r="BZ40" s="932"/>
      <c r="CA40" s="932"/>
      <c r="CB40" s="932"/>
      <c r="CC40" s="932"/>
      <c r="CD40" s="932"/>
      <c r="CE40" s="932"/>
      <c r="CF40" s="932"/>
    </row>
    <row r="41" spans="1:84" x14ac:dyDescent="0.25">
      <c r="A41" s="876">
        <v>20200</v>
      </c>
      <c r="B41" s="873" t="s">
        <v>1255</v>
      </c>
      <c r="C41" s="921">
        <v>236985882</v>
      </c>
      <c r="D41" s="924">
        <v>1.458544E-3</v>
      </c>
      <c r="E41" s="925"/>
      <c r="F41" s="926"/>
      <c r="G41" s="926"/>
      <c r="H41" s="926"/>
      <c r="I41" s="926"/>
      <c r="J41" s="926"/>
      <c r="K41" s="926"/>
      <c r="L41" s="926"/>
      <c r="M41" s="926"/>
      <c r="N41" s="926"/>
      <c r="O41" s="926"/>
      <c r="P41" s="926"/>
      <c r="Q41" s="926"/>
      <c r="R41" s="926"/>
      <c r="S41" s="926"/>
      <c r="T41" s="926"/>
      <c r="U41" s="926"/>
      <c r="V41" s="926"/>
      <c r="W41" s="926"/>
      <c r="X41" s="926"/>
      <c r="Y41" s="926"/>
      <c r="Z41" s="926"/>
      <c r="AA41" s="926"/>
      <c r="AB41" s="926"/>
      <c r="AC41" s="926"/>
      <c r="AD41" s="926"/>
      <c r="AE41" s="926"/>
      <c r="AF41" s="926"/>
      <c r="AG41" s="926"/>
      <c r="AH41" s="926"/>
      <c r="AI41" s="926"/>
      <c r="AJ41" s="926"/>
      <c r="AK41" s="926"/>
      <c r="AL41" s="926"/>
      <c r="AM41" s="926"/>
      <c r="AN41" s="926"/>
      <c r="AO41" s="926"/>
      <c r="AP41" s="926"/>
      <c r="AQ41" s="926"/>
      <c r="AR41" s="926"/>
      <c r="AS41" s="926"/>
      <c r="AT41" s="926"/>
      <c r="AU41" s="927"/>
      <c r="AV41" s="927"/>
      <c r="AW41" s="927"/>
      <c r="AX41" s="927"/>
      <c r="AY41" s="927"/>
      <c r="AZ41" s="927"/>
      <c r="BA41" s="927"/>
      <c r="BB41" s="927"/>
      <c r="BC41" s="928"/>
      <c r="BD41" s="929"/>
      <c r="BE41" s="930"/>
      <c r="BF41" s="930"/>
      <c r="BG41" s="931"/>
      <c r="BH41" s="931"/>
      <c r="BI41" s="926"/>
      <c r="BJ41" s="926"/>
      <c r="BK41" s="926"/>
      <c r="BL41" s="926"/>
      <c r="BM41" s="926"/>
      <c r="BN41" s="926"/>
      <c r="BO41" s="926"/>
      <c r="BP41" s="926"/>
      <c r="BQ41" s="926"/>
      <c r="BR41" s="926"/>
      <c r="BS41" s="926"/>
      <c r="BT41" s="926"/>
      <c r="BU41" s="926"/>
      <c r="BV41" s="926"/>
      <c r="BW41" s="926"/>
      <c r="BX41" s="926"/>
      <c r="BY41" s="932"/>
      <c r="BZ41" s="932"/>
      <c r="CA41" s="932"/>
      <c r="CB41" s="932"/>
      <c r="CC41" s="932"/>
      <c r="CD41" s="932"/>
      <c r="CE41" s="932"/>
      <c r="CF41" s="932"/>
    </row>
    <row r="42" spans="1:84" x14ac:dyDescent="0.25">
      <c r="A42" s="876">
        <v>20300</v>
      </c>
      <c r="B42" s="873" t="s">
        <v>1256</v>
      </c>
      <c r="C42" s="921">
        <v>3938507343</v>
      </c>
      <c r="D42" s="924">
        <v>2.4239780999999998E-2</v>
      </c>
      <c r="E42" s="925"/>
      <c r="F42" s="926"/>
      <c r="G42" s="926"/>
      <c r="H42" s="926"/>
      <c r="I42" s="926"/>
      <c r="J42" s="926"/>
      <c r="K42" s="926"/>
      <c r="L42" s="926"/>
      <c r="M42" s="926"/>
      <c r="N42" s="926"/>
      <c r="O42" s="926"/>
      <c r="P42" s="926"/>
      <c r="Q42" s="926"/>
      <c r="R42" s="926"/>
      <c r="S42" s="926"/>
      <c r="T42" s="926"/>
      <c r="U42" s="926"/>
      <c r="V42" s="926"/>
      <c r="W42" s="926"/>
      <c r="X42" s="926"/>
      <c r="Y42" s="926"/>
      <c r="Z42" s="926"/>
      <c r="AA42" s="926"/>
      <c r="AB42" s="926"/>
      <c r="AC42" s="926"/>
      <c r="AD42" s="926"/>
      <c r="AE42" s="926"/>
      <c r="AF42" s="926"/>
      <c r="AG42" s="926"/>
      <c r="AH42" s="926"/>
      <c r="AI42" s="926"/>
      <c r="AJ42" s="926"/>
      <c r="AK42" s="926"/>
      <c r="AL42" s="926"/>
      <c r="AM42" s="926"/>
      <c r="AN42" s="926"/>
      <c r="AO42" s="926"/>
      <c r="AP42" s="926"/>
      <c r="AQ42" s="926"/>
      <c r="AR42" s="926"/>
      <c r="AS42" s="926"/>
      <c r="AT42" s="926"/>
      <c r="AU42" s="927"/>
      <c r="AV42" s="927"/>
      <c r="AW42" s="927"/>
      <c r="AX42" s="927"/>
      <c r="AY42" s="927"/>
      <c r="AZ42" s="927"/>
      <c r="BA42" s="927"/>
      <c r="BB42" s="927"/>
      <c r="BC42" s="928"/>
      <c r="BD42" s="929"/>
      <c r="BE42" s="930"/>
      <c r="BF42" s="930"/>
      <c r="BG42" s="931"/>
      <c r="BH42" s="931"/>
      <c r="BI42" s="926"/>
      <c r="BJ42" s="926"/>
      <c r="BK42" s="926"/>
      <c r="BL42" s="926"/>
      <c r="BM42" s="926"/>
      <c r="BN42" s="926"/>
      <c r="BO42" s="926"/>
      <c r="BP42" s="926"/>
      <c r="BQ42" s="926"/>
      <c r="BR42" s="926"/>
      <c r="BS42" s="926"/>
      <c r="BT42" s="926"/>
      <c r="BU42" s="926"/>
      <c r="BV42" s="926"/>
      <c r="BW42" s="926"/>
      <c r="BX42" s="926"/>
      <c r="BY42" s="932"/>
      <c r="BZ42" s="932"/>
      <c r="CA42" s="932"/>
      <c r="CB42" s="932"/>
      <c r="CC42" s="932"/>
      <c r="CD42" s="932"/>
      <c r="CE42" s="932"/>
      <c r="CF42" s="932"/>
    </row>
    <row r="43" spans="1:84" x14ac:dyDescent="0.25">
      <c r="A43" s="876">
        <v>20400</v>
      </c>
      <c r="B43" s="873" t="s">
        <v>1257</v>
      </c>
      <c r="C43" s="921">
        <v>183280243</v>
      </c>
      <c r="D43" s="924">
        <v>1.1280089999999999E-3</v>
      </c>
      <c r="E43" s="925"/>
      <c r="F43" s="926"/>
      <c r="G43" s="926"/>
      <c r="H43" s="926"/>
      <c r="I43" s="926"/>
      <c r="J43" s="926"/>
      <c r="K43" s="926"/>
      <c r="L43" s="926"/>
      <c r="M43" s="926"/>
      <c r="N43" s="926"/>
      <c r="O43" s="926"/>
      <c r="P43" s="926"/>
      <c r="Q43" s="926"/>
      <c r="R43" s="926"/>
      <c r="S43" s="926"/>
      <c r="T43" s="926"/>
      <c r="U43" s="926"/>
      <c r="V43" s="926"/>
      <c r="W43" s="926"/>
      <c r="X43" s="926"/>
      <c r="Y43" s="926"/>
      <c r="Z43" s="926"/>
      <c r="AA43" s="926"/>
      <c r="AB43" s="926"/>
      <c r="AC43" s="926"/>
      <c r="AD43" s="926"/>
      <c r="AE43" s="926"/>
      <c r="AF43" s="926"/>
      <c r="AG43" s="926"/>
      <c r="AH43" s="926"/>
      <c r="AI43" s="926"/>
      <c r="AJ43" s="926"/>
      <c r="AK43" s="926"/>
      <c r="AL43" s="926"/>
      <c r="AM43" s="926"/>
      <c r="AN43" s="926"/>
      <c r="AO43" s="926"/>
      <c r="AP43" s="926"/>
      <c r="AQ43" s="926"/>
      <c r="AR43" s="926"/>
      <c r="AS43" s="926"/>
      <c r="AT43" s="926"/>
      <c r="AU43" s="927"/>
      <c r="AV43" s="927"/>
      <c r="AW43" s="927"/>
      <c r="AX43" s="927"/>
      <c r="AY43" s="927"/>
      <c r="AZ43" s="927"/>
      <c r="BA43" s="927"/>
      <c r="BB43" s="927"/>
      <c r="BC43" s="928"/>
      <c r="BD43" s="929"/>
      <c r="BE43" s="930"/>
      <c r="BF43" s="930"/>
      <c r="BG43" s="931"/>
      <c r="BH43" s="931"/>
      <c r="BI43" s="926"/>
      <c r="BJ43" s="926"/>
      <c r="BK43" s="926"/>
      <c r="BL43" s="926"/>
      <c r="BM43" s="926"/>
      <c r="BN43" s="926"/>
      <c r="BO43" s="926"/>
      <c r="BP43" s="926"/>
      <c r="BQ43" s="926"/>
      <c r="BR43" s="926"/>
      <c r="BS43" s="926"/>
      <c r="BT43" s="926"/>
      <c r="BU43" s="926"/>
      <c r="BV43" s="926"/>
      <c r="BW43" s="926"/>
      <c r="BX43" s="926"/>
      <c r="BY43" s="932"/>
      <c r="BZ43" s="932"/>
      <c r="CA43" s="932"/>
      <c r="CB43" s="932"/>
      <c r="CC43" s="932"/>
      <c r="CD43" s="932"/>
      <c r="CE43" s="932"/>
      <c r="CF43" s="932"/>
    </row>
    <row r="44" spans="1:84" x14ac:dyDescent="0.25">
      <c r="A44" s="876">
        <v>20600</v>
      </c>
      <c r="B44" s="873" t="s">
        <v>1258</v>
      </c>
      <c r="C44" s="921">
        <v>463111324</v>
      </c>
      <c r="D44" s="924">
        <v>2.8502470000000002E-3</v>
      </c>
      <c r="E44" s="925"/>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926"/>
      <c r="AG44" s="926"/>
      <c r="AH44" s="926"/>
      <c r="AI44" s="926"/>
      <c r="AJ44" s="926"/>
      <c r="AK44" s="926"/>
      <c r="AL44" s="926"/>
      <c r="AM44" s="926"/>
      <c r="AN44" s="926"/>
      <c r="AO44" s="926"/>
      <c r="AP44" s="926"/>
      <c r="AQ44" s="926"/>
      <c r="AR44" s="926"/>
      <c r="AS44" s="926"/>
      <c r="AT44" s="926"/>
      <c r="AU44" s="927"/>
      <c r="AV44" s="927"/>
      <c r="AW44" s="927"/>
      <c r="AX44" s="927"/>
      <c r="AY44" s="927"/>
      <c r="AZ44" s="927"/>
      <c r="BA44" s="927"/>
      <c r="BB44" s="927"/>
      <c r="BC44" s="928"/>
      <c r="BD44" s="929"/>
      <c r="BE44" s="930"/>
      <c r="BF44" s="930"/>
      <c r="BG44" s="931"/>
      <c r="BH44" s="931"/>
      <c r="BI44" s="926"/>
      <c r="BJ44" s="926"/>
      <c r="BK44" s="926"/>
      <c r="BL44" s="926"/>
      <c r="BM44" s="926"/>
      <c r="BN44" s="926"/>
      <c r="BO44" s="926"/>
      <c r="BP44" s="926"/>
      <c r="BQ44" s="926"/>
      <c r="BR44" s="926"/>
      <c r="BS44" s="926"/>
      <c r="BT44" s="926"/>
      <c r="BU44" s="926"/>
      <c r="BV44" s="926"/>
      <c r="BW44" s="926"/>
      <c r="BX44" s="926"/>
      <c r="BY44" s="932"/>
      <c r="BZ44" s="932"/>
      <c r="CA44" s="932"/>
      <c r="CB44" s="932"/>
      <c r="CC44" s="932"/>
      <c r="CD44" s="932"/>
      <c r="CE44" s="932"/>
      <c r="CF44" s="932"/>
    </row>
    <row r="45" spans="1:84" x14ac:dyDescent="0.25">
      <c r="A45" s="876">
        <v>20700</v>
      </c>
      <c r="B45" s="873" t="s">
        <v>1259</v>
      </c>
      <c r="C45" s="921">
        <v>940144959</v>
      </c>
      <c r="D45" s="924">
        <v>5.7861789999999998E-3</v>
      </c>
      <c r="E45" s="925"/>
      <c r="F45" s="926"/>
      <c r="G45" s="926"/>
      <c r="H45" s="926"/>
      <c r="I45" s="926"/>
      <c r="J45" s="926"/>
      <c r="K45" s="926"/>
      <c r="L45" s="926"/>
      <c r="M45" s="926"/>
      <c r="N45" s="926"/>
      <c r="O45" s="926"/>
      <c r="P45" s="926"/>
      <c r="Q45" s="926"/>
      <c r="R45" s="926"/>
      <c r="S45" s="926"/>
      <c r="T45" s="926"/>
      <c r="U45" s="926"/>
      <c r="V45" s="926"/>
      <c r="W45" s="926"/>
      <c r="X45" s="926"/>
      <c r="Y45" s="926"/>
      <c r="Z45" s="926"/>
      <c r="AA45" s="926"/>
      <c r="AB45" s="926"/>
      <c r="AC45" s="926"/>
      <c r="AD45" s="926"/>
      <c r="AE45" s="926"/>
      <c r="AF45" s="926"/>
      <c r="AG45" s="926"/>
      <c r="AH45" s="926"/>
      <c r="AI45" s="926"/>
      <c r="AJ45" s="926"/>
      <c r="AK45" s="926"/>
      <c r="AL45" s="926"/>
      <c r="AM45" s="926"/>
      <c r="AN45" s="926"/>
      <c r="AO45" s="926"/>
      <c r="AP45" s="926"/>
      <c r="AQ45" s="926"/>
      <c r="AR45" s="926"/>
      <c r="AS45" s="926"/>
      <c r="AT45" s="926"/>
      <c r="AU45" s="927"/>
      <c r="AV45" s="927"/>
      <c r="AW45" s="927"/>
      <c r="AX45" s="927"/>
      <c r="AY45" s="927"/>
      <c r="AZ45" s="927"/>
      <c r="BA45" s="927"/>
      <c r="BB45" s="927"/>
      <c r="BC45" s="928"/>
      <c r="BD45" s="929"/>
      <c r="BE45" s="930"/>
      <c r="BF45" s="930"/>
      <c r="BG45" s="931"/>
      <c r="BH45" s="931"/>
      <c r="BI45" s="926"/>
      <c r="BJ45" s="926"/>
      <c r="BK45" s="926"/>
      <c r="BL45" s="926"/>
      <c r="BM45" s="926"/>
      <c r="BN45" s="926"/>
      <c r="BO45" s="926"/>
      <c r="BP45" s="926"/>
      <c r="BQ45" s="926"/>
      <c r="BR45" s="926"/>
      <c r="BS45" s="926"/>
      <c r="BT45" s="926"/>
      <c r="BU45" s="926"/>
      <c r="BV45" s="926"/>
      <c r="BW45" s="926"/>
      <c r="BX45" s="926"/>
      <c r="BY45" s="932"/>
      <c r="BZ45" s="932"/>
      <c r="CA45" s="932"/>
      <c r="CB45" s="932"/>
      <c r="CC45" s="932"/>
      <c r="CD45" s="932"/>
      <c r="CE45" s="932"/>
      <c r="CF45" s="932"/>
    </row>
    <row r="46" spans="1:84" x14ac:dyDescent="0.25">
      <c r="A46" s="876">
        <v>20800</v>
      </c>
      <c r="B46" s="873" t="s">
        <v>1260</v>
      </c>
      <c r="C46" s="921">
        <v>729472105</v>
      </c>
      <c r="D46" s="924">
        <v>4.48958E-3</v>
      </c>
      <c r="E46" s="925"/>
      <c r="F46" s="926"/>
      <c r="G46" s="926"/>
      <c r="H46" s="926"/>
      <c r="I46" s="926"/>
      <c r="J46" s="926"/>
      <c r="K46" s="926"/>
      <c r="L46" s="926"/>
      <c r="M46" s="926"/>
      <c r="N46" s="926"/>
      <c r="O46" s="926"/>
      <c r="P46" s="926"/>
      <c r="Q46" s="926"/>
      <c r="R46" s="926"/>
      <c r="S46" s="926"/>
      <c r="T46" s="926"/>
      <c r="U46" s="926"/>
      <c r="V46" s="926"/>
      <c r="W46" s="926"/>
      <c r="X46" s="926"/>
      <c r="Y46" s="926"/>
      <c r="Z46" s="926"/>
      <c r="AA46" s="926"/>
      <c r="AB46" s="926"/>
      <c r="AC46" s="926"/>
      <c r="AD46" s="926"/>
      <c r="AE46" s="926"/>
      <c r="AF46" s="926"/>
      <c r="AG46" s="926"/>
      <c r="AH46" s="926"/>
      <c r="AI46" s="926"/>
      <c r="AJ46" s="926"/>
      <c r="AK46" s="926"/>
      <c r="AL46" s="926"/>
      <c r="AM46" s="926"/>
      <c r="AN46" s="926"/>
      <c r="AO46" s="926"/>
      <c r="AP46" s="926"/>
      <c r="AQ46" s="926"/>
      <c r="AR46" s="926"/>
      <c r="AS46" s="926"/>
      <c r="AT46" s="926"/>
      <c r="AU46" s="927"/>
      <c r="AV46" s="927"/>
      <c r="AW46" s="927"/>
      <c r="AX46" s="927"/>
      <c r="AY46" s="927"/>
      <c r="AZ46" s="927"/>
      <c r="BA46" s="927"/>
      <c r="BB46" s="927"/>
      <c r="BC46" s="928"/>
      <c r="BD46" s="929"/>
      <c r="BE46" s="930"/>
      <c r="BF46" s="930"/>
      <c r="BG46" s="931"/>
      <c r="BH46" s="931"/>
      <c r="BI46" s="926"/>
      <c r="BJ46" s="926"/>
      <c r="BK46" s="926"/>
      <c r="BL46" s="926"/>
      <c r="BM46" s="926"/>
      <c r="BN46" s="926"/>
      <c r="BO46" s="926"/>
      <c r="BP46" s="926"/>
      <c r="BQ46" s="926"/>
      <c r="BR46" s="926"/>
      <c r="BS46" s="926"/>
      <c r="BT46" s="926"/>
      <c r="BU46" s="926"/>
      <c r="BV46" s="926"/>
      <c r="BW46" s="926"/>
      <c r="BX46" s="926"/>
      <c r="BY46" s="932"/>
      <c r="BZ46" s="932"/>
      <c r="CA46" s="932"/>
      <c r="CB46" s="932"/>
      <c r="CC46" s="932"/>
      <c r="CD46" s="932"/>
      <c r="CE46" s="932"/>
      <c r="CF46" s="932"/>
    </row>
    <row r="47" spans="1:84" x14ac:dyDescent="0.25">
      <c r="A47" s="876">
        <v>20900</v>
      </c>
      <c r="B47" s="873" t="s">
        <v>1261</v>
      </c>
      <c r="C47" s="921">
        <v>1541406508</v>
      </c>
      <c r="D47" s="924">
        <v>9.4866789999999996E-3</v>
      </c>
      <c r="E47" s="925"/>
      <c r="F47" s="926"/>
      <c r="G47" s="926"/>
      <c r="H47" s="926"/>
      <c r="I47" s="926"/>
      <c r="J47" s="926"/>
      <c r="K47" s="926"/>
      <c r="L47" s="926"/>
      <c r="M47" s="926"/>
      <c r="N47" s="926"/>
      <c r="O47" s="926"/>
      <c r="P47" s="926"/>
      <c r="Q47" s="926"/>
      <c r="R47" s="926"/>
      <c r="S47" s="926"/>
      <c r="T47" s="926"/>
      <c r="U47" s="926"/>
      <c r="V47" s="926"/>
      <c r="W47" s="926"/>
      <c r="X47" s="926"/>
      <c r="Y47" s="926"/>
      <c r="Z47" s="926"/>
      <c r="AA47" s="926"/>
      <c r="AB47" s="926"/>
      <c r="AC47" s="926"/>
      <c r="AD47" s="926"/>
      <c r="AE47" s="926"/>
      <c r="AF47" s="926"/>
      <c r="AG47" s="926"/>
      <c r="AH47" s="926"/>
      <c r="AI47" s="926"/>
      <c r="AJ47" s="926"/>
      <c r="AK47" s="926"/>
      <c r="AL47" s="926"/>
      <c r="AM47" s="926"/>
      <c r="AN47" s="926"/>
      <c r="AO47" s="926"/>
      <c r="AP47" s="926"/>
      <c r="AQ47" s="926"/>
      <c r="AR47" s="926"/>
      <c r="AS47" s="926"/>
      <c r="AT47" s="926"/>
      <c r="AU47" s="927"/>
      <c r="AV47" s="927"/>
      <c r="AW47" s="927"/>
      <c r="AX47" s="927"/>
      <c r="AY47" s="927"/>
      <c r="AZ47" s="927"/>
      <c r="BA47" s="927"/>
      <c r="BB47" s="927"/>
      <c r="BC47" s="928"/>
      <c r="BD47" s="929"/>
      <c r="BE47" s="930"/>
      <c r="BF47" s="930"/>
      <c r="BG47" s="931"/>
      <c r="BH47" s="931"/>
      <c r="BI47" s="926"/>
      <c r="BJ47" s="926"/>
      <c r="BK47" s="926"/>
      <c r="BL47" s="926"/>
      <c r="BM47" s="926"/>
      <c r="BN47" s="926"/>
      <c r="BO47" s="926"/>
      <c r="BP47" s="926"/>
      <c r="BQ47" s="926"/>
      <c r="BR47" s="926"/>
      <c r="BS47" s="926"/>
      <c r="BT47" s="926"/>
      <c r="BU47" s="926"/>
      <c r="BV47" s="926"/>
      <c r="BW47" s="926"/>
      <c r="BX47" s="926"/>
      <c r="BY47" s="932"/>
      <c r="BZ47" s="932"/>
      <c r="CA47" s="932"/>
      <c r="CB47" s="932"/>
      <c r="CC47" s="932"/>
      <c r="CD47" s="932"/>
      <c r="CE47" s="932"/>
      <c r="CF47" s="932"/>
    </row>
    <row r="48" spans="1:84" x14ac:dyDescent="0.25">
      <c r="A48" s="876">
        <v>21200</v>
      </c>
      <c r="B48" s="873" t="s">
        <v>1262</v>
      </c>
      <c r="C48" s="921">
        <v>487624260</v>
      </c>
      <c r="D48" s="924">
        <v>3.0011130000000001E-3</v>
      </c>
      <c r="E48" s="925"/>
      <c r="F48" s="926"/>
      <c r="G48" s="926"/>
      <c r="H48" s="926"/>
      <c r="I48" s="926"/>
      <c r="J48" s="926"/>
      <c r="K48" s="926"/>
      <c r="L48" s="926"/>
      <c r="M48" s="926"/>
      <c r="N48" s="926"/>
      <c r="O48" s="926"/>
      <c r="P48" s="926"/>
      <c r="Q48" s="926"/>
      <c r="R48" s="926"/>
      <c r="S48" s="926"/>
      <c r="T48" s="926"/>
      <c r="U48" s="926"/>
      <c r="V48" s="926"/>
      <c r="W48" s="926"/>
      <c r="X48" s="926"/>
      <c r="Y48" s="926"/>
      <c r="Z48" s="926"/>
      <c r="AA48" s="926"/>
      <c r="AB48" s="926"/>
      <c r="AC48" s="926"/>
      <c r="AD48" s="926"/>
      <c r="AE48" s="926"/>
      <c r="AF48" s="926"/>
      <c r="AG48" s="926"/>
      <c r="AH48" s="926"/>
      <c r="AI48" s="926"/>
      <c r="AJ48" s="926"/>
      <c r="AK48" s="926"/>
      <c r="AL48" s="926"/>
      <c r="AM48" s="926"/>
      <c r="AN48" s="926"/>
      <c r="AO48" s="926"/>
      <c r="AP48" s="926"/>
      <c r="AQ48" s="926"/>
      <c r="AR48" s="926"/>
      <c r="AS48" s="926"/>
      <c r="AT48" s="926"/>
      <c r="AU48" s="927"/>
      <c r="AV48" s="927"/>
      <c r="AW48" s="927"/>
      <c r="AX48" s="927"/>
      <c r="AY48" s="927"/>
      <c r="AZ48" s="927"/>
      <c r="BA48" s="927"/>
      <c r="BB48" s="927"/>
      <c r="BC48" s="928"/>
      <c r="BD48" s="929"/>
      <c r="BE48" s="930"/>
      <c r="BF48" s="930"/>
      <c r="BG48" s="931"/>
      <c r="BH48" s="931"/>
      <c r="BI48" s="926"/>
      <c r="BJ48" s="926"/>
      <c r="BK48" s="926"/>
      <c r="BL48" s="926"/>
      <c r="BM48" s="926"/>
      <c r="BN48" s="926"/>
      <c r="BO48" s="926"/>
      <c r="BP48" s="926"/>
      <c r="BQ48" s="926"/>
      <c r="BR48" s="926"/>
      <c r="BS48" s="926"/>
      <c r="BT48" s="926"/>
      <c r="BU48" s="926"/>
      <c r="BV48" s="926"/>
      <c r="BW48" s="926"/>
      <c r="BX48" s="926"/>
      <c r="BY48" s="932"/>
      <c r="BZ48" s="932"/>
      <c r="CA48" s="932"/>
      <c r="CB48" s="932"/>
      <c r="CC48" s="932"/>
      <c r="CD48" s="932"/>
      <c r="CE48" s="932"/>
      <c r="CF48" s="932"/>
    </row>
    <row r="49" spans="1:84" x14ac:dyDescent="0.25">
      <c r="A49" s="876">
        <v>21300</v>
      </c>
      <c r="B49" s="873" t="s">
        <v>1263</v>
      </c>
      <c r="C49" s="921">
        <v>6235352310</v>
      </c>
      <c r="D49" s="924">
        <v>3.8375852000000002E-2</v>
      </c>
      <c r="E49" s="925"/>
      <c r="F49" s="926"/>
      <c r="G49" s="926"/>
      <c r="H49" s="926"/>
      <c r="I49" s="926"/>
      <c r="J49" s="926"/>
      <c r="K49" s="926"/>
      <c r="L49" s="926"/>
      <c r="M49" s="926"/>
      <c r="N49" s="926"/>
      <c r="O49" s="926"/>
      <c r="P49" s="926"/>
      <c r="Q49" s="926"/>
      <c r="R49" s="926"/>
      <c r="S49" s="926"/>
      <c r="T49" s="926"/>
      <c r="U49" s="926"/>
      <c r="V49" s="926"/>
      <c r="W49" s="926"/>
      <c r="X49" s="926"/>
      <c r="Y49" s="926"/>
      <c r="Z49" s="926"/>
      <c r="AA49" s="926"/>
      <c r="AB49" s="926"/>
      <c r="AC49" s="926"/>
      <c r="AD49" s="926"/>
      <c r="AE49" s="926"/>
      <c r="AF49" s="926"/>
      <c r="AG49" s="926"/>
      <c r="AH49" s="926"/>
      <c r="AI49" s="926"/>
      <c r="AJ49" s="926"/>
      <c r="AK49" s="926"/>
      <c r="AL49" s="926"/>
      <c r="AM49" s="926"/>
      <c r="AN49" s="926"/>
      <c r="AO49" s="926"/>
      <c r="AP49" s="926"/>
      <c r="AQ49" s="926"/>
      <c r="AR49" s="926"/>
      <c r="AS49" s="926"/>
      <c r="AT49" s="926"/>
      <c r="AU49" s="927"/>
      <c r="AV49" s="927"/>
      <c r="AW49" s="927"/>
      <c r="AX49" s="927"/>
      <c r="AY49" s="927"/>
      <c r="AZ49" s="927"/>
      <c r="BA49" s="927"/>
      <c r="BB49" s="927"/>
      <c r="BC49" s="928"/>
      <c r="BD49" s="929"/>
      <c r="BE49" s="930"/>
      <c r="BF49" s="930"/>
      <c r="BG49" s="931"/>
      <c r="BH49" s="931"/>
      <c r="BI49" s="926"/>
      <c r="BJ49" s="926"/>
      <c r="BK49" s="926"/>
      <c r="BL49" s="926"/>
      <c r="BM49" s="926"/>
      <c r="BN49" s="926"/>
      <c r="BO49" s="926"/>
      <c r="BP49" s="926"/>
      <c r="BQ49" s="926"/>
      <c r="BR49" s="926"/>
      <c r="BS49" s="926"/>
      <c r="BT49" s="926"/>
      <c r="BU49" s="926"/>
      <c r="BV49" s="926"/>
      <c r="BW49" s="926"/>
      <c r="BX49" s="926"/>
      <c r="BY49" s="932"/>
      <c r="BZ49" s="932"/>
      <c r="CA49" s="932"/>
      <c r="CB49" s="932"/>
      <c r="CC49" s="932"/>
      <c r="CD49" s="932"/>
      <c r="CE49" s="932"/>
      <c r="CF49" s="932"/>
    </row>
    <row r="50" spans="1:84" x14ac:dyDescent="0.25">
      <c r="A50" s="876">
        <v>21520</v>
      </c>
      <c r="B50" s="873" t="s">
        <v>836</v>
      </c>
      <c r="C50" s="921">
        <v>10989833597</v>
      </c>
      <c r="D50" s="924">
        <v>6.7637593999999995E-2</v>
      </c>
      <c r="E50" s="925"/>
      <c r="F50" s="926"/>
      <c r="G50" s="926"/>
      <c r="H50" s="926"/>
      <c r="I50" s="926"/>
      <c r="J50" s="926"/>
      <c r="K50" s="926"/>
      <c r="L50" s="926"/>
      <c r="M50" s="926"/>
      <c r="N50" s="926"/>
      <c r="O50" s="926"/>
      <c r="P50" s="926"/>
      <c r="Q50" s="926"/>
      <c r="R50" s="926"/>
      <c r="S50" s="926"/>
      <c r="T50" s="926"/>
      <c r="U50" s="926"/>
      <c r="V50" s="926"/>
      <c r="W50" s="926"/>
      <c r="X50" s="926"/>
      <c r="Y50" s="926"/>
      <c r="Z50" s="926"/>
      <c r="AA50" s="926"/>
      <c r="AB50" s="926"/>
      <c r="AC50" s="926"/>
      <c r="AD50" s="926"/>
      <c r="AE50" s="926"/>
      <c r="AF50" s="926"/>
      <c r="AG50" s="926"/>
      <c r="AH50" s="926"/>
      <c r="AI50" s="926"/>
      <c r="AJ50" s="926"/>
      <c r="AK50" s="926"/>
      <c r="AL50" s="926"/>
      <c r="AM50" s="926"/>
      <c r="AN50" s="926"/>
      <c r="AO50" s="926"/>
      <c r="AP50" s="926"/>
      <c r="AQ50" s="926"/>
      <c r="AR50" s="926"/>
      <c r="AS50" s="926"/>
      <c r="AT50" s="926"/>
      <c r="AU50" s="927"/>
      <c r="AV50" s="927"/>
      <c r="AW50" s="927"/>
      <c r="AX50" s="927"/>
      <c r="AY50" s="927"/>
      <c r="AZ50" s="927"/>
      <c r="BA50" s="927"/>
      <c r="BB50" s="927"/>
      <c r="BC50" s="928"/>
      <c r="BD50" s="929"/>
      <c r="BE50" s="930"/>
      <c r="BF50" s="930"/>
      <c r="BG50" s="931"/>
      <c r="BH50" s="931"/>
      <c r="BI50" s="926"/>
      <c r="BJ50" s="926"/>
      <c r="BK50" s="926"/>
      <c r="BL50" s="926"/>
      <c r="BM50" s="926"/>
      <c r="BN50" s="926"/>
      <c r="BO50" s="926"/>
      <c r="BP50" s="926"/>
      <c r="BQ50" s="926"/>
      <c r="BR50" s="926"/>
      <c r="BS50" s="926"/>
      <c r="BT50" s="926"/>
      <c r="BU50" s="926"/>
      <c r="BV50" s="926"/>
      <c r="BW50" s="926"/>
      <c r="BX50" s="926"/>
      <c r="BY50" s="932"/>
      <c r="BZ50" s="932"/>
      <c r="CA50" s="932"/>
      <c r="CB50" s="932"/>
      <c r="CC50" s="932"/>
      <c r="CD50" s="932"/>
      <c r="CE50" s="932"/>
      <c r="CF50" s="932"/>
    </row>
    <row r="51" spans="1:84" x14ac:dyDescent="0.25">
      <c r="A51" s="876">
        <v>21525</v>
      </c>
      <c r="B51" s="873" t="s">
        <v>1264</v>
      </c>
      <c r="C51" s="921">
        <v>256176278</v>
      </c>
      <c r="D51" s="924">
        <v>1.576652E-3</v>
      </c>
      <c r="E51" s="925"/>
      <c r="F51" s="926"/>
      <c r="G51" s="926"/>
      <c r="H51" s="926"/>
      <c r="I51" s="926"/>
      <c r="J51" s="926"/>
      <c r="K51" s="926"/>
      <c r="L51" s="926"/>
      <c r="M51" s="926"/>
      <c r="N51" s="926"/>
      <c r="O51" s="926"/>
      <c r="P51" s="926"/>
      <c r="Q51" s="926"/>
      <c r="R51" s="926"/>
      <c r="S51" s="926"/>
      <c r="T51" s="926"/>
      <c r="U51" s="926"/>
      <c r="V51" s="926"/>
      <c r="W51" s="926"/>
      <c r="X51" s="926"/>
      <c r="Y51" s="926"/>
      <c r="Z51" s="926"/>
      <c r="AA51" s="926"/>
      <c r="AB51" s="926"/>
      <c r="AC51" s="926"/>
      <c r="AD51" s="926"/>
      <c r="AE51" s="926"/>
      <c r="AF51" s="926"/>
      <c r="AG51" s="926"/>
      <c r="AH51" s="926"/>
      <c r="AI51" s="926"/>
      <c r="AJ51" s="926"/>
      <c r="AK51" s="926"/>
      <c r="AL51" s="926"/>
      <c r="AM51" s="926"/>
      <c r="AN51" s="926"/>
      <c r="AO51" s="926"/>
      <c r="AP51" s="926"/>
      <c r="AQ51" s="926"/>
      <c r="AR51" s="926"/>
      <c r="AS51" s="926"/>
      <c r="AT51" s="926"/>
      <c r="AU51" s="927"/>
      <c r="AV51" s="927"/>
      <c r="AW51" s="927"/>
      <c r="AX51" s="927"/>
      <c r="AY51" s="927"/>
      <c r="AZ51" s="927"/>
      <c r="BA51" s="927"/>
      <c r="BB51" s="927"/>
      <c r="BC51" s="928"/>
      <c r="BD51" s="929"/>
      <c r="BE51" s="930"/>
      <c r="BF51" s="930"/>
      <c r="BG51" s="931"/>
      <c r="BH51" s="931"/>
      <c r="BI51" s="926"/>
      <c r="BJ51" s="926"/>
      <c r="BK51" s="926"/>
      <c r="BL51" s="926"/>
      <c r="BM51" s="926"/>
      <c r="BN51" s="926"/>
      <c r="BO51" s="926"/>
      <c r="BP51" s="926"/>
      <c r="BQ51" s="926"/>
      <c r="BR51" s="926"/>
      <c r="BS51" s="926"/>
      <c r="BT51" s="926"/>
      <c r="BU51" s="926"/>
      <c r="BV51" s="926"/>
      <c r="BW51" s="926"/>
      <c r="BX51" s="926"/>
      <c r="BY51" s="932"/>
      <c r="BZ51" s="932"/>
      <c r="CA51" s="932"/>
      <c r="CB51" s="932"/>
      <c r="CC51" s="932"/>
      <c r="CD51" s="932"/>
      <c r="CE51" s="932"/>
      <c r="CF51" s="932"/>
    </row>
    <row r="52" spans="1:84" x14ac:dyDescent="0.25">
      <c r="A52" s="876">
        <v>21525.1</v>
      </c>
      <c r="B52" s="873" t="s">
        <v>1265</v>
      </c>
      <c r="C52" s="921">
        <v>25054864</v>
      </c>
      <c r="D52" s="924">
        <v>1.5420200000000001E-4</v>
      </c>
      <c r="E52" s="925"/>
      <c r="F52" s="926"/>
      <c r="G52" s="926"/>
      <c r="H52" s="926"/>
      <c r="I52" s="926"/>
      <c r="J52" s="926"/>
      <c r="K52" s="926"/>
      <c r="L52" s="926"/>
      <c r="M52" s="926"/>
      <c r="N52" s="926"/>
      <c r="O52" s="926"/>
      <c r="P52" s="926"/>
      <c r="Q52" s="926"/>
      <c r="R52" s="926"/>
      <c r="S52" s="926"/>
      <c r="T52" s="926"/>
      <c r="U52" s="926"/>
      <c r="V52" s="926"/>
      <c r="W52" s="926"/>
      <c r="X52" s="926"/>
      <c r="Y52" s="926"/>
      <c r="Z52" s="926"/>
      <c r="AA52" s="926"/>
      <c r="AB52" s="926"/>
      <c r="AC52" s="926"/>
      <c r="AD52" s="926"/>
      <c r="AE52" s="926"/>
      <c r="AF52" s="926"/>
      <c r="AG52" s="926"/>
      <c r="AH52" s="926"/>
      <c r="AI52" s="926"/>
      <c r="AJ52" s="926"/>
      <c r="AK52" s="926"/>
      <c r="AL52" s="926"/>
      <c r="AM52" s="926"/>
      <c r="AN52" s="926"/>
      <c r="AO52" s="926"/>
      <c r="AP52" s="926"/>
      <c r="AQ52" s="926"/>
      <c r="AR52" s="926"/>
      <c r="AS52" s="926"/>
      <c r="AT52" s="926"/>
      <c r="AU52" s="927"/>
      <c r="AV52" s="927"/>
      <c r="AW52" s="927"/>
      <c r="AX52" s="927"/>
      <c r="AY52" s="927"/>
      <c r="AZ52" s="927"/>
      <c r="BA52" s="927"/>
      <c r="BB52" s="927"/>
      <c r="BC52" s="928"/>
      <c r="BD52" s="929"/>
      <c r="BE52" s="930"/>
      <c r="BF52" s="930"/>
      <c r="BG52" s="931"/>
      <c r="BH52" s="931"/>
      <c r="BI52" s="926"/>
      <c r="BJ52" s="926"/>
      <c r="BK52" s="926"/>
      <c r="BL52" s="926"/>
      <c r="BM52" s="926"/>
      <c r="BN52" s="926"/>
      <c r="BO52" s="926"/>
      <c r="BP52" s="926"/>
      <c r="BQ52" s="926"/>
      <c r="BR52" s="926"/>
      <c r="BS52" s="926"/>
      <c r="BT52" s="926"/>
      <c r="BU52" s="926"/>
      <c r="BV52" s="926"/>
      <c r="BW52" s="926"/>
      <c r="BX52" s="926"/>
      <c r="BY52" s="932"/>
      <c r="BZ52" s="932"/>
      <c r="CA52" s="932"/>
      <c r="CB52" s="932"/>
      <c r="CC52" s="932"/>
      <c r="CD52" s="932"/>
      <c r="CE52" s="932"/>
      <c r="CF52" s="932"/>
    </row>
    <row r="53" spans="1:84" x14ac:dyDescent="0.25">
      <c r="A53" s="876">
        <v>21550</v>
      </c>
      <c r="B53" s="873" t="s">
        <v>1266</v>
      </c>
      <c r="C53" s="921">
        <v>6320168235</v>
      </c>
      <c r="D53" s="924">
        <v>3.8897857000000001E-2</v>
      </c>
      <c r="E53" s="925"/>
      <c r="F53" s="926"/>
      <c r="G53" s="926"/>
      <c r="H53" s="926"/>
      <c r="I53" s="926"/>
      <c r="J53" s="926"/>
      <c r="K53" s="926"/>
      <c r="L53" s="926"/>
      <c r="M53" s="926"/>
      <c r="N53" s="926"/>
      <c r="O53" s="926"/>
      <c r="P53" s="926"/>
      <c r="Q53" s="926"/>
      <c r="R53" s="926"/>
      <c r="S53" s="926"/>
      <c r="T53" s="926"/>
      <c r="U53" s="926"/>
      <c r="V53" s="926"/>
      <c r="W53" s="926"/>
      <c r="X53" s="926"/>
      <c r="Y53" s="926"/>
      <c r="Z53" s="926"/>
      <c r="AA53" s="926"/>
      <c r="AB53" s="926"/>
      <c r="AC53" s="926"/>
      <c r="AD53" s="926"/>
      <c r="AE53" s="926"/>
      <c r="AF53" s="926"/>
      <c r="AG53" s="926"/>
      <c r="AH53" s="926"/>
      <c r="AI53" s="926"/>
      <c r="AJ53" s="926"/>
      <c r="AK53" s="926"/>
      <c r="AL53" s="926"/>
      <c r="AM53" s="926"/>
      <c r="AN53" s="926"/>
      <c r="AO53" s="926"/>
      <c r="AP53" s="926"/>
      <c r="AQ53" s="926"/>
      <c r="AR53" s="926"/>
      <c r="AS53" s="926"/>
      <c r="AT53" s="926"/>
      <c r="AU53" s="927"/>
      <c r="AV53" s="927"/>
      <c r="AW53" s="927"/>
      <c r="AX53" s="927"/>
      <c r="AY53" s="927"/>
      <c r="AZ53" s="927"/>
      <c r="BA53" s="927"/>
      <c r="BB53" s="927"/>
      <c r="BC53" s="928"/>
      <c r="BD53" s="929"/>
      <c r="BE53" s="930"/>
      <c r="BF53" s="930"/>
      <c r="BG53" s="931"/>
      <c r="BH53" s="931"/>
      <c r="BI53" s="926"/>
      <c r="BJ53" s="926"/>
      <c r="BK53" s="926"/>
      <c r="BL53" s="926"/>
      <c r="BM53" s="926"/>
      <c r="BN53" s="926"/>
      <c r="BO53" s="926"/>
      <c r="BP53" s="926"/>
      <c r="BQ53" s="926"/>
      <c r="BR53" s="926"/>
      <c r="BS53" s="926"/>
      <c r="BT53" s="926"/>
      <c r="BU53" s="926"/>
      <c r="BV53" s="926"/>
      <c r="BW53" s="926"/>
      <c r="BX53" s="926"/>
      <c r="BY53" s="932"/>
      <c r="BZ53" s="932"/>
      <c r="CA53" s="932"/>
      <c r="CB53" s="932"/>
      <c r="CC53" s="932"/>
      <c r="CD53" s="932"/>
      <c r="CE53" s="932"/>
      <c r="CF53" s="932"/>
    </row>
    <row r="54" spans="1:84" x14ac:dyDescent="0.25">
      <c r="A54" s="876">
        <v>21570</v>
      </c>
      <c r="B54" s="873" t="s">
        <v>1267</v>
      </c>
      <c r="C54" s="921">
        <v>26365780</v>
      </c>
      <c r="D54" s="924">
        <v>1.6227E-4</v>
      </c>
      <c r="E54" s="925"/>
      <c r="F54" s="926"/>
      <c r="G54" s="926"/>
      <c r="H54" s="926"/>
      <c r="I54" s="926"/>
      <c r="J54" s="926"/>
      <c r="K54" s="926"/>
      <c r="L54" s="926"/>
      <c r="M54" s="926"/>
      <c r="N54" s="926"/>
      <c r="O54" s="926"/>
      <c r="P54" s="926"/>
      <c r="Q54" s="926"/>
      <c r="R54" s="926"/>
      <c r="S54" s="926"/>
      <c r="T54" s="926"/>
      <c r="U54" s="926"/>
      <c r="V54" s="926"/>
      <c r="W54" s="926"/>
      <c r="X54" s="926"/>
      <c r="Y54" s="926"/>
      <c r="Z54" s="926"/>
      <c r="AA54" s="926"/>
      <c r="AB54" s="926"/>
      <c r="AC54" s="926"/>
      <c r="AD54" s="926"/>
      <c r="AE54" s="926"/>
      <c r="AF54" s="926"/>
      <c r="AG54" s="926"/>
      <c r="AH54" s="926"/>
      <c r="AI54" s="926"/>
      <c r="AJ54" s="926"/>
      <c r="AK54" s="926"/>
      <c r="AL54" s="926"/>
      <c r="AM54" s="926"/>
      <c r="AN54" s="926"/>
      <c r="AO54" s="926"/>
      <c r="AP54" s="926"/>
      <c r="AQ54" s="926"/>
      <c r="AR54" s="926"/>
      <c r="AS54" s="926"/>
      <c r="AT54" s="926"/>
      <c r="AU54" s="927"/>
      <c r="AV54" s="927"/>
      <c r="AW54" s="927"/>
      <c r="AX54" s="927"/>
      <c r="AY54" s="927"/>
      <c r="AZ54" s="927"/>
      <c r="BA54" s="927"/>
      <c r="BB54" s="927"/>
      <c r="BC54" s="928"/>
      <c r="BD54" s="929"/>
      <c r="BE54" s="930"/>
      <c r="BF54" s="930"/>
      <c r="BG54" s="931"/>
      <c r="BH54" s="931"/>
      <c r="BI54" s="926"/>
      <c r="BJ54" s="926"/>
      <c r="BK54" s="926"/>
      <c r="BL54" s="926"/>
      <c r="BM54" s="926"/>
      <c r="BN54" s="926"/>
      <c r="BO54" s="926"/>
      <c r="BP54" s="926"/>
      <c r="BQ54" s="926"/>
      <c r="BR54" s="926"/>
      <c r="BS54" s="926"/>
      <c r="BT54" s="926"/>
      <c r="BU54" s="926"/>
      <c r="BV54" s="926"/>
      <c r="BW54" s="926"/>
      <c r="BX54" s="926"/>
      <c r="BY54" s="932"/>
      <c r="BZ54" s="932"/>
      <c r="CA54" s="932"/>
      <c r="CB54" s="932"/>
      <c r="CC54" s="932"/>
      <c r="CD54" s="932"/>
      <c r="CE54" s="932"/>
      <c r="CF54" s="932"/>
    </row>
    <row r="55" spans="1:84" x14ac:dyDescent="0.25">
      <c r="A55" s="876">
        <v>21800</v>
      </c>
      <c r="B55" s="873" t="s">
        <v>1268</v>
      </c>
      <c r="C55" s="921">
        <v>912680701</v>
      </c>
      <c r="D55" s="924">
        <v>5.6171479999999998E-3</v>
      </c>
      <c r="E55" s="925"/>
      <c r="F55" s="926"/>
      <c r="G55" s="926"/>
      <c r="H55" s="926"/>
      <c r="I55" s="926"/>
      <c r="J55" s="926"/>
      <c r="K55" s="926"/>
      <c r="L55" s="926"/>
      <c r="M55" s="926"/>
      <c r="N55" s="926"/>
      <c r="O55" s="926"/>
      <c r="P55" s="926"/>
      <c r="Q55" s="926"/>
      <c r="R55" s="926"/>
      <c r="S55" s="926"/>
      <c r="T55" s="926"/>
      <c r="U55" s="926"/>
      <c r="V55" s="926"/>
      <c r="W55" s="926"/>
      <c r="X55" s="926"/>
      <c r="Y55" s="926"/>
      <c r="Z55" s="926"/>
      <c r="AA55" s="926"/>
      <c r="AB55" s="926"/>
      <c r="AC55" s="926"/>
      <c r="AD55" s="926"/>
      <c r="AE55" s="926"/>
      <c r="AF55" s="926"/>
      <c r="AG55" s="926"/>
      <c r="AH55" s="926"/>
      <c r="AI55" s="926"/>
      <c r="AJ55" s="926"/>
      <c r="AK55" s="926"/>
      <c r="AL55" s="926"/>
      <c r="AM55" s="926"/>
      <c r="AN55" s="926"/>
      <c r="AO55" s="926"/>
      <c r="AP55" s="926"/>
      <c r="AQ55" s="926"/>
      <c r="AR55" s="926"/>
      <c r="AS55" s="926"/>
      <c r="AT55" s="926"/>
      <c r="AU55" s="927"/>
      <c r="AV55" s="927"/>
      <c r="AW55" s="927"/>
      <c r="AX55" s="927"/>
      <c r="AY55" s="927"/>
      <c r="AZ55" s="927"/>
      <c r="BA55" s="927"/>
      <c r="BB55" s="927"/>
      <c r="BC55" s="928"/>
      <c r="BD55" s="929"/>
      <c r="BE55" s="930"/>
      <c r="BF55" s="930"/>
      <c r="BG55" s="931"/>
      <c r="BH55" s="931"/>
      <c r="BI55" s="926"/>
      <c r="BJ55" s="926"/>
      <c r="BK55" s="926"/>
      <c r="BL55" s="926"/>
      <c r="BM55" s="926"/>
      <c r="BN55" s="926"/>
      <c r="BO55" s="926"/>
      <c r="BP55" s="926"/>
      <c r="BQ55" s="926"/>
      <c r="BR55" s="926"/>
      <c r="BS55" s="926"/>
      <c r="BT55" s="926"/>
      <c r="BU55" s="926"/>
      <c r="BV55" s="926"/>
      <c r="BW55" s="926"/>
      <c r="BX55" s="926"/>
      <c r="BY55" s="932"/>
      <c r="BZ55" s="932"/>
      <c r="CA55" s="932"/>
      <c r="CB55" s="932"/>
      <c r="CC55" s="932"/>
      <c r="CD55" s="932"/>
      <c r="CE55" s="932"/>
      <c r="CF55" s="932"/>
    </row>
    <row r="56" spans="1:84" x14ac:dyDescent="0.25">
      <c r="A56" s="876">
        <v>21900</v>
      </c>
      <c r="B56" s="873" t="s">
        <v>1269</v>
      </c>
      <c r="C56" s="921">
        <v>509444955</v>
      </c>
      <c r="D56" s="924">
        <v>3.1354099999999999E-3</v>
      </c>
      <c r="E56" s="925"/>
      <c r="F56" s="926"/>
      <c r="G56" s="926"/>
      <c r="H56" s="926"/>
      <c r="I56" s="926"/>
      <c r="J56" s="926"/>
      <c r="K56" s="926"/>
      <c r="L56" s="926"/>
      <c r="M56" s="926"/>
      <c r="N56" s="926"/>
      <c r="O56" s="926"/>
      <c r="P56" s="926"/>
      <c r="Q56" s="926"/>
      <c r="R56" s="926"/>
      <c r="S56" s="926"/>
      <c r="T56" s="926"/>
      <c r="U56" s="926"/>
      <c r="V56" s="926"/>
      <c r="W56" s="926"/>
      <c r="X56" s="926"/>
      <c r="Y56" s="926"/>
      <c r="Z56" s="926"/>
      <c r="AA56" s="926"/>
      <c r="AB56" s="926"/>
      <c r="AC56" s="926"/>
      <c r="AD56" s="926"/>
      <c r="AE56" s="926"/>
      <c r="AF56" s="926"/>
      <c r="AG56" s="926"/>
      <c r="AH56" s="926"/>
      <c r="AI56" s="926"/>
      <c r="AJ56" s="926"/>
      <c r="AK56" s="926"/>
      <c r="AL56" s="926"/>
      <c r="AM56" s="926"/>
      <c r="AN56" s="926"/>
      <c r="AO56" s="926"/>
      <c r="AP56" s="926"/>
      <c r="AQ56" s="926"/>
      <c r="AR56" s="926"/>
      <c r="AS56" s="926"/>
      <c r="AT56" s="926"/>
      <c r="AU56" s="927"/>
      <c r="AV56" s="927"/>
      <c r="AW56" s="927"/>
      <c r="AX56" s="927"/>
      <c r="AY56" s="927"/>
      <c r="AZ56" s="927"/>
      <c r="BA56" s="927"/>
      <c r="BB56" s="927"/>
      <c r="BC56" s="928"/>
      <c r="BD56" s="929"/>
      <c r="BE56" s="930"/>
      <c r="BF56" s="930"/>
      <c r="BG56" s="931"/>
      <c r="BH56" s="931"/>
      <c r="BI56" s="926"/>
      <c r="BJ56" s="926"/>
      <c r="BK56" s="926"/>
      <c r="BL56" s="926"/>
      <c r="BM56" s="926"/>
      <c r="BN56" s="926"/>
      <c r="BO56" s="926"/>
      <c r="BP56" s="926"/>
      <c r="BQ56" s="926"/>
      <c r="BR56" s="926"/>
      <c r="BS56" s="926"/>
      <c r="BT56" s="926"/>
      <c r="BU56" s="926"/>
      <c r="BV56" s="926"/>
      <c r="BW56" s="926"/>
      <c r="BX56" s="926"/>
      <c r="BY56" s="932"/>
      <c r="BZ56" s="932"/>
      <c r="CA56" s="932"/>
      <c r="CB56" s="932"/>
      <c r="CC56" s="932"/>
      <c r="CD56" s="932"/>
      <c r="CE56" s="932"/>
      <c r="CF56" s="932"/>
    </row>
    <row r="57" spans="1:84" x14ac:dyDescent="0.25">
      <c r="A57" s="876">
        <v>22000</v>
      </c>
      <c r="B57" s="873" t="s">
        <v>1270</v>
      </c>
      <c r="C57" s="921">
        <v>509765850</v>
      </c>
      <c r="D57" s="924">
        <v>3.1373849999999999E-3</v>
      </c>
      <c r="E57" s="925"/>
      <c r="F57" s="926"/>
      <c r="G57" s="926"/>
      <c r="H57" s="926"/>
      <c r="I57" s="926"/>
      <c r="J57" s="926"/>
      <c r="K57" s="926"/>
      <c r="L57" s="926"/>
      <c r="M57" s="926"/>
      <c r="N57" s="926"/>
      <c r="O57" s="926"/>
      <c r="P57" s="926"/>
      <c r="Q57" s="926"/>
      <c r="R57" s="926"/>
      <c r="S57" s="926"/>
      <c r="T57" s="926"/>
      <c r="U57" s="926"/>
      <c r="V57" s="926"/>
      <c r="W57" s="926"/>
      <c r="X57" s="926"/>
      <c r="Y57" s="926"/>
      <c r="Z57" s="926"/>
      <c r="AA57" s="926"/>
      <c r="AB57" s="926"/>
      <c r="AC57" s="926"/>
      <c r="AD57" s="926"/>
      <c r="AE57" s="926"/>
      <c r="AF57" s="926"/>
      <c r="AG57" s="926"/>
      <c r="AH57" s="926"/>
      <c r="AI57" s="926"/>
      <c r="AJ57" s="926"/>
      <c r="AK57" s="926"/>
      <c r="AL57" s="926"/>
      <c r="AM57" s="926"/>
      <c r="AN57" s="926"/>
      <c r="AO57" s="926"/>
      <c r="AP57" s="926"/>
      <c r="AQ57" s="926"/>
      <c r="AR57" s="926"/>
      <c r="AS57" s="926"/>
      <c r="AT57" s="926"/>
      <c r="AU57" s="927"/>
      <c r="AV57" s="927"/>
      <c r="AW57" s="927"/>
      <c r="AX57" s="927"/>
      <c r="AY57" s="927"/>
      <c r="AZ57" s="927"/>
      <c r="BA57" s="927"/>
      <c r="BB57" s="927"/>
      <c r="BC57" s="928"/>
      <c r="BD57" s="929"/>
      <c r="BE57" s="930"/>
      <c r="BF57" s="930"/>
      <c r="BG57" s="931"/>
      <c r="BH57" s="931"/>
      <c r="BI57" s="926"/>
      <c r="BJ57" s="926"/>
      <c r="BK57" s="926"/>
      <c r="BL57" s="926"/>
      <c r="BM57" s="926"/>
      <c r="BN57" s="926"/>
      <c r="BO57" s="926"/>
      <c r="BP57" s="926"/>
      <c r="BQ57" s="926"/>
      <c r="BR57" s="926"/>
      <c r="BS57" s="926"/>
      <c r="BT57" s="926"/>
      <c r="BU57" s="926"/>
      <c r="BV57" s="926"/>
      <c r="BW57" s="926"/>
      <c r="BX57" s="926"/>
      <c r="BY57" s="932"/>
      <c r="BZ57" s="932"/>
      <c r="CA57" s="932"/>
      <c r="CB57" s="932"/>
      <c r="CC57" s="932"/>
      <c r="CD57" s="932"/>
      <c r="CE57" s="932"/>
      <c r="CF57" s="932"/>
    </row>
    <row r="58" spans="1:84" x14ac:dyDescent="0.25">
      <c r="A58" s="876">
        <v>23000</v>
      </c>
      <c r="B58" s="873" t="s">
        <v>1271</v>
      </c>
      <c r="C58" s="921">
        <v>409035662</v>
      </c>
      <c r="D58" s="924">
        <v>2.5174350000000002E-3</v>
      </c>
      <c r="E58" s="925"/>
      <c r="F58" s="926"/>
      <c r="G58" s="926"/>
      <c r="H58" s="926"/>
      <c r="I58" s="926"/>
      <c r="J58" s="926"/>
      <c r="K58" s="926"/>
      <c r="L58" s="926"/>
      <c r="M58" s="926"/>
      <c r="N58" s="926"/>
      <c r="O58" s="926"/>
      <c r="P58" s="926"/>
      <c r="Q58" s="926"/>
      <c r="R58" s="926"/>
      <c r="S58" s="926"/>
      <c r="T58" s="926"/>
      <c r="U58" s="926"/>
      <c r="V58" s="926"/>
      <c r="W58" s="926"/>
      <c r="X58" s="926"/>
      <c r="Y58" s="926"/>
      <c r="Z58" s="926"/>
      <c r="AA58" s="926"/>
      <c r="AB58" s="926"/>
      <c r="AC58" s="926"/>
      <c r="AD58" s="926"/>
      <c r="AE58" s="926"/>
      <c r="AF58" s="926"/>
      <c r="AG58" s="926"/>
      <c r="AH58" s="926"/>
      <c r="AI58" s="926"/>
      <c r="AJ58" s="926"/>
      <c r="AK58" s="926"/>
      <c r="AL58" s="926"/>
      <c r="AM58" s="926"/>
      <c r="AN58" s="926"/>
      <c r="AO58" s="926"/>
      <c r="AP58" s="926"/>
      <c r="AQ58" s="926"/>
      <c r="AR58" s="926"/>
      <c r="AS58" s="926"/>
      <c r="AT58" s="926"/>
      <c r="AU58" s="927"/>
      <c r="AV58" s="927"/>
      <c r="AW58" s="927"/>
      <c r="AX58" s="927"/>
      <c r="AY58" s="927"/>
      <c r="AZ58" s="927"/>
      <c r="BA58" s="927"/>
      <c r="BB58" s="927"/>
      <c r="BC58" s="928"/>
      <c r="BD58" s="929"/>
      <c r="BE58" s="930"/>
      <c r="BF58" s="930"/>
      <c r="BG58" s="931"/>
      <c r="BH58" s="931"/>
      <c r="BI58" s="926"/>
      <c r="BJ58" s="926"/>
      <c r="BK58" s="926"/>
      <c r="BL58" s="926"/>
      <c r="BM58" s="926"/>
      <c r="BN58" s="926"/>
      <c r="BO58" s="926"/>
      <c r="BP58" s="926"/>
      <c r="BQ58" s="926"/>
      <c r="BR58" s="926"/>
      <c r="BS58" s="926"/>
      <c r="BT58" s="926"/>
      <c r="BU58" s="926"/>
      <c r="BV58" s="926"/>
      <c r="BW58" s="926"/>
      <c r="BX58" s="926"/>
      <c r="BY58" s="932"/>
      <c r="BZ58" s="932"/>
      <c r="CA58" s="932"/>
      <c r="CB58" s="932"/>
      <c r="CC58" s="932"/>
      <c r="CD58" s="932"/>
      <c r="CE58" s="932"/>
      <c r="CF58" s="932"/>
    </row>
    <row r="59" spans="1:84" x14ac:dyDescent="0.25">
      <c r="A59" s="876">
        <v>23100</v>
      </c>
      <c r="B59" s="873" t="s">
        <v>1272</v>
      </c>
      <c r="C59" s="921">
        <v>2375802846</v>
      </c>
      <c r="D59" s="924">
        <v>1.4622022E-2</v>
      </c>
      <c r="E59" s="925"/>
      <c r="F59" s="926"/>
      <c r="G59" s="926"/>
      <c r="H59" s="926"/>
      <c r="I59" s="926"/>
      <c r="J59" s="926"/>
      <c r="K59" s="926"/>
      <c r="L59" s="926"/>
      <c r="M59" s="926"/>
      <c r="N59" s="926"/>
      <c r="O59" s="926"/>
      <c r="P59" s="926"/>
      <c r="Q59" s="926"/>
      <c r="R59" s="926"/>
      <c r="S59" s="926"/>
      <c r="T59" s="926"/>
      <c r="U59" s="926"/>
      <c r="V59" s="926"/>
      <c r="W59" s="926"/>
      <c r="X59" s="926"/>
      <c r="Y59" s="926"/>
      <c r="Z59" s="926"/>
      <c r="AA59" s="926"/>
      <c r="AB59" s="926"/>
      <c r="AC59" s="926"/>
      <c r="AD59" s="926"/>
      <c r="AE59" s="926"/>
      <c r="AF59" s="926"/>
      <c r="AG59" s="926"/>
      <c r="AH59" s="926"/>
      <c r="AI59" s="926"/>
      <c r="AJ59" s="926"/>
      <c r="AK59" s="926"/>
      <c r="AL59" s="926"/>
      <c r="AM59" s="926"/>
      <c r="AN59" s="926"/>
      <c r="AO59" s="926"/>
      <c r="AP59" s="926"/>
      <c r="AQ59" s="926"/>
      <c r="AR59" s="926"/>
      <c r="AS59" s="926"/>
      <c r="AT59" s="926"/>
      <c r="AU59" s="927"/>
      <c r="AV59" s="927"/>
      <c r="AW59" s="927"/>
      <c r="AX59" s="927"/>
      <c r="AY59" s="927"/>
      <c r="AZ59" s="927"/>
      <c r="BA59" s="927"/>
      <c r="BB59" s="927"/>
      <c r="BC59" s="928"/>
      <c r="BD59" s="929"/>
      <c r="BE59" s="930"/>
      <c r="BF59" s="930"/>
      <c r="BG59" s="931"/>
      <c r="BH59" s="931"/>
      <c r="BI59" s="926"/>
      <c r="BJ59" s="926"/>
      <c r="BK59" s="926"/>
      <c r="BL59" s="926"/>
      <c r="BM59" s="926"/>
      <c r="BN59" s="926"/>
      <c r="BO59" s="926"/>
      <c r="BP59" s="926"/>
      <c r="BQ59" s="926"/>
      <c r="BR59" s="926"/>
      <c r="BS59" s="926"/>
      <c r="BT59" s="926"/>
      <c r="BU59" s="926"/>
      <c r="BV59" s="926"/>
      <c r="BW59" s="926"/>
      <c r="BX59" s="926"/>
      <c r="BY59" s="932"/>
      <c r="BZ59" s="932"/>
      <c r="CA59" s="932"/>
      <c r="CB59" s="932"/>
      <c r="CC59" s="932"/>
      <c r="CD59" s="932"/>
      <c r="CE59" s="932"/>
      <c r="CF59" s="932"/>
    </row>
    <row r="60" spans="1:84" x14ac:dyDescent="0.25">
      <c r="A60" s="876">
        <v>23200</v>
      </c>
      <c r="B60" s="873" t="s">
        <v>1273</v>
      </c>
      <c r="C60" s="921">
        <v>1208816647</v>
      </c>
      <c r="D60" s="924">
        <v>7.4397350000000003E-3</v>
      </c>
      <c r="E60" s="925"/>
      <c r="F60" s="926"/>
      <c r="G60" s="926"/>
      <c r="H60" s="926"/>
      <c r="I60" s="926"/>
      <c r="J60" s="926"/>
      <c r="K60" s="926"/>
      <c r="L60" s="926"/>
      <c r="M60" s="926"/>
      <c r="N60" s="926"/>
      <c r="O60" s="926"/>
      <c r="P60" s="926"/>
      <c r="Q60" s="926"/>
      <c r="R60" s="926"/>
      <c r="S60" s="926"/>
      <c r="T60" s="926"/>
      <c r="U60" s="926"/>
      <c r="V60" s="926"/>
      <c r="W60" s="926"/>
      <c r="X60" s="926"/>
      <c r="Y60" s="926"/>
      <c r="Z60" s="926"/>
      <c r="AA60" s="926"/>
      <c r="AB60" s="926"/>
      <c r="AC60" s="926"/>
      <c r="AD60" s="926"/>
      <c r="AE60" s="926"/>
      <c r="AF60" s="926"/>
      <c r="AG60" s="926"/>
      <c r="AH60" s="926"/>
      <c r="AI60" s="926"/>
      <c r="AJ60" s="926"/>
      <c r="AK60" s="926"/>
      <c r="AL60" s="926"/>
      <c r="AM60" s="926"/>
      <c r="AN60" s="926"/>
      <c r="AO60" s="926"/>
      <c r="AP60" s="926"/>
      <c r="AQ60" s="926"/>
      <c r="AR60" s="926"/>
      <c r="AS60" s="926"/>
      <c r="AT60" s="926"/>
      <c r="AU60" s="927"/>
      <c r="AV60" s="927"/>
      <c r="AW60" s="927"/>
      <c r="AX60" s="927"/>
      <c r="AY60" s="927"/>
      <c r="AZ60" s="927"/>
      <c r="BA60" s="927"/>
      <c r="BB60" s="927"/>
      <c r="BC60" s="928"/>
      <c r="BD60" s="929"/>
      <c r="BE60" s="930"/>
      <c r="BF60" s="930"/>
      <c r="BG60" s="931"/>
      <c r="BH60" s="931"/>
      <c r="BI60" s="926"/>
      <c r="BJ60" s="926"/>
      <c r="BK60" s="926"/>
      <c r="BL60" s="926"/>
      <c r="BM60" s="926"/>
      <c r="BN60" s="926"/>
      <c r="BO60" s="926"/>
      <c r="BP60" s="926"/>
      <c r="BQ60" s="926"/>
      <c r="BR60" s="926"/>
      <c r="BS60" s="926"/>
      <c r="BT60" s="926"/>
      <c r="BU60" s="926"/>
      <c r="BV60" s="926"/>
      <c r="BW60" s="926"/>
      <c r="BX60" s="926"/>
      <c r="BY60" s="932"/>
      <c r="BZ60" s="932"/>
      <c r="CA60" s="932"/>
      <c r="CB60" s="932"/>
      <c r="CC60" s="932"/>
      <c r="CD60" s="932"/>
      <c r="CE60" s="932"/>
      <c r="CF60" s="932"/>
    </row>
    <row r="61" spans="1:84" x14ac:dyDescent="0.25">
      <c r="A61" s="876">
        <v>30000</v>
      </c>
      <c r="B61" s="873" t="s">
        <v>1274</v>
      </c>
      <c r="C61" s="921">
        <v>139596641</v>
      </c>
      <c r="D61" s="924">
        <v>8.5915600000000003E-4</v>
      </c>
      <c r="E61" s="925"/>
      <c r="F61" s="926"/>
      <c r="G61" s="926"/>
      <c r="H61" s="926"/>
      <c r="I61" s="926"/>
      <c r="J61" s="926"/>
      <c r="K61" s="926"/>
      <c r="L61" s="926"/>
      <c r="M61" s="926"/>
      <c r="N61" s="926"/>
      <c r="O61" s="926"/>
      <c r="P61" s="926"/>
      <c r="Q61" s="926"/>
      <c r="R61" s="926"/>
      <c r="S61" s="926"/>
      <c r="T61" s="926"/>
      <c r="U61" s="926"/>
      <c r="V61" s="926"/>
      <c r="W61" s="926"/>
      <c r="X61" s="926"/>
      <c r="Y61" s="926"/>
      <c r="Z61" s="926"/>
      <c r="AA61" s="926"/>
      <c r="AB61" s="926"/>
      <c r="AC61" s="926"/>
      <c r="AD61" s="926"/>
      <c r="AE61" s="926"/>
      <c r="AF61" s="926"/>
      <c r="AG61" s="926"/>
      <c r="AH61" s="926"/>
      <c r="AI61" s="926"/>
      <c r="AJ61" s="926"/>
      <c r="AK61" s="926"/>
      <c r="AL61" s="926"/>
      <c r="AM61" s="926"/>
      <c r="AN61" s="926"/>
      <c r="AO61" s="926"/>
      <c r="AP61" s="926"/>
      <c r="AQ61" s="926"/>
      <c r="AR61" s="926"/>
      <c r="AS61" s="926"/>
      <c r="AT61" s="926"/>
      <c r="AU61" s="927"/>
      <c r="AV61" s="927"/>
      <c r="AW61" s="927"/>
      <c r="AX61" s="927"/>
      <c r="AY61" s="927"/>
      <c r="AZ61" s="927"/>
      <c r="BA61" s="927"/>
      <c r="BB61" s="927"/>
      <c r="BC61" s="928"/>
      <c r="BD61" s="929"/>
      <c r="BE61" s="930"/>
      <c r="BF61" s="930"/>
      <c r="BG61" s="931"/>
      <c r="BH61" s="931"/>
      <c r="BI61" s="926"/>
      <c r="BJ61" s="926"/>
      <c r="BK61" s="926"/>
      <c r="BL61" s="926"/>
      <c r="BM61" s="926"/>
      <c r="BN61" s="926"/>
      <c r="BO61" s="926"/>
      <c r="BP61" s="926"/>
      <c r="BQ61" s="926"/>
      <c r="BR61" s="926"/>
      <c r="BS61" s="926"/>
      <c r="BT61" s="926"/>
      <c r="BU61" s="926"/>
      <c r="BV61" s="926"/>
      <c r="BW61" s="926"/>
      <c r="BX61" s="926"/>
      <c r="BY61" s="932"/>
      <c r="BZ61" s="932"/>
      <c r="CA61" s="932"/>
      <c r="CB61" s="932"/>
      <c r="CC61" s="932"/>
      <c r="CD61" s="932"/>
      <c r="CE61" s="932"/>
      <c r="CF61" s="932"/>
    </row>
    <row r="62" spans="1:84" x14ac:dyDescent="0.25">
      <c r="A62" s="876">
        <v>30100</v>
      </c>
      <c r="B62" s="873" t="s">
        <v>1275</v>
      </c>
      <c r="C62" s="921">
        <v>1226410217</v>
      </c>
      <c r="D62" s="924">
        <v>7.5480160000000003E-3</v>
      </c>
      <c r="E62" s="925"/>
      <c r="F62" s="926"/>
      <c r="G62" s="926"/>
      <c r="H62" s="926"/>
      <c r="I62" s="926"/>
      <c r="J62" s="926"/>
      <c r="K62" s="926"/>
      <c r="L62" s="926"/>
      <c r="M62" s="926"/>
      <c r="N62" s="926"/>
      <c r="O62" s="926"/>
      <c r="P62" s="926"/>
      <c r="Q62" s="926"/>
      <c r="R62" s="926"/>
      <c r="S62" s="926"/>
      <c r="T62" s="926"/>
      <c r="U62" s="926"/>
      <c r="V62" s="926"/>
      <c r="W62" s="926"/>
      <c r="X62" s="926"/>
      <c r="Y62" s="926"/>
      <c r="Z62" s="926"/>
      <c r="AA62" s="926"/>
      <c r="AB62" s="926"/>
      <c r="AC62" s="926"/>
      <c r="AD62" s="926"/>
      <c r="AE62" s="926"/>
      <c r="AF62" s="926"/>
      <c r="AG62" s="926"/>
      <c r="AH62" s="926"/>
      <c r="AI62" s="926"/>
      <c r="AJ62" s="926"/>
      <c r="AK62" s="926"/>
      <c r="AL62" s="926"/>
      <c r="AM62" s="926"/>
      <c r="AN62" s="926"/>
      <c r="AO62" s="926"/>
      <c r="AP62" s="926"/>
      <c r="AQ62" s="926"/>
      <c r="AR62" s="926"/>
      <c r="AS62" s="926"/>
      <c r="AT62" s="926"/>
      <c r="AU62" s="927"/>
      <c r="AV62" s="927"/>
      <c r="AW62" s="927"/>
      <c r="AX62" s="927"/>
      <c r="AY62" s="927"/>
      <c r="AZ62" s="927"/>
      <c r="BA62" s="927"/>
      <c r="BB62" s="927"/>
      <c r="BC62" s="928"/>
      <c r="BD62" s="929"/>
      <c r="BE62" s="930"/>
      <c r="BF62" s="930"/>
      <c r="BG62" s="931"/>
      <c r="BH62" s="931"/>
      <c r="BI62" s="926"/>
      <c r="BJ62" s="926"/>
      <c r="BK62" s="926"/>
      <c r="BL62" s="926"/>
      <c r="BM62" s="926"/>
      <c r="BN62" s="926"/>
      <c r="BO62" s="926"/>
      <c r="BP62" s="926"/>
      <c r="BQ62" s="926"/>
      <c r="BR62" s="926"/>
      <c r="BS62" s="926"/>
      <c r="BT62" s="926"/>
      <c r="BU62" s="926"/>
      <c r="BV62" s="926"/>
      <c r="BW62" s="926"/>
      <c r="BX62" s="926"/>
      <c r="BY62" s="932"/>
      <c r="BZ62" s="932"/>
      <c r="CA62" s="932"/>
      <c r="CB62" s="932"/>
      <c r="CC62" s="932"/>
      <c r="CD62" s="932"/>
      <c r="CE62" s="932"/>
      <c r="CF62" s="932"/>
    </row>
    <row r="63" spans="1:84" x14ac:dyDescent="0.25">
      <c r="A63" s="876">
        <v>30102</v>
      </c>
      <c r="B63" s="873" t="s">
        <v>1276</v>
      </c>
      <c r="C63" s="921">
        <v>24115381</v>
      </c>
      <c r="D63" s="924">
        <v>1.4841999999999999E-4</v>
      </c>
      <c r="E63" s="925"/>
      <c r="F63" s="926"/>
      <c r="G63" s="926"/>
      <c r="H63" s="926"/>
      <c r="I63" s="926"/>
      <c r="J63" s="926"/>
      <c r="K63" s="926"/>
      <c r="L63" s="926"/>
      <c r="M63" s="926"/>
      <c r="N63" s="926"/>
      <c r="O63" s="926"/>
      <c r="P63" s="926"/>
      <c r="Q63" s="926"/>
      <c r="R63" s="926"/>
      <c r="S63" s="926"/>
      <c r="T63" s="926"/>
      <c r="U63" s="926"/>
      <c r="V63" s="926"/>
      <c r="W63" s="926"/>
      <c r="X63" s="926"/>
      <c r="Y63" s="926"/>
      <c r="Z63" s="926"/>
      <c r="AA63" s="926"/>
      <c r="AB63" s="926"/>
      <c r="AC63" s="926"/>
      <c r="AD63" s="926"/>
      <c r="AE63" s="926"/>
      <c r="AF63" s="926"/>
      <c r="AG63" s="926"/>
      <c r="AH63" s="926"/>
      <c r="AI63" s="926"/>
      <c r="AJ63" s="926"/>
      <c r="AK63" s="926"/>
      <c r="AL63" s="926"/>
      <c r="AM63" s="926"/>
      <c r="AN63" s="926"/>
      <c r="AO63" s="926"/>
      <c r="AP63" s="926"/>
      <c r="AQ63" s="926"/>
      <c r="AR63" s="926"/>
      <c r="AS63" s="926"/>
      <c r="AT63" s="926"/>
      <c r="AU63" s="927"/>
      <c r="AV63" s="927"/>
      <c r="AW63" s="927"/>
      <c r="AX63" s="927"/>
      <c r="AY63" s="927"/>
      <c r="AZ63" s="927"/>
      <c r="BA63" s="927"/>
      <c r="BB63" s="927"/>
      <c r="BC63" s="928"/>
      <c r="BD63" s="929"/>
      <c r="BE63" s="930"/>
      <c r="BF63" s="930"/>
      <c r="BG63" s="931"/>
      <c r="BH63" s="931"/>
      <c r="BI63" s="926"/>
      <c r="BJ63" s="926"/>
      <c r="BK63" s="926"/>
      <c r="BL63" s="926"/>
      <c r="BM63" s="926"/>
      <c r="BN63" s="926"/>
      <c r="BO63" s="926"/>
      <c r="BP63" s="926"/>
      <c r="BQ63" s="926"/>
      <c r="BR63" s="926"/>
      <c r="BS63" s="926"/>
      <c r="BT63" s="926"/>
      <c r="BU63" s="926"/>
      <c r="BV63" s="926"/>
      <c r="BW63" s="926"/>
      <c r="BX63" s="926"/>
      <c r="BY63" s="932"/>
      <c r="BZ63" s="932"/>
      <c r="CA63" s="932"/>
      <c r="CB63" s="932"/>
      <c r="CC63" s="932"/>
      <c r="CD63" s="932"/>
      <c r="CE63" s="932"/>
      <c r="CF63" s="932"/>
    </row>
    <row r="64" spans="1:84" x14ac:dyDescent="0.25">
      <c r="A64" s="876">
        <v>30103</v>
      </c>
      <c r="B64" s="873" t="s">
        <v>1277</v>
      </c>
      <c r="C64" s="921">
        <v>30643676</v>
      </c>
      <c r="D64" s="924">
        <v>1.88598E-4</v>
      </c>
      <c r="E64" s="925"/>
      <c r="F64" s="926"/>
      <c r="G64" s="926"/>
      <c r="H64" s="926"/>
      <c r="I64" s="926"/>
      <c r="J64" s="926"/>
      <c r="K64" s="926"/>
      <c r="L64" s="926"/>
      <c r="M64" s="926"/>
      <c r="N64" s="926"/>
      <c r="O64" s="926"/>
      <c r="P64" s="926"/>
      <c r="Q64" s="926"/>
      <c r="R64" s="926"/>
      <c r="S64" s="926"/>
      <c r="T64" s="926"/>
      <c r="U64" s="926"/>
      <c r="V64" s="926"/>
      <c r="W64" s="926"/>
      <c r="X64" s="926"/>
      <c r="Y64" s="926"/>
      <c r="Z64" s="926"/>
      <c r="AA64" s="926"/>
      <c r="AB64" s="926"/>
      <c r="AC64" s="926"/>
      <c r="AD64" s="926"/>
      <c r="AE64" s="926"/>
      <c r="AF64" s="926"/>
      <c r="AG64" s="926"/>
      <c r="AH64" s="926"/>
      <c r="AI64" s="926"/>
      <c r="AJ64" s="926"/>
      <c r="AK64" s="926"/>
      <c r="AL64" s="926"/>
      <c r="AM64" s="926"/>
      <c r="AN64" s="926"/>
      <c r="AO64" s="926"/>
      <c r="AP64" s="926"/>
      <c r="AQ64" s="926"/>
      <c r="AR64" s="926"/>
      <c r="AS64" s="926"/>
      <c r="AT64" s="926"/>
      <c r="AU64" s="927"/>
      <c r="AV64" s="927"/>
      <c r="AW64" s="927"/>
      <c r="AX64" s="927"/>
      <c r="AY64" s="927"/>
      <c r="AZ64" s="927"/>
      <c r="BA64" s="927"/>
      <c r="BB64" s="927"/>
      <c r="BC64" s="928"/>
      <c r="BD64" s="929"/>
      <c r="BE64" s="930"/>
      <c r="BF64" s="930"/>
      <c r="BG64" s="931"/>
      <c r="BH64" s="931"/>
      <c r="BI64" s="926"/>
      <c r="BJ64" s="926"/>
      <c r="BK64" s="926"/>
      <c r="BL64" s="926"/>
      <c r="BM64" s="926"/>
      <c r="BN64" s="926"/>
      <c r="BO64" s="926"/>
      <c r="BP64" s="926"/>
      <c r="BQ64" s="926"/>
      <c r="BR64" s="926"/>
      <c r="BS64" s="926"/>
      <c r="BT64" s="926"/>
      <c r="BU64" s="926"/>
      <c r="BV64" s="926"/>
      <c r="BW64" s="926"/>
      <c r="BX64" s="926"/>
      <c r="BY64" s="932"/>
      <c r="BZ64" s="932"/>
      <c r="CA64" s="932"/>
      <c r="CB64" s="932"/>
      <c r="CC64" s="932"/>
      <c r="CD64" s="932"/>
      <c r="CE64" s="932"/>
      <c r="CF64" s="932"/>
    </row>
    <row r="65" spans="1:84" x14ac:dyDescent="0.25">
      <c r="A65" s="876">
        <v>30104</v>
      </c>
      <c r="B65" s="873" t="s">
        <v>1278</v>
      </c>
      <c r="C65" s="921">
        <v>19879313</v>
      </c>
      <c r="D65" s="924">
        <v>1.2234799999999999E-4</v>
      </c>
      <c r="E65" s="925"/>
      <c r="F65" s="926"/>
      <c r="G65" s="926"/>
      <c r="H65" s="926"/>
      <c r="I65" s="926"/>
      <c r="J65" s="926"/>
      <c r="K65" s="926"/>
      <c r="L65" s="926"/>
      <c r="M65" s="926"/>
      <c r="N65" s="926"/>
      <c r="O65" s="926"/>
      <c r="P65" s="926"/>
      <c r="Q65" s="926"/>
      <c r="R65" s="926"/>
      <c r="S65" s="926"/>
      <c r="T65" s="926"/>
      <c r="U65" s="926"/>
      <c r="V65" s="926"/>
      <c r="W65" s="926"/>
      <c r="X65" s="926"/>
      <c r="Y65" s="926"/>
      <c r="Z65" s="926"/>
      <c r="AA65" s="926"/>
      <c r="AB65" s="926"/>
      <c r="AC65" s="926"/>
      <c r="AD65" s="926"/>
      <c r="AE65" s="926"/>
      <c r="AF65" s="926"/>
      <c r="AG65" s="926"/>
      <c r="AH65" s="926"/>
      <c r="AI65" s="926"/>
      <c r="AJ65" s="926"/>
      <c r="AK65" s="926"/>
      <c r="AL65" s="926"/>
      <c r="AM65" s="926"/>
      <c r="AN65" s="926"/>
      <c r="AO65" s="926"/>
      <c r="AP65" s="926"/>
      <c r="AQ65" s="926"/>
      <c r="AR65" s="926"/>
      <c r="AS65" s="926"/>
      <c r="AT65" s="926"/>
      <c r="AU65" s="927"/>
      <c r="AV65" s="927"/>
      <c r="AW65" s="927"/>
      <c r="AX65" s="927"/>
      <c r="AY65" s="927"/>
      <c r="AZ65" s="927"/>
      <c r="BA65" s="927"/>
      <c r="BB65" s="927"/>
      <c r="BC65" s="928"/>
      <c r="BD65" s="929"/>
      <c r="BE65" s="930"/>
      <c r="BF65" s="930"/>
      <c r="BG65" s="931"/>
      <c r="BH65" s="931"/>
      <c r="BI65" s="926"/>
      <c r="BJ65" s="926"/>
      <c r="BK65" s="926"/>
      <c r="BL65" s="926"/>
      <c r="BM65" s="926"/>
      <c r="BN65" s="926"/>
      <c r="BO65" s="926"/>
      <c r="BP65" s="926"/>
      <c r="BQ65" s="926"/>
      <c r="BR65" s="926"/>
      <c r="BS65" s="926"/>
      <c r="BT65" s="926"/>
      <c r="BU65" s="926"/>
      <c r="BV65" s="926"/>
      <c r="BW65" s="926"/>
      <c r="BX65" s="926"/>
      <c r="BY65" s="932"/>
      <c r="BZ65" s="932"/>
      <c r="CA65" s="932"/>
      <c r="CB65" s="932"/>
      <c r="CC65" s="932"/>
      <c r="CD65" s="932"/>
      <c r="CE65" s="932"/>
      <c r="CF65" s="932"/>
    </row>
    <row r="66" spans="1:84" x14ac:dyDescent="0.25">
      <c r="A66" s="876">
        <v>30105</v>
      </c>
      <c r="B66" s="873" t="s">
        <v>1279</v>
      </c>
      <c r="C66" s="921">
        <v>125874332</v>
      </c>
      <c r="D66" s="924">
        <v>7.7470100000000004E-4</v>
      </c>
      <c r="E66" s="925"/>
      <c r="F66" s="926"/>
      <c r="G66" s="926"/>
      <c r="H66" s="926"/>
      <c r="I66" s="926"/>
      <c r="J66" s="926"/>
      <c r="K66" s="926"/>
      <c r="L66" s="926"/>
      <c r="M66" s="926"/>
      <c r="N66" s="926"/>
      <c r="O66" s="926"/>
      <c r="P66" s="926"/>
      <c r="Q66" s="926"/>
      <c r="R66" s="926"/>
      <c r="S66" s="926"/>
      <c r="T66" s="926"/>
      <c r="U66" s="926"/>
      <c r="V66" s="926"/>
      <c r="W66" s="926"/>
      <c r="X66" s="926"/>
      <c r="Y66" s="926"/>
      <c r="Z66" s="926"/>
      <c r="AA66" s="926"/>
      <c r="AB66" s="926"/>
      <c r="AC66" s="926"/>
      <c r="AD66" s="926"/>
      <c r="AE66" s="926"/>
      <c r="AF66" s="926"/>
      <c r="AG66" s="926"/>
      <c r="AH66" s="926"/>
      <c r="AI66" s="926"/>
      <c r="AJ66" s="926"/>
      <c r="AK66" s="926"/>
      <c r="AL66" s="926"/>
      <c r="AM66" s="926"/>
      <c r="AN66" s="926"/>
      <c r="AO66" s="926"/>
      <c r="AP66" s="926"/>
      <c r="AQ66" s="926"/>
      <c r="AR66" s="926"/>
      <c r="AS66" s="926"/>
      <c r="AT66" s="926"/>
      <c r="AU66" s="927"/>
      <c r="AV66" s="927"/>
      <c r="AW66" s="927"/>
      <c r="AX66" s="927"/>
      <c r="AY66" s="927"/>
      <c r="AZ66" s="927"/>
      <c r="BA66" s="927"/>
      <c r="BB66" s="927"/>
      <c r="BC66" s="928"/>
      <c r="BD66" s="929"/>
      <c r="BE66" s="930"/>
      <c r="BF66" s="930"/>
      <c r="BG66" s="931"/>
      <c r="BH66" s="931"/>
      <c r="BI66" s="926"/>
      <c r="BJ66" s="926"/>
      <c r="BK66" s="926"/>
      <c r="BL66" s="926"/>
      <c r="BM66" s="926"/>
      <c r="BN66" s="926"/>
      <c r="BO66" s="926"/>
      <c r="BP66" s="926"/>
      <c r="BQ66" s="926"/>
      <c r="BR66" s="926"/>
      <c r="BS66" s="926"/>
      <c r="BT66" s="926"/>
      <c r="BU66" s="926"/>
      <c r="BV66" s="926"/>
      <c r="BW66" s="926"/>
      <c r="BX66" s="926"/>
      <c r="BY66" s="932"/>
      <c r="BZ66" s="932"/>
      <c r="CA66" s="932"/>
      <c r="CB66" s="932"/>
      <c r="CC66" s="932"/>
      <c r="CD66" s="932"/>
      <c r="CE66" s="932"/>
      <c r="CF66" s="932"/>
    </row>
    <row r="67" spans="1:84" x14ac:dyDescent="0.25">
      <c r="A67" s="876">
        <v>30200</v>
      </c>
      <c r="B67" s="873" t="s">
        <v>1280</v>
      </c>
      <c r="C67" s="921">
        <v>282922736</v>
      </c>
      <c r="D67" s="924">
        <v>1.7412650000000001E-3</v>
      </c>
      <c r="E67" s="925"/>
      <c r="F67" s="926"/>
      <c r="G67" s="926"/>
      <c r="H67" s="926"/>
      <c r="I67" s="926"/>
      <c r="J67" s="926"/>
      <c r="K67" s="926"/>
      <c r="L67" s="926"/>
      <c r="M67" s="926"/>
      <c r="N67" s="926"/>
      <c r="O67" s="926"/>
      <c r="P67" s="926"/>
      <c r="Q67" s="926"/>
      <c r="R67" s="926"/>
      <c r="S67" s="926"/>
      <c r="T67" s="926"/>
      <c r="U67" s="926"/>
      <c r="V67" s="926"/>
      <c r="W67" s="926"/>
      <c r="X67" s="926"/>
      <c r="Y67" s="926"/>
      <c r="Z67" s="926"/>
      <c r="AA67" s="926"/>
      <c r="AB67" s="926"/>
      <c r="AC67" s="926"/>
      <c r="AD67" s="926"/>
      <c r="AE67" s="926"/>
      <c r="AF67" s="926"/>
      <c r="AG67" s="926"/>
      <c r="AH67" s="926"/>
      <c r="AI67" s="926"/>
      <c r="AJ67" s="926"/>
      <c r="AK67" s="926"/>
      <c r="AL67" s="926"/>
      <c r="AM67" s="926"/>
      <c r="AN67" s="926"/>
      <c r="AO67" s="926"/>
      <c r="AP67" s="926"/>
      <c r="AQ67" s="926"/>
      <c r="AR67" s="926"/>
      <c r="AS67" s="926"/>
      <c r="AT67" s="926"/>
      <c r="AU67" s="927"/>
      <c r="AV67" s="927"/>
      <c r="AW67" s="927"/>
      <c r="AX67" s="927"/>
      <c r="AY67" s="927"/>
      <c r="AZ67" s="927"/>
      <c r="BA67" s="927"/>
      <c r="BB67" s="927"/>
      <c r="BC67" s="928"/>
      <c r="BD67" s="929"/>
      <c r="BE67" s="930"/>
      <c r="BF67" s="930"/>
      <c r="BG67" s="931"/>
      <c r="BH67" s="931"/>
      <c r="BI67" s="926"/>
      <c r="BJ67" s="926"/>
      <c r="BK67" s="926"/>
      <c r="BL67" s="926"/>
      <c r="BM67" s="926"/>
      <c r="BN67" s="926"/>
      <c r="BO67" s="926"/>
      <c r="BP67" s="926"/>
      <c r="BQ67" s="926"/>
      <c r="BR67" s="926"/>
      <c r="BS67" s="926"/>
      <c r="BT67" s="926"/>
      <c r="BU67" s="926"/>
      <c r="BV67" s="926"/>
      <c r="BW67" s="926"/>
      <c r="BX67" s="926"/>
      <c r="BY67" s="932"/>
      <c r="BZ67" s="932"/>
      <c r="CA67" s="932"/>
      <c r="CB67" s="932"/>
      <c r="CC67" s="932"/>
      <c r="CD67" s="932"/>
      <c r="CE67" s="932"/>
      <c r="CF67" s="932"/>
    </row>
    <row r="68" spans="1:84" x14ac:dyDescent="0.25">
      <c r="A68" s="876">
        <v>30300</v>
      </c>
      <c r="B68" s="873" t="s">
        <v>1281</v>
      </c>
      <c r="C68" s="921">
        <v>89433005</v>
      </c>
      <c r="D68" s="924">
        <v>5.5042100000000005E-4</v>
      </c>
      <c r="E68" s="925"/>
      <c r="F68" s="926"/>
      <c r="G68" s="926"/>
      <c r="H68" s="926"/>
      <c r="I68" s="926"/>
      <c r="J68" s="926"/>
      <c r="K68" s="926"/>
      <c r="L68" s="926"/>
      <c r="M68" s="926"/>
      <c r="N68" s="926"/>
      <c r="O68" s="926"/>
      <c r="P68" s="926"/>
      <c r="Q68" s="926"/>
      <c r="R68" s="926"/>
      <c r="S68" s="926"/>
      <c r="T68" s="926"/>
      <c r="U68" s="926"/>
      <c r="V68" s="926"/>
      <c r="W68" s="926"/>
      <c r="X68" s="926"/>
      <c r="Y68" s="926"/>
      <c r="Z68" s="926"/>
      <c r="AA68" s="926"/>
      <c r="AB68" s="926"/>
      <c r="AC68" s="926"/>
      <c r="AD68" s="926"/>
      <c r="AE68" s="926"/>
      <c r="AF68" s="926"/>
      <c r="AG68" s="926"/>
      <c r="AH68" s="926"/>
      <c r="AI68" s="926"/>
      <c r="AJ68" s="926"/>
      <c r="AK68" s="926"/>
      <c r="AL68" s="926"/>
      <c r="AM68" s="926"/>
      <c r="AN68" s="926"/>
      <c r="AO68" s="926"/>
      <c r="AP68" s="926"/>
      <c r="AQ68" s="926"/>
      <c r="AR68" s="926"/>
      <c r="AS68" s="926"/>
      <c r="AT68" s="926"/>
      <c r="AU68" s="927"/>
      <c r="AV68" s="927"/>
      <c r="AW68" s="927"/>
      <c r="AX68" s="927"/>
      <c r="AY68" s="927"/>
      <c r="AZ68" s="927"/>
      <c r="BA68" s="927"/>
      <c r="BB68" s="927"/>
      <c r="BC68" s="928"/>
      <c r="BD68" s="929"/>
      <c r="BE68" s="930"/>
      <c r="BF68" s="930"/>
      <c r="BG68" s="931"/>
      <c r="BH68" s="931"/>
      <c r="BI68" s="926"/>
      <c r="BJ68" s="926"/>
      <c r="BK68" s="926"/>
      <c r="BL68" s="926"/>
      <c r="BM68" s="926"/>
      <c r="BN68" s="926"/>
      <c r="BO68" s="926"/>
      <c r="BP68" s="926"/>
      <c r="BQ68" s="926"/>
      <c r="BR68" s="926"/>
      <c r="BS68" s="926"/>
      <c r="BT68" s="926"/>
      <c r="BU68" s="926"/>
      <c r="BV68" s="926"/>
      <c r="BW68" s="926"/>
      <c r="BX68" s="926"/>
      <c r="BY68" s="932"/>
      <c r="BZ68" s="932"/>
      <c r="CA68" s="932"/>
      <c r="CB68" s="932"/>
      <c r="CC68" s="932"/>
      <c r="CD68" s="932"/>
      <c r="CE68" s="932"/>
      <c r="CF68" s="932"/>
    </row>
    <row r="69" spans="1:84" x14ac:dyDescent="0.25">
      <c r="A69" s="876">
        <v>30400</v>
      </c>
      <c r="B69" s="873" t="s">
        <v>1282</v>
      </c>
      <c r="C69" s="921">
        <v>168106834</v>
      </c>
      <c r="D69" s="924">
        <v>1.034624E-3</v>
      </c>
      <c r="E69" s="925"/>
      <c r="F69" s="926"/>
      <c r="G69" s="926"/>
      <c r="H69" s="926"/>
      <c r="I69" s="926"/>
      <c r="J69" s="926"/>
      <c r="K69" s="926"/>
      <c r="L69" s="926"/>
      <c r="M69" s="926"/>
      <c r="N69" s="926"/>
      <c r="O69" s="926"/>
      <c r="P69" s="926"/>
      <c r="Q69" s="926"/>
      <c r="R69" s="926"/>
      <c r="S69" s="926"/>
      <c r="T69" s="926"/>
      <c r="U69" s="926"/>
      <c r="V69" s="926"/>
      <c r="W69" s="926"/>
      <c r="X69" s="926"/>
      <c r="Y69" s="926"/>
      <c r="Z69" s="926"/>
      <c r="AA69" s="926"/>
      <c r="AB69" s="926"/>
      <c r="AC69" s="926"/>
      <c r="AD69" s="926"/>
      <c r="AE69" s="926"/>
      <c r="AF69" s="926"/>
      <c r="AG69" s="926"/>
      <c r="AH69" s="926"/>
      <c r="AI69" s="926"/>
      <c r="AJ69" s="926"/>
      <c r="AK69" s="926"/>
      <c r="AL69" s="926"/>
      <c r="AM69" s="926"/>
      <c r="AN69" s="926"/>
      <c r="AO69" s="926"/>
      <c r="AP69" s="926"/>
      <c r="AQ69" s="926"/>
      <c r="AR69" s="926"/>
      <c r="AS69" s="926"/>
      <c r="AT69" s="926"/>
      <c r="AU69" s="927"/>
      <c r="AV69" s="927"/>
      <c r="AW69" s="927"/>
      <c r="AX69" s="927"/>
      <c r="AY69" s="927"/>
      <c r="AZ69" s="927"/>
      <c r="BA69" s="927"/>
      <c r="BB69" s="927"/>
      <c r="BC69" s="928"/>
      <c r="BD69" s="929"/>
      <c r="BE69" s="930"/>
      <c r="BF69" s="930"/>
      <c r="BG69" s="931"/>
      <c r="BH69" s="931"/>
      <c r="BI69" s="926"/>
      <c r="BJ69" s="926"/>
      <c r="BK69" s="926"/>
      <c r="BL69" s="926"/>
      <c r="BM69" s="926"/>
      <c r="BN69" s="926"/>
      <c r="BO69" s="926"/>
      <c r="BP69" s="926"/>
      <c r="BQ69" s="926"/>
      <c r="BR69" s="926"/>
      <c r="BS69" s="926"/>
      <c r="BT69" s="926"/>
      <c r="BU69" s="926"/>
      <c r="BV69" s="926"/>
      <c r="BW69" s="926"/>
      <c r="BX69" s="926"/>
      <c r="BY69" s="932"/>
      <c r="BZ69" s="932"/>
      <c r="CA69" s="932"/>
      <c r="CB69" s="932"/>
      <c r="CC69" s="932"/>
      <c r="CD69" s="932"/>
      <c r="CE69" s="932"/>
      <c r="CF69" s="932"/>
    </row>
    <row r="70" spans="1:84" x14ac:dyDescent="0.25">
      <c r="A70" s="876">
        <v>30405</v>
      </c>
      <c r="B70" s="873" t="s">
        <v>1283</v>
      </c>
      <c r="C70" s="921">
        <v>110420690</v>
      </c>
      <c r="D70" s="924">
        <v>6.7959100000000001E-4</v>
      </c>
      <c r="E70" s="925"/>
      <c r="F70" s="926"/>
      <c r="G70" s="926"/>
      <c r="H70" s="926"/>
      <c r="I70" s="926"/>
      <c r="J70" s="926"/>
      <c r="K70" s="926"/>
      <c r="L70" s="926"/>
      <c r="M70" s="926"/>
      <c r="N70" s="926"/>
      <c r="O70" s="926"/>
      <c r="P70" s="926"/>
      <c r="Q70" s="926"/>
      <c r="R70" s="926"/>
      <c r="S70" s="926"/>
      <c r="T70" s="926"/>
      <c r="U70" s="926"/>
      <c r="V70" s="926"/>
      <c r="W70" s="926"/>
      <c r="X70" s="926"/>
      <c r="Y70" s="926"/>
      <c r="Z70" s="926"/>
      <c r="AA70" s="926"/>
      <c r="AB70" s="926"/>
      <c r="AC70" s="926"/>
      <c r="AD70" s="926"/>
      <c r="AE70" s="926"/>
      <c r="AF70" s="926"/>
      <c r="AG70" s="926"/>
      <c r="AH70" s="926"/>
      <c r="AI70" s="926"/>
      <c r="AJ70" s="926"/>
      <c r="AK70" s="926"/>
      <c r="AL70" s="926"/>
      <c r="AM70" s="926"/>
      <c r="AN70" s="926"/>
      <c r="AO70" s="926"/>
      <c r="AP70" s="926"/>
      <c r="AQ70" s="926"/>
      <c r="AR70" s="926"/>
      <c r="AS70" s="926"/>
      <c r="AT70" s="926"/>
      <c r="AU70" s="927"/>
      <c r="AV70" s="927"/>
      <c r="AW70" s="927"/>
      <c r="AX70" s="927"/>
      <c r="AY70" s="927"/>
      <c r="AZ70" s="927"/>
      <c r="BA70" s="927"/>
      <c r="BB70" s="927"/>
      <c r="BC70" s="928"/>
      <c r="BD70" s="929"/>
      <c r="BE70" s="930"/>
      <c r="BF70" s="930"/>
      <c r="BG70" s="931"/>
      <c r="BH70" s="931"/>
      <c r="BI70" s="926"/>
      <c r="BJ70" s="926"/>
      <c r="BK70" s="926"/>
      <c r="BL70" s="926"/>
      <c r="BM70" s="926"/>
      <c r="BN70" s="926"/>
      <c r="BO70" s="926"/>
      <c r="BP70" s="926"/>
      <c r="BQ70" s="926"/>
      <c r="BR70" s="926"/>
      <c r="BS70" s="926"/>
      <c r="BT70" s="926"/>
      <c r="BU70" s="926"/>
      <c r="BV70" s="926"/>
      <c r="BW70" s="926"/>
      <c r="BX70" s="926"/>
      <c r="BY70" s="932"/>
      <c r="BZ70" s="932"/>
      <c r="CA70" s="932"/>
      <c r="CB70" s="932"/>
      <c r="CC70" s="932"/>
      <c r="CD70" s="932"/>
      <c r="CE70" s="932"/>
      <c r="CF70" s="932"/>
    </row>
    <row r="71" spans="1:84" x14ac:dyDescent="0.25">
      <c r="A71" s="876">
        <v>30500</v>
      </c>
      <c r="B71" s="873" t="s">
        <v>1284</v>
      </c>
      <c r="C71" s="921">
        <v>181417811</v>
      </c>
      <c r="D71" s="924">
        <v>1.1165470000000001E-3</v>
      </c>
      <c r="E71" s="925"/>
      <c r="F71" s="926"/>
      <c r="G71" s="926"/>
      <c r="H71" s="926"/>
      <c r="I71" s="926"/>
      <c r="J71" s="926"/>
      <c r="K71" s="926"/>
      <c r="L71" s="926"/>
      <c r="M71" s="926"/>
      <c r="N71" s="926"/>
      <c r="O71" s="926"/>
      <c r="P71" s="926"/>
      <c r="Q71" s="926"/>
      <c r="R71" s="926"/>
      <c r="S71" s="926"/>
      <c r="T71" s="926"/>
      <c r="U71" s="926"/>
      <c r="V71" s="926"/>
      <c r="W71" s="926"/>
      <c r="X71" s="926"/>
      <c r="Y71" s="926"/>
      <c r="Z71" s="926"/>
      <c r="AA71" s="926"/>
      <c r="AB71" s="926"/>
      <c r="AC71" s="926"/>
      <c r="AD71" s="926"/>
      <c r="AE71" s="926"/>
      <c r="AF71" s="926"/>
      <c r="AG71" s="926"/>
      <c r="AH71" s="926"/>
      <c r="AI71" s="926"/>
      <c r="AJ71" s="926"/>
      <c r="AK71" s="926"/>
      <c r="AL71" s="926"/>
      <c r="AM71" s="926"/>
      <c r="AN71" s="926"/>
      <c r="AO71" s="926"/>
      <c r="AP71" s="926"/>
      <c r="AQ71" s="926"/>
      <c r="AR71" s="926"/>
      <c r="AS71" s="926"/>
      <c r="AT71" s="926"/>
      <c r="AU71" s="927"/>
      <c r="AV71" s="927"/>
      <c r="AW71" s="927"/>
      <c r="AX71" s="927"/>
      <c r="AY71" s="927"/>
      <c r="AZ71" s="927"/>
      <c r="BA71" s="927"/>
      <c r="BB71" s="927"/>
      <c r="BC71" s="928"/>
      <c r="BD71" s="929"/>
      <c r="BE71" s="930"/>
      <c r="BF71" s="930"/>
      <c r="BG71" s="931"/>
      <c r="BH71" s="931"/>
      <c r="BI71" s="926"/>
      <c r="BJ71" s="926"/>
      <c r="BK71" s="926"/>
      <c r="BL71" s="926"/>
      <c r="BM71" s="926"/>
      <c r="BN71" s="926"/>
      <c r="BO71" s="926"/>
      <c r="BP71" s="926"/>
      <c r="BQ71" s="926"/>
      <c r="BR71" s="926"/>
      <c r="BS71" s="926"/>
      <c r="BT71" s="926"/>
      <c r="BU71" s="926"/>
      <c r="BV71" s="926"/>
      <c r="BW71" s="926"/>
      <c r="BX71" s="926"/>
      <c r="BY71" s="932"/>
      <c r="BZ71" s="932"/>
      <c r="CA71" s="932"/>
      <c r="CB71" s="932"/>
      <c r="CC71" s="932"/>
      <c r="CD71" s="932"/>
      <c r="CE71" s="932"/>
      <c r="CF71" s="932"/>
    </row>
    <row r="72" spans="1:84" x14ac:dyDescent="0.25">
      <c r="A72" s="876">
        <v>30600</v>
      </c>
      <c r="B72" s="873" t="s">
        <v>1285</v>
      </c>
      <c r="C72" s="921">
        <v>137820880</v>
      </c>
      <c r="D72" s="924">
        <v>8.4822700000000001E-4</v>
      </c>
      <c r="E72" s="925"/>
      <c r="F72" s="926"/>
      <c r="G72" s="926"/>
      <c r="H72" s="926"/>
      <c r="I72" s="926"/>
      <c r="J72" s="926"/>
      <c r="K72" s="926"/>
      <c r="L72" s="926"/>
      <c r="M72" s="926"/>
      <c r="N72" s="926"/>
      <c r="O72" s="926"/>
      <c r="P72" s="926"/>
      <c r="Q72" s="926"/>
      <c r="R72" s="926"/>
      <c r="S72" s="926"/>
      <c r="T72" s="926"/>
      <c r="U72" s="926"/>
      <c r="V72" s="926"/>
      <c r="W72" s="926"/>
      <c r="X72" s="926"/>
      <c r="Y72" s="926"/>
      <c r="Z72" s="926"/>
      <c r="AA72" s="926"/>
      <c r="AB72" s="926"/>
      <c r="AC72" s="926"/>
      <c r="AD72" s="926"/>
      <c r="AE72" s="926"/>
      <c r="AF72" s="926"/>
      <c r="AG72" s="926"/>
      <c r="AH72" s="926"/>
      <c r="AI72" s="926"/>
      <c r="AJ72" s="926"/>
      <c r="AK72" s="926"/>
      <c r="AL72" s="926"/>
      <c r="AM72" s="926"/>
      <c r="AN72" s="926"/>
      <c r="AO72" s="926"/>
      <c r="AP72" s="926"/>
      <c r="AQ72" s="926"/>
      <c r="AR72" s="926"/>
      <c r="AS72" s="926"/>
      <c r="AT72" s="926"/>
      <c r="AU72" s="927"/>
      <c r="AV72" s="927"/>
      <c r="AW72" s="927"/>
      <c r="AX72" s="927"/>
      <c r="AY72" s="927"/>
      <c r="AZ72" s="927"/>
      <c r="BA72" s="927"/>
      <c r="BB72" s="927"/>
      <c r="BC72" s="928"/>
      <c r="BD72" s="929"/>
      <c r="BE72" s="930"/>
      <c r="BF72" s="930"/>
      <c r="BG72" s="931"/>
      <c r="BH72" s="931"/>
      <c r="BI72" s="926"/>
      <c r="BJ72" s="926"/>
      <c r="BK72" s="926"/>
      <c r="BL72" s="926"/>
      <c r="BM72" s="926"/>
      <c r="BN72" s="926"/>
      <c r="BO72" s="926"/>
      <c r="BP72" s="926"/>
      <c r="BQ72" s="926"/>
      <c r="BR72" s="926"/>
      <c r="BS72" s="926"/>
      <c r="BT72" s="926"/>
      <c r="BU72" s="926"/>
      <c r="BV72" s="926"/>
      <c r="BW72" s="926"/>
      <c r="BX72" s="926"/>
      <c r="BY72" s="932"/>
      <c r="BZ72" s="932"/>
      <c r="CA72" s="932"/>
      <c r="CB72" s="932"/>
      <c r="CC72" s="932"/>
      <c r="CD72" s="932"/>
      <c r="CE72" s="932"/>
      <c r="CF72" s="932"/>
    </row>
    <row r="73" spans="1:84" x14ac:dyDescent="0.25">
      <c r="A73" s="876">
        <v>30601</v>
      </c>
      <c r="B73" s="873" t="s">
        <v>1286</v>
      </c>
      <c r="C73" s="921">
        <v>3596431</v>
      </c>
      <c r="D73" s="924">
        <v>2.2133999999999998E-5</v>
      </c>
      <c r="E73" s="925"/>
      <c r="F73" s="926"/>
      <c r="G73" s="926"/>
      <c r="H73" s="926"/>
      <c r="I73" s="926"/>
      <c r="J73" s="926"/>
      <c r="K73" s="926"/>
      <c r="L73" s="926"/>
      <c r="M73" s="926"/>
      <c r="N73" s="926"/>
      <c r="O73" s="926"/>
      <c r="P73" s="926"/>
      <c r="Q73" s="926"/>
      <c r="R73" s="926"/>
      <c r="S73" s="926"/>
      <c r="T73" s="926"/>
      <c r="U73" s="926"/>
      <c r="V73" s="926"/>
      <c r="W73" s="926"/>
      <c r="X73" s="926"/>
      <c r="Y73" s="926"/>
      <c r="Z73" s="926"/>
      <c r="AA73" s="926"/>
      <c r="AB73" s="926"/>
      <c r="AC73" s="926"/>
      <c r="AD73" s="926"/>
      <c r="AE73" s="926"/>
      <c r="AF73" s="926"/>
      <c r="AG73" s="926"/>
      <c r="AH73" s="926"/>
      <c r="AI73" s="926"/>
      <c r="AJ73" s="926"/>
      <c r="AK73" s="926"/>
      <c r="AL73" s="926"/>
      <c r="AM73" s="926"/>
      <c r="AN73" s="926"/>
      <c r="AO73" s="926"/>
      <c r="AP73" s="926"/>
      <c r="AQ73" s="926"/>
      <c r="AR73" s="926"/>
      <c r="AS73" s="926"/>
      <c r="AT73" s="926"/>
      <c r="AU73" s="927"/>
      <c r="AV73" s="927"/>
      <c r="AW73" s="927"/>
      <c r="AX73" s="927"/>
      <c r="AY73" s="927"/>
      <c r="AZ73" s="927"/>
      <c r="BA73" s="927"/>
      <c r="BB73" s="927"/>
      <c r="BC73" s="928"/>
      <c r="BD73" s="929"/>
      <c r="BE73" s="930"/>
      <c r="BF73" s="930"/>
      <c r="BG73" s="931"/>
      <c r="BH73" s="931"/>
      <c r="BI73" s="926"/>
      <c r="BJ73" s="926"/>
      <c r="BK73" s="926"/>
      <c r="BL73" s="926"/>
      <c r="BM73" s="926"/>
      <c r="BN73" s="926"/>
      <c r="BO73" s="926"/>
      <c r="BP73" s="926"/>
      <c r="BQ73" s="926"/>
      <c r="BR73" s="926"/>
      <c r="BS73" s="926"/>
      <c r="BT73" s="926"/>
      <c r="BU73" s="926"/>
      <c r="BV73" s="926"/>
      <c r="BW73" s="926"/>
      <c r="BX73" s="926"/>
      <c r="BY73" s="932"/>
      <c r="BZ73" s="932"/>
      <c r="CA73" s="932"/>
      <c r="CB73" s="932"/>
      <c r="CC73" s="932"/>
      <c r="CD73" s="932"/>
      <c r="CE73" s="932"/>
      <c r="CF73" s="932"/>
    </row>
    <row r="74" spans="1:84" x14ac:dyDescent="0.25">
      <c r="A74" s="876">
        <v>30700</v>
      </c>
      <c r="B74" s="873" t="s">
        <v>1287</v>
      </c>
      <c r="C74" s="921">
        <v>362067335</v>
      </c>
      <c r="D74" s="924">
        <v>2.2283649999999999E-3</v>
      </c>
      <c r="E74" s="925"/>
      <c r="F74" s="926"/>
      <c r="G74" s="926"/>
      <c r="H74" s="926"/>
      <c r="I74" s="926"/>
      <c r="J74" s="926"/>
      <c r="K74" s="926"/>
      <c r="L74" s="926"/>
      <c r="M74" s="926"/>
      <c r="N74" s="926"/>
      <c r="O74" s="926"/>
      <c r="P74" s="926"/>
      <c r="Q74" s="926"/>
      <c r="R74" s="926"/>
      <c r="S74" s="926"/>
      <c r="T74" s="926"/>
      <c r="U74" s="926"/>
      <c r="V74" s="926"/>
      <c r="W74" s="926"/>
      <c r="X74" s="926"/>
      <c r="Y74" s="926"/>
      <c r="Z74" s="926"/>
      <c r="AA74" s="926"/>
      <c r="AB74" s="926"/>
      <c r="AC74" s="926"/>
      <c r="AD74" s="926"/>
      <c r="AE74" s="926"/>
      <c r="AF74" s="926"/>
      <c r="AG74" s="926"/>
      <c r="AH74" s="926"/>
      <c r="AI74" s="926"/>
      <c r="AJ74" s="926"/>
      <c r="AK74" s="926"/>
      <c r="AL74" s="926"/>
      <c r="AM74" s="926"/>
      <c r="AN74" s="926"/>
      <c r="AO74" s="926"/>
      <c r="AP74" s="926"/>
      <c r="AQ74" s="926"/>
      <c r="AR74" s="926"/>
      <c r="AS74" s="926"/>
      <c r="AT74" s="926"/>
      <c r="AU74" s="927"/>
      <c r="AV74" s="927"/>
      <c r="AW74" s="927"/>
      <c r="AX74" s="927"/>
      <c r="AY74" s="927"/>
      <c r="AZ74" s="927"/>
      <c r="BA74" s="927"/>
      <c r="BB74" s="927"/>
      <c r="BC74" s="928"/>
      <c r="BD74" s="929"/>
      <c r="BE74" s="930"/>
      <c r="BF74" s="930"/>
      <c r="BG74" s="931"/>
      <c r="BH74" s="931"/>
      <c r="BI74" s="926"/>
      <c r="BJ74" s="926"/>
      <c r="BK74" s="926"/>
      <c r="BL74" s="926"/>
      <c r="BM74" s="926"/>
      <c r="BN74" s="926"/>
      <c r="BO74" s="926"/>
      <c r="BP74" s="926"/>
      <c r="BQ74" s="926"/>
      <c r="BR74" s="926"/>
      <c r="BS74" s="926"/>
      <c r="BT74" s="926"/>
      <c r="BU74" s="926"/>
      <c r="BV74" s="926"/>
      <c r="BW74" s="926"/>
      <c r="BX74" s="926"/>
      <c r="BY74" s="932"/>
      <c r="BZ74" s="932"/>
      <c r="CA74" s="932"/>
      <c r="CB74" s="932"/>
      <c r="CC74" s="932"/>
      <c r="CD74" s="932"/>
      <c r="CE74" s="932"/>
      <c r="CF74" s="932"/>
    </row>
    <row r="75" spans="1:84" x14ac:dyDescent="0.25">
      <c r="A75" s="876">
        <v>30705</v>
      </c>
      <c r="B75" s="873" t="s">
        <v>1288</v>
      </c>
      <c r="C75" s="921">
        <v>66991787</v>
      </c>
      <c r="D75" s="924">
        <v>4.1230500000000002E-4</v>
      </c>
      <c r="E75" s="925"/>
      <c r="F75" s="926"/>
      <c r="G75" s="926"/>
      <c r="H75" s="926"/>
      <c r="I75" s="926"/>
      <c r="J75" s="926"/>
      <c r="K75" s="926"/>
      <c r="L75" s="926"/>
      <c r="M75" s="926"/>
      <c r="N75" s="926"/>
      <c r="O75" s="926"/>
      <c r="P75" s="926"/>
      <c r="Q75" s="926"/>
      <c r="R75" s="926"/>
      <c r="S75" s="926"/>
      <c r="T75" s="926"/>
      <c r="U75" s="926"/>
      <c r="V75" s="926"/>
      <c r="W75" s="926"/>
      <c r="X75" s="926"/>
      <c r="Y75" s="926"/>
      <c r="Z75" s="926"/>
      <c r="AA75" s="926"/>
      <c r="AB75" s="926"/>
      <c r="AC75" s="926"/>
      <c r="AD75" s="926"/>
      <c r="AE75" s="926"/>
      <c r="AF75" s="926"/>
      <c r="AG75" s="926"/>
      <c r="AH75" s="926"/>
      <c r="AI75" s="926"/>
      <c r="AJ75" s="926"/>
      <c r="AK75" s="926"/>
      <c r="AL75" s="926"/>
      <c r="AM75" s="926"/>
      <c r="AN75" s="926"/>
      <c r="AO75" s="926"/>
      <c r="AP75" s="926"/>
      <c r="AQ75" s="926"/>
      <c r="AR75" s="926"/>
      <c r="AS75" s="926"/>
      <c r="AT75" s="926"/>
      <c r="AU75" s="927"/>
      <c r="AV75" s="927"/>
      <c r="AW75" s="927"/>
      <c r="AX75" s="927"/>
      <c r="AY75" s="927"/>
      <c r="AZ75" s="927"/>
      <c r="BA75" s="927"/>
      <c r="BB75" s="927"/>
      <c r="BC75" s="928"/>
      <c r="BD75" s="929"/>
      <c r="BE75" s="930"/>
      <c r="BF75" s="930"/>
      <c r="BG75" s="931"/>
      <c r="BH75" s="931"/>
      <c r="BI75" s="926"/>
      <c r="BJ75" s="926"/>
      <c r="BK75" s="926"/>
      <c r="BL75" s="926"/>
      <c r="BM75" s="926"/>
      <c r="BN75" s="926"/>
      <c r="BO75" s="926"/>
      <c r="BP75" s="926"/>
      <c r="BQ75" s="926"/>
      <c r="BR75" s="926"/>
      <c r="BS75" s="926"/>
      <c r="BT75" s="926"/>
      <c r="BU75" s="926"/>
      <c r="BV75" s="926"/>
      <c r="BW75" s="926"/>
      <c r="BX75" s="926"/>
      <c r="BY75" s="932"/>
      <c r="BZ75" s="932"/>
      <c r="CA75" s="932"/>
      <c r="CB75" s="932"/>
      <c r="CC75" s="932"/>
      <c r="CD75" s="932"/>
      <c r="CE75" s="932"/>
      <c r="CF75" s="932"/>
    </row>
    <row r="76" spans="1:84" x14ac:dyDescent="0.25">
      <c r="A76" s="876">
        <v>30800</v>
      </c>
      <c r="B76" s="873" t="s">
        <v>1289</v>
      </c>
      <c r="C76" s="921">
        <v>120276042</v>
      </c>
      <c r="D76" s="924">
        <v>7.4024599999999996E-4</v>
      </c>
      <c r="E76" s="925"/>
      <c r="F76" s="926"/>
      <c r="G76" s="926"/>
      <c r="H76" s="926"/>
      <c r="I76" s="926"/>
      <c r="J76" s="926"/>
      <c r="K76" s="926"/>
      <c r="L76" s="926"/>
      <c r="M76" s="926"/>
      <c r="N76" s="926"/>
      <c r="O76" s="926"/>
      <c r="P76" s="926"/>
      <c r="Q76" s="926"/>
      <c r="R76" s="926"/>
      <c r="S76" s="926"/>
      <c r="T76" s="926"/>
      <c r="U76" s="926"/>
      <c r="V76" s="926"/>
      <c r="W76" s="926"/>
      <c r="X76" s="926"/>
      <c r="Y76" s="926"/>
      <c r="Z76" s="926"/>
      <c r="AA76" s="926"/>
      <c r="AB76" s="926"/>
      <c r="AC76" s="926"/>
      <c r="AD76" s="926"/>
      <c r="AE76" s="926"/>
      <c r="AF76" s="926"/>
      <c r="AG76" s="926"/>
      <c r="AH76" s="926"/>
      <c r="AI76" s="926"/>
      <c r="AJ76" s="926"/>
      <c r="AK76" s="926"/>
      <c r="AL76" s="926"/>
      <c r="AM76" s="926"/>
      <c r="AN76" s="926"/>
      <c r="AO76" s="926"/>
      <c r="AP76" s="926"/>
      <c r="AQ76" s="926"/>
      <c r="AR76" s="926"/>
      <c r="AS76" s="926"/>
      <c r="AT76" s="926"/>
      <c r="AU76" s="927"/>
      <c r="AV76" s="927"/>
      <c r="AW76" s="927"/>
      <c r="AX76" s="927"/>
      <c r="AY76" s="927"/>
      <c r="AZ76" s="927"/>
      <c r="BA76" s="927"/>
      <c r="BB76" s="927"/>
      <c r="BC76" s="928"/>
      <c r="BD76" s="929"/>
      <c r="BE76" s="930"/>
      <c r="BF76" s="930"/>
      <c r="BG76" s="931"/>
      <c r="BH76" s="931"/>
      <c r="BI76" s="926"/>
      <c r="BJ76" s="926"/>
      <c r="BK76" s="926"/>
      <c r="BL76" s="926"/>
      <c r="BM76" s="926"/>
      <c r="BN76" s="926"/>
      <c r="BO76" s="926"/>
      <c r="BP76" s="926"/>
      <c r="BQ76" s="926"/>
      <c r="BR76" s="926"/>
      <c r="BS76" s="926"/>
      <c r="BT76" s="926"/>
      <c r="BU76" s="926"/>
      <c r="BV76" s="926"/>
      <c r="BW76" s="926"/>
      <c r="BX76" s="926"/>
      <c r="BY76" s="932"/>
      <c r="BZ76" s="932"/>
      <c r="CA76" s="932"/>
      <c r="CB76" s="932"/>
      <c r="CC76" s="932"/>
      <c r="CD76" s="932"/>
      <c r="CE76" s="932"/>
      <c r="CF76" s="932"/>
    </row>
    <row r="77" spans="1:84" x14ac:dyDescent="0.25">
      <c r="A77" s="876">
        <v>30900</v>
      </c>
      <c r="B77" s="873" t="s">
        <v>1290</v>
      </c>
      <c r="C77" s="921">
        <v>230382670</v>
      </c>
      <c r="D77" s="924">
        <v>1.417904E-3</v>
      </c>
      <c r="E77" s="925"/>
      <c r="F77" s="926"/>
      <c r="G77" s="926"/>
      <c r="H77" s="926"/>
      <c r="I77" s="926"/>
      <c r="J77" s="926"/>
      <c r="K77" s="926"/>
      <c r="L77" s="926"/>
      <c r="M77" s="926"/>
      <c r="N77" s="926"/>
      <c r="O77" s="926"/>
      <c r="P77" s="926"/>
      <c r="Q77" s="926"/>
      <c r="R77" s="926"/>
      <c r="S77" s="926"/>
      <c r="T77" s="926"/>
      <c r="U77" s="926"/>
      <c r="V77" s="926"/>
      <c r="W77" s="926"/>
      <c r="X77" s="926"/>
      <c r="Y77" s="926"/>
      <c r="Z77" s="926"/>
      <c r="AA77" s="926"/>
      <c r="AB77" s="926"/>
      <c r="AC77" s="926"/>
      <c r="AD77" s="926"/>
      <c r="AE77" s="926"/>
      <c r="AF77" s="926"/>
      <c r="AG77" s="926"/>
      <c r="AH77" s="926"/>
      <c r="AI77" s="926"/>
      <c r="AJ77" s="926"/>
      <c r="AK77" s="926"/>
      <c r="AL77" s="926"/>
      <c r="AM77" s="926"/>
      <c r="AN77" s="926"/>
      <c r="AO77" s="926"/>
      <c r="AP77" s="926"/>
      <c r="AQ77" s="926"/>
      <c r="AR77" s="926"/>
      <c r="AS77" s="926"/>
      <c r="AT77" s="926"/>
      <c r="AU77" s="927"/>
      <c r="AV77" s="927"/>
      <c r="AW77" s="927"/>
      <c r="AX77" s="927"/>
      <c r="AY77" s="927"/>
      <c r="AZ77" s="927"/>
      <c r="BA77" s="927"/>
      <c r="BB77" s="927"/>
      <c r="BC77" s="928"/>
      <c r="BD77" s="929"/>
      <c r="BE77" s="930"/>
      <c r="BF77" s="930"/>
      <c r="BG77" s="931"/>
      <c r="BH77" s="931"/>
      <c r="BI77" s="926"/>
      <c r="BJ77" s="926"/>
      <c r="BK77" s="926"/>
      <c r="BL77" s="926"/>
      <c r="BM77" s="926"/>
      <c r="BN77" s="926"/>
      <c r="BO77" s="926"/>
      <c r="BP77" s="926"/>
      <c r="BQ77" s="926"/>
      <c r="BR77" s="926"/>
      <c r="BS77" s="926"/>
      <c r="BT77" s="926"/>
      <c r="BU77" s="926"/>
      <c r="BV77" s="926"/>
      <c r="BW77" s="926"/>
      <c r="BX77" s="926"/>
      <c r="BY77" s="932"/>
      <c r="BZ77" s="932"/>
      <c r="CA77" s="932"/>
      <c r="CB77" s="932"/>
      <c r="CC77" s="932"/>
      <c r="CD77" s="932"/>
      <c r="CE77" s="932"/>
      <c r="CF77" s="932"/>
    </row>
    <row r="78" spans="1:84" x14ac:dyDescent="0.25">
      <c r="A78" s="876">
        <v>30905</v>
      </c>
      <c r="B78" s="873" t="s">
        <v>1291</v>
      </c>
      <c r="C78" s="921">
        <v>43385167</v>
      </c>
      <c r="D78" s="924">
        <v>2.6701699999999998E-4</v>
      </c>
      <c r="E78" s="925"/>
      <c r="F78" s="926"/>
      <c r="G78" s="926"/>
      <c r="H78" s="926"/>
      <c r="I78" s="926"/>
      <c r="J78" s="926"/>
      <c r="K78" s="926"/>
      <c r="L78" s="926"/>
      <c r="M78" s="926"/>
      <c r="N78" s="926"/>
      <c r="O78" s="926"/>
      <c r="P78" s="926"/>
      <c r="Q78" s="926"/>
      <c r="R78" s="926"/>
      <c r="S78" s="926"/>
      <c r="T78" s="926"/>
      <c r="U78" s="926"/>
      <c r="V78" s="926"/>
      <c r="W78" s="926"/>
      <c r="X78" s="926"/>
      <c r="Y78" s="926"/>
      <c r="Z78" s="926"/>
      <c r="AA78" s="926"/>
      <c r="AB78" s="926"/>
      <c r="AC78" s="926"/>
      <c r="AD78" s="926"/>
      <c r="AE78" s="926"/>
      <c r="AF78" s="926"/>
      <c r="AG78" s="926"/>
      <c r="AH78" s="926"/>
      <c r="AI78" s="926"/>
      <c r="AJ78" s="926"/>
      <c r="AK78" s="926"/>
      <c r="AL78" s="926"/>
      <c r="AM78" s="926"/>
      <c r="AN78" s="926"/>
      <c r="AO78" s="926"/>
      <c r="AP78" s="926"/>
      <c r="AQ78" s="926"/>
      <c r="AR78" s="926"/>
      <c r="AS78" s="926"/>
      <c r="AT78" s="926"/>
      <c r="AU78" s="927"/>
      <c r="AV78" s="927"/>
      <c r="AW78" s="927"/>
      <c r="AX78" s="927"/>
      <c r="AY78" s="927"/>
      <c r="AZ78" s="927"/>
      <c r="BA78" s="927"/>
      <c r="BB78" s="927"/>
      <c r="BC78" s="928"/>
      <c r="BD78" s="929"/>
      <c r="BE78" s="930"/>
      <c r="BF78" s="930"/>
      <c r="BG78" s="931"/>
      <c r="BH78" s="931"/>
      <c r="BI78" s="926"/>
      <c r="BJ78" s="926"/>
      <c r="BK78" s="926"/>
      <c r="BL78" s="926"/>
      <c r="BM78" s="926"/>
      <c r="BN78" s="926"/>
      <c r="BO78" s="926"/>
      <c r="BP78" s="926"/>
      <c r="BQ78" s="926"/>
      <c r="BR78" s="926"/>
      <c r="BS78" s="926"/>
      <c r="BT78" s="926"/>
      <c r="BU78" s="926"/>
      <c r="BV78" s="926"/>
      <c r="BW78" s="926"/>
      <c r="BX78" s="926"/>
      <c r="BY78" s="932"/>
      <c r="BZ78" s="932"/>
      <c r="CA78" s="932"/>
      <c r="CB78" s="932"/>
      <c r="CC78" s="932"/>
      <c r="CD78" s="932"/>
      <c r="CE78" s="932"/>
      <c r="CF78" s="932"/>
    </row>
    <row r="79" spans="1:84" x14ac:dyDescent="0.25">
      <c r="A79" s="876">
        <v>31000</v>
      </c>
      <c r="B79" s="873" t="s">
        <v>1292</v>
      </c>
      <c r="C79" s="921">
        <v>700041630</v>
      </c>
      <c r="D79" s="924">
        <v>4.3084480000000003E-3</v>
      </c>
      <c r="E79" s="925"/>
      <c r="F79" s="926"/>
      <c r="G79" s="926"/>
      <c r="H79" s="926"/>
      <c r="I79" s="926"/>
      <c r="J79" s="926"/>
      <c r="K79" s="926"/>
      <c r="L79" s="926"/>
      <c r="M79" s="926"/>
      <c r="N79" s="926"/>
      <c r="O79" s="926"/>
      <c r="P79" s="926"/>
      <c r="Q79" s="926"/>
      <c r="R79" s="926"/>
      <c r="S79" s="926"/>
      <c r="T79" s="926"/>
      <c r="U79" s="926"/>
      <c r="V79" s="926"/>
      <c r="W79" s="926"/>
      <c r="X79" s="926"/>
      <c r="Y79" s="926"/>
      <c r="Z79" s="926"/>
      <c r="AA79" s="926"/>
      <c r="AB79" s="926"/>
      <c r="AC79" s="926"/>
      <c r="AD79" s="926"/>
      <c r="AE79" s="926"/>
      <c r="AF79" s="926"/>
      <c r="AG79" s="926"/>
      <c r="AH79" s="926"/>
      <c r="AI79" s="926"/>
      <c r="AJ79" s="926"/>
      <c r="AK79" s="926"/>
      <c r="AL79" s="926"/>
      <c r="AM79" s="926"/>
      <c r="AN79" s="926"/>
      <c r="AO79" s="926"/>
      <c r="AP79" s="926"/>
      <c r="AQ79" s="926"/>
      <c r="AR79" s="926"/>
      <c r="AS79" s="926"/>
      <c r="AT79" s="926"/>
      <c r="AU79" s="927"/>
      <c r="AV79" s="927"/>
      <c r="AW79" s="927"/>
      <c r="AX79" s="927"/>
      <c r="AY79" s="927"/>
      <c r="AZ79" s="927"/>
      <c r="BA79" s="927"/>
      <c r="BB79" s="927"/>
      <c r="BC79" s="928"/>
      <c r="BD79" s="929"/>
      <c r="BE79" s="930"/>
      <c r="BF79" s="930"/>
      <c r="BG79" s="931"/>
      <c r="BH79" s="931"/>
      <c r="BI79" s="926"/>
      <c r="BJ79" s="926"/>
      <c r="BK79" s="926"/>
      <c r="BL79" s="926"/>
      <c r="BM79" s="926"/>
      <c r="BN79" s="926"/>
      <c r="BO79" s="926"/>
      <c r="BP79" s="926"/>
      <c r="BQ79" s="926"/>
      <c r="BR79" s="926"/>
      <c r="BS79" s="926"/>
      <c r="BT79" s="926"/>
      <c r="BU79" s="926"/>
      <c r="BV79" s="926"/>
      <c r="BW79" s="926"/>
      <c r="BX79" s="926"/>
      <c r="BY79" s="932"/>
      <c r="BZ79" s="932"/>
      <c r="CA79" s="932"/>
      <c r="CB79" s="932"/>
      <c r="CC79" s="932"/>
      <c r="CD79" s="932"/>
      <c r="CE79" s="932"/>
      <c r="CF79" s="932"/>
    </row>
    <row r="80" spans="1:84" x14ac:dyDescent="0.25">
      <c r="A80" s="876">
        <v>31005</v>
      </c>
      <c r="B80" s="873" t="s">
        <v>1293</v>
      </c>
      <c r="C80" s="921">
        <v>62410643</v>
      </c>
      <c r="D80" s="924">
        <v>3.8411000000000001E-4</v>
      </c>
      <c r="E80" s="925"/>
      <c r="F80" s="926"/>
      <c r="G80" s="926"/>
      <c r="H80" s="926"/>
      <c r="I80" s="926"/>
      <c r="J80" s="926"/>
      <c r="K80" s="926"/>
      <c r="L80" s="926"/>
      <c r="M80" s="926"/>
      <c r="N80" s="926"/>
      <c r="O80" s="926"/>
      <c r="P80" s="926"/>
      <c r="Q80" s="926"/>
      <c r="R80" s="926"/>
      <c r="S80" s="926"/>
      <c r="T80" s="926"/>
      <c r="U80" s="926"/>
      <c r="V80" s="926"/>
      <c r="W80" s="926"/>
      <c r="X80" s="926"/>
      <c r="Y80" s="926"/>
      <c r="Z80" s="926"/>
      <c r="AA80" s="926"/>
      <c r="AB80" s="926"/>
      <c r="AC80" s="926"/>
      <c r="AD80" s="926"/>
      <c r="AE80" s="926"/>
      <c r="AF80" s="926"/>
      <c r="AG80" s="926"/>
      <c r="AH80" s="926"/>
      <c r="AI80" s="926"/>
      <c r="AJ80" s="926"/>
      <c r="AK80" s="926"/>
      <c r="AL80" s="926"/>
      <c r="AM80" s="926"/>
      <c r="AN80" s="926"/>
      <c r="AO80" s="926"/>
      <c r="AP80" s="926"/>
      <c r="AQ80" s="926"/>
      <c r="AR80" s="926"/>
      <c r="AS80" s="926"/>
      <c r="AT80" s="926"/>
      <c r="AU80" s="927"/>
      <c r="AV80" s="927"/>
      <c r="AW80" s="927"/>
      <c r="AX80" s="927"/>
      <c r="AY80" s="927"/>
      <c r="AZ80" s="927"/>
      <c r="BA80" s="927"/>
      <c r="BB80" s="927"/>
      <c r="BC80" s="928"/>
      <c r="BD80" s="929"/>
      <c r="BE80" s="930"/>
      <c r="BF80" s="930"/>
      <c r="BG80" s="931"/>
      <c r="BH80" s="931"/>
      <c r="BI80" s="926"/>
      <c r="BJ80" s="926"/>
      <c r="BK80" s="926"/>
      <c r="BL80" s="926"/>
      <c r="BM80" s="926"/>
      <c r="BN80" s="926"/>
      <c r="BO80" s="926"/>
      <c r="BP80" s="926"/>
      <c r="BQ80" s="926"/>
      <c r="BR80" s="926"/>
      <c r="BS80" s="926"/>
      <c r="BT80" s="926"/>
      <c r="BU80" s="926"/>
      <c r="BV80" s="926"/>
      <c r="BW80" s="926"/>
      <c r="BX80" s="926"/>
      <c r="BY80" s="932"/>
      <c r="BZ80" s="932"/>
      <c r="CA80" s="932"/>
      <c r="CB80" s="932"/>
      <c r="CC80" s="932"/>
      <c r="CD80" s="932"/>
      <c r="CE80" s="932"/>
      <c r="CF80" s="932"/>
    </row>
    <row r="81" spans="1:84" x14ac:dyDescent="0.25">
      <c r="A81" s="876">
        <v>31100</v>
      </c>
      <c r="B81" s="873" t="s">
        <v>1294</v>
      </c>
      <c r="C81" s="921">
        <v>1459000267</v>
      </c>
      <c r="D81" s="924">
        <v>8.9795050000000005E-3</v>
      </c>
      <c r="E81" s="925"/>
      <c r="F81" s="926"/>
      <c r="G81" s="926"/>
      <c r="H81" s="926"/>
      <c r="I81" s="926"/>
      <c r="J81" s="926"/>
      <c r="K81" s="926"/>
      <c r="L81" s="926"/>
      <c r="M81" s="926"/>
      <c r="N81" s="926"/>
      <c r="O81" s="926"/>
      <c r="P81" s="926"/>
      <c r="Q81" s="926"/>
      <c r="R81" s="926"/>
      <c r="S81" s="926"/>
      <c r="T81" s="926"/>
      <c r="U81" s="926"/>
      <c r="V81" s="926"/>
      <c r="W81" s="926"/>
      <c r="X81" s="926"/>
      <c r="Y81" s="926"/>
      <c r="Z81" s="926"/>
      <c r="AA81" s="926"/>
      <c r="AB81" s="926"/>
      <c r="AC81" s="926"/>
      <c r="AD81" s="926"/>
      <c r="AE81" s="926"/>
      <c r="AF81" s="926"/>
      <c r="AG81" s="926"/>
      <c r="AH81" s="926"/>
      <c r="AI81" s="926"/>
      <c r="AJ81" s="926"/>
      <c r="AK81" s="926"/>
      <c r="AL81" s="926"/>
      <c r="AM81" s="926"/>
      <c r="AN81" s="926"/>
      <c r="AO81" s="926"/>
      <c r="AP81" s="926"/>
      <c r="AQ81" s="926"/>
      <c r="AR81" s="926"/>
      <c r="AS81" s="926"/>
      <c r="AT81" s="926"/>
      <c r="AU81" s="927"/>
      <c r="AV81" s="927"/>
      <c r="AW81" s="927"/>
      <c r="AX81" s="927"/>
      <c r="AY81" s="927"/>
      <c r="AZ81" s="927"/>
      <c r="BA81" s="927"/>
      <c r="BB81" s="927"/>
      <c r="BC81" s="928"/>
      <c r="BD81" s="929"/>
      <c r="BE81" s="930"/>
      <c r="BF81" s="930"/>
      <c r="BG81" s="931"/>
      <c r="BH81" s="931"/>
      <c r="BI81" s="926"/>
      <c r="BJ81" s="926"/>
      <c r="BK81" s="926"/>
      <c r="BL81" s="926"/>
      <c r="BM81" s="926"/>
      <c r="BN81" s="926"/>
      <c r="BO81" s="926"/>
      <c r="BP81" s="926"/>
      <c r="BQ81" s="926"/>
      <c r="BR81" s="926"/>
      <c r="BS81" s="926"/>
      <c r="BT81" s="926"/>
      <c r="BU81" s="926"/>
      <c r="BV81" s="926"/>
      <c r="BW81" s="926"/>
      <c r="BX81" s="926"/>
      <c r="BY81" s="932"/>
      <c r="BZ81" s="932"/>
      <c r="CA81" s="932"/>
      <c r="CB81" s="932"/>
      <c r="CC81" s="932"/>
      <c r="CD81" s="932"/>
      <c r="CE81" s="932"/>
      <c r="CF81" s="932"/>
    </row>
    <row r="82" spans="1:84" x14ac:dyDescent="0.25">
      <c r="A82" s="876">
        <v>31101</v>
      </c>
      <c r="B82" s="873" t="s">
        <v>1295</v>
      </c>
      <c r="C82" s="921">
        <v>9765863</v>
      </c>
      <c r="D82" s="924">
        <v>6.0105000000000001E-5</v>
      </c>
      <c r="E82" s="925"/>
      <c r="F82" s="926"/>
      <c r="G82" s="926"/>
      <c r="H82" s="926"/>
      <c r="I82" s="926"/>
      <c r="J82" s="926"/>
      <c r="K82" s="926"/>
      <c r="L82" s="926"/>
      <c r="M82" s="926"/>
      <c r="N82" s="926"/>
      <c r="O82" s="926"/>
      <c r="P82" s="926"/>
      <c r="Q82" s="926"/>
      <c r="R82" s="926"/>
      <c r="S82" s="926"/>
      <c r="T82" s="926"/>
      <c r="U82" s="926"/>
      <c r="V82" s="926"/>
      <c r="W82" s="926"/>
      <c r="X82" s="926"/>
      <c r="Y82" s="926"/>
      <c r="Z82" s="926"/>
      <c r="AA82" s="926"/>
      <c r="AB82" s="926"/>
      <c r="AC82" s="926"/>
      <c r="AD82" s="926"/>
      <c r="AE82" s="926"/>
      <c r="AF82" s="926"/>
      <c r="AG82" s="926"/>
      <c r="AH82" s="926"/>
      <c r="AI82" s="926"/>
      <c r="AJ82" s="926"/>
      <c r="AK82" s="926"/>
      <c r="AL82" s="926"/>
      <c r="AM82" s="926"/>
      <c r="AN82" s="926"/>
      <c r="AO82" s="926"/>
      <c r="AP82" s="926"/>
      <c r="AQ82" s="926"/>
      <c r="AR82" s="926"/>
      <c r="AS82" s="926"/>
      <c r="AT82" s="926"/>
      <c r="AU82" s="927"/>
      <c r="AV82" s="927"/>
      <c r="AW82" s="927"/>
      <c r="AX82" s="927"/>
      <c r="AY82" s="927"/>
      <c r="AZ82" s="927"/>
      <c r="BA82" s="927"/>
      <c r="BB82" s="927"/>
      <c r="BC82" s="928"/>
      <c r="BD82" s="929"/>
      <c r="BE82" s="930"/>
      <c r="BF82" s="930"/>
      <c r="BG82" s="931"/>
      <c r="BH82" s="931"/>
      <c r="BI82" s="926"/>
      <c r="BJ82" s="926"/>
      <c r="BK82" s="926"/>
      <c r="BL82" s="926"/>
      <c r="BM82" s="926"/>
      <c r="BN82" s="926"/>
      <c r="BO82" s="926"/>
      <c r="BP82" s="926"/>
      <c r="BQ82" s="926"/>
      <c r="BR82" s="926"/>
      <c r="BS82" s="926"/>
      <c r="BT82" s="926"/>
      <c r="BU82" s="926"/>
      <c r="BV82" s="926"/>
      <c r="BW82" s="926"/>
      <c r="BX82" s="926"/>
      <c r="BY82" s="932"/>
      <c r="BZ82" s="932"/>
      <c r="CA82" s="932"/>
      <c r="CB82" s="932"/>
      <c r="CC82" s="932"/>
      <c r="CD82" s="932"/>
      <c r="CE82" s="932"/>
      <c r="CF82" s="932"/>
    </row>
    <row r="83" spans="1:84" x14ac:dyDescent="0.25">
      <c r="A83" s="876">
        <v>31102</v>
      </c>
      <c r="B83" s="873" t="s">
        <v>1296</v>
      </c>
      <c r="C83" s="921">
        <v>25620726</v>
      </c>
      <c r="D83" s="924">
        <v>1.57684E-4</v>
      </c>
      <c r="E83" s="925"/>
      <c r="F83" s="926"/>
      <c r="G83" s="926"/>
      <c r="H83" s="926"/>
      <c r="I83" s="926"/>
      <c r="J83" s="926"/>
      <c r="K83" s="926"/>
      <c r="L83" s="926"/>
      <c r="M83" s="926"/>
      <c r="N83" s="926"/>
      <c r="O83" s="926"/>
      <c r="P83" s="926"/>
      <c r="Q83" s="926"/>
      <c r="R83" s="926"/>
      <c r="S83" s="926"/>
      <c r="T83" s="926"/>
      <c r="U83" s="926"/>
      <c r="V83" s="926"/>
      <c r="W83" s="926"/>
      <c r="X83" s="926"/>
      <c r="Y83" s="926"/>
      <c r="Z83" s="926"/>
      <c r="AA83" s="926"/>
      <c r="AB83" s="926"/>
      <c r="AC83" s="926"/>
      <c r="AD83" s="926"/>
      <c r="AE83" s="926"/>
      <c r="AF83" s="926"/>
      <c r="AG83" s="926"/>
      <c r="AH83" s="926"/>
      <c r="AI83" s="926"/>
      <c r="AJ83" s="926"/>
      <c r="AK83" s="926"/>
      <c r="AL83" s="926"/>
      <c r="AM83" s="926"/>
      <c r="AN83" s="926"/>
      <c r="AO83" s="926"/>
      <c r="AP83" s="926"/>
      <c r="AQ83" s="926"/>
      <c r="AR83" s="926"/>
      <c r="AS83" s="926"/>
      <c r="AT83" s="926"/>
      <c r="AU83" s="927"/>
      <c r="AV83" s="927"/>
      <c r="AW83" s="927"/>
      <c r="AX83" s="927"/>
      <c r="AY83" s="927"/>
      <c r="AZ83" s="927"/>
      <c r="BA83" s="927"/>
      <c r="BB83" s="927"/>
      <c r="BC83" s="928"/>
      <c r="BD83" s="929"/>
      <c r="BE83" s="930"/>
      <c r="BF83" s="930"/>
      <c r="BG83" s="931"/>
      <c r="BH83" s="931"/>
      <c r="BI83" s="926"/>
      <c r="BJ83" s="926"/>
      <c r="BK83" s="926"/>
      <c r="BL83" s="926"/>
      <c r="BM83" s="926"/>
      <c r="BN83" s="926"/>
      <c r="BO83" s="926"/>
      <c r="BP83" s="926"/>
      <c r="BQ83" s="926"/>
      <c r="BR83" s="926"/>
      <c r="BS83" s="926"/>
      <c r="BT83" s="926"/>
      <c r="BU83" s="926"/>
      <c r="BV83" s="926"/>
      <c r="BW83" s="926"/>
      <c r="BX83" s="926"/>
      <c r="BY83" s="932"/>
      <c r="BZ83" s="932"/>
      <c r="CA83" s="932"/>
      <c r="CB83" s="932"/>
      <c r="CC83" s="932"/>
      <c r="CD83" s="932"/>
      <c r="CE83" s="932"/>
      <c r="CF83" s="932"/>
    </row>
    <row r="84" spans="1:84" x14ac:dyDescent="0.25">
      <c r="A84" s="876">
        <v>31105</v>
      </c>
      <c r="B84" s="873" t="s">
        <v>1297</v>
      </c>
      <c r="C84" s="921">
        <v>223778330</v>
      </c>
      <c r="D84" s="924">
        <v>1.377257E-3</v>
      </c>
      <c r="E84" s="925"/>
      <c r="F84" s="926"/>
      <c r="G84" s="926"/>
      <c r="H84" s="926"/>
      <c r="I84" s="926"/>
      <c r="J84" s="926"/>
      <c r="K84" s="926"/>
      <c r="L84" s="926"/>
      <c r="M84" s="926"/>
      <c r="N84" s="926"/>
      <c r="O84" s="926"/>
      <c r="P84" s="926"/>
      <c r="Q84" s="926"/>
      <c r="R84" s="926"/>
      <c r="S84" s="926"/>
      <c r="T84" s="926"/>
      <c r="U84" s="926"/>
      <c r="V84" s="926"/>
      <c r="W84" s="926"/>
      <c r="X84" s="926"/>
      <c r="Y84" s="926"/>
      <c r="Z84" s="926"/>
      <c r="AA84" s="926"/>
      <c r="AB84" s="926"/>
      <c r="AC84" s="926"/>
      <c r="AD84" s="926"/>
      <c r="AE84" s="926"/>
      <c r="AF84" s="926"/>
      <c r="AG84" s="926"/>
      <c r="AH84" s="926"/>
      <c r="AI84" s="926"/>
      <c r="AJ84" s="926"/>
      <c r="AK84" s="926"/>
      <c r="AL84" s="926"/>
      <c r="AM84" s="926"/>
      <c r="AN84" s="926"/>
      <c r="AO84" s="926"/>
      <c r="AP84" s="926"/>
      <c r="AQ84" s="926"/>
      <c r="AR84" s="926"/>
      <c r="AS84" s="926"/>
      <c r="AT84" s="926"/>
      <c r="AU84" s="927"/>
      <c r="AV84" s="927"/>
      <c r="AW84" s="927"/>
      <c r="AX84" s="927"/>
      <c r="AY84" s="927"/>
      <c r="AZ84" s="927"/>
      <c r="BA84" s="927"/>
      <c r="BB84" s="927"/>
      <c r="BC84" s="928"/>
      <c r="BD84" s="929"/>
      <c r="BE84" s="930"/>
      <c r="BF84" s="930"/>
      <c r="BG84" s="931"/>
      <c r="BH84" s="931"/>
      <c r="BI84" s="926"/>
      <c r="BJ84" s="926"/>
      <c r="BK84" s="926"/>
      <c r="BL84" s="926"/>
      <c r="BM84" s="926"/>
      <c r="BN84" s="926"/>
      <c r="BO84" s="926"/>
      <c r="BP84" s="926"/>
      <c r="BQ84" s="926"/>
      <c r="BR84" s="926"/>
      <c r="BS84" s="926"/>
      <c r="BT84" s="926"/>
      <c r="BU84" s="926"/>
      <c r="BV84" s="926"/>
      <c r="BW84" s="926"/>
      <c r="BX84" s="926"/>
      <c r="BY84" s="932"/>
      <c r="BZ84" s="932"/>
      <c r="CA84" s="932"/>
      <c r="CB84" s="932"/>
      <c r="CC84" s="932"/>
      <c r="CD84" s="932"/>
      <c r="CE84" s="932"/>
      <c r="CF84" s="932"/>
    </row>
    <row r="85" spans="1:84" x14ac:dyDescent="0.25">
      <c r="A85" s="876">
        <v>31110</v>
      </c>
      <c r="B85" s="873" t="s">
        <v>1298</v>
      </c>
      <c r="C85" s="921">
        <v>340726457</v>
      </c>
      <c r="D85" s="924">
        <v>2.097022E-3</v>
      </c>
      <c r="E85" s="925"/>
      <c r="F85" s="926"/>
      <c r="G85" s="926"/>
      <c r="H85" s="926"/>
      <c r="I85" s="926"/>
      <c r="J85" s="926"/>
      <c r="K85" s="926"/>
      <c r="L85" s="926"/>
      <c r="M85" s="926"/>
      <c r="N85" s="926"/>
      <c r="O85" s="926"/>
      <c r="P85" s="926"/>
      <c r="Q85" s="926"/>
      <c r="R85" s="926"/>
      <c r="S85" s="926"/>
      <c r="T85" s="926"/>
      <c r="U85" s="926"/>
      <c r="V85" s="926"/>
      <c r="W85" s="926"/>
      <c r="X85" s="926"/>
      <c r="Y85" s="926"/>
      <c r="Z85" s="926"/>
      <c r="AA85" s="926"/>
      <c r="AB85" s="926"/>
      <c r="AC85" s="926"/>
      <c r="AD85" s="926"/>
      <c r="AE85" s="926"/>
      <c r="AF85" s="926"/>
      <c r="AG85" s="926"/>
      <c r="AH85" s="926"/>
      <c r="AI85" s="926"/>
      <c r="AJ85" s="926"/>
      <c r="AK85" s="926"/>
      <c r="AL85" s="926"/>
      <c r="AM85" s="926"/>
      <c r="AN85" s="926"/>
      <c r="AO85" s="926"/>
      <c r="AP85" s="926"/>
      <c r="AQ85" s="926"/>
      <c r="AR85" s="926"/>
      <c r="AS85" s="926"/>
      <c r="AT85" s="926"/>
      <c r="AU85" s="927"/>
      <c r="AV85" s="927"/>
      <c r="AW85" s="927"/>
      <c r="AX85" s="927"/>
      <c r="AY85" s="927"/>
      <c r="AZ85" s="927"/>
      <c r="BA85" s="927"/>
      <c r="BB85" s="927"/>
      <c r="BC85" s="928"/>
      <c r="BD85" s="929"/>
      <c r="BE85" s="930"/>
      <c r="BF85" s="930"/>
      <c r="BG85" s="931"/>
      <c r="BH85" s="931"/>
      <c r="BI85" s="926"/>
      <c r="BJ85" s="926"/>
      <c r="BK85" s="926"/>
      <c r="BL85" s="926"/>
      <c r="BM85" s="926"/>
      <c r="BN85" s="926"/>
      <c r="BO85" s="926"/>
      <c r="BP85" s="926"/>
      <c r="BQ85" s="926"/>
      <c r="BR85" s="926"/>
      <c r="BS85" s="926"/>
      <c r="BT85" s="926"/>
      <c r="BU85" s="926"/>
      <c r="BV85" s="926"/>
      <c r="BW85" s="926"/>
      <c r="BX85" s="926"/>
      <c r="BY85" s="932"/>
      <c r="BZ85" s="932"/>
      <c r="CA85" s="932"/>
      <c r="CB85" s="932"/>
      <c r="CC85" s="932"/>
      <c r="CD85" s="932"/>
      <c r="CE85" s="932"/>
      <c r="CF85" s="932"/>
    </row>
    <row r="86" spans="1:84" x14ac:dyDescent="0.25">
      <c r="A86" s="876">
        <v>31200</v>
      </c>
      <c r="B86" s="873" t="s">
        <v>1299</v>
      </c>
      <c r="C86" s="921">
        <v>629707269</v>
      </c>
      <c r="D86" s="924">
        <v>3.875571E-3</v>
      </c>
      <c r="E86" s="925"/>
      <c r="F86" s="926"/>
      <c r="G86" s="926"/>
      <c r="H86" s="926"/>
      <c r="I86" s="926"/>
      <c r="J86" s="926"/>
      <c r="K86" s="926"/>
      <c r="L86" s="926"/>
      <c r="M86" s="926"/>
      <c r="N86" s="926"/>
      <c r="O86" s="926"/>
      <c r="P86" s="926"/>
      <c r="Q86" s="926"/>
      <c r="R86" s="926"/>
      <c r="S86" s="926"/>
      <c r="T86" s="926"/>
      <c r="U86" s="926"/>
      <c r="V86" s="926"/>
      <c r="W86" s="926"/>
      <c r="X86" s="926"/>
      <c r="Y86" s="926"/>
      <c r="Z86" s="926"/>
      <c r="AA86" s="926"/>
      <c r="AB86" s="926"/>
      <c r="AC86" s="926"/>
      <c r="AD86" s="926"/>
      <c r="AE86" s="926"/>
      <c r="AF86" s="926"/>
      <c r="AG86" s="926"/>
      <c r="AH86" s="926"/>
      <c r="AI86" s="926"/>
      <c r="AJ86" s="926"/>
      <c r="AK86" s="926"/>
      <c r="AL86" s="926"/>
      <c r="AM86" s="926"/>
      <c r="AN86" s="926"/>
      <c r="AO86" s="926"/>
      <c r="AP86" s="926"/>
      <c r="AQ86" s="926"/>
      <c r="AR86" s="926"/>
      <c r="AS86" s="926"/>
      <c r="AT86" s="926"/>
      <c r="AU86" s="927"/>
      <c r="AV86" s="927"/>
      <c r="AW86" s="927"/>
      <c r="AX86" s="927"/>
      <c r="AY86" s="927"/>
      <c r="AZ86" s="927"/>
      <c r="BA86" s="927"/>
      <c r="BB86" s="927"/>
      <c r="BC86" s="928"/>
      <c r="BD86" s="929"/>
      <c r="BE86" s="930"/>
      <c r="BF86" s="930"/>
      <c r="BG86" s="931"/>
      <c r="BH86" s="931"/>
      <c r="BI86" s="926"/>
      <c r="BJ86" s="926"/>
      <c r="BK86" s="926"/>
      <c r="BL86" s="926"/>
      <c r="BM86" s="926"/>
      <c r="BN86" s="926"/>
      <c r="BO86" s="926"/>
      <c r="BP86" s="926"/>
      <c r="BQ86" s="926"/>
      <c r="BR86" s="926"/>
      <c r="BS86" s="926"/>
      <c r="BT86" s="926"/>
      <c r="BU86" s="926"/>
      <c r="BV86" s="926"/>
      <c r="BW86" s="926"/>
      <c r="BX86" s="926"/>
      <c r="BY86" s="932"/>
      <c r="BZ86" s="932"/>
      <c r="CA86" s="932"/>
      <c r="CB86" s="932"/>
      <c r="CC86" s="932"/>
      <c r="CD86" s="932"/>
      <c r="CE86" s="932"/>
      <c r="CF86" s="932"/>
    </row>
    <row r="87" spans="1:84" x14ac:dyDescent="0.25">
      <c r="A87" s="876">
        <v>31205</v>
      </c>
      <c r="B87" s="873" t="s">
        <v>1300</v>
      </c>
      <c r="C87" s="921">
        <v>72827538</v>
      </c>
      <c r="D87" s="924">
        <v>4.48221E-4</v>
      </c>
      <c r="E87" s="925"/>
      <c r="F87" s="926"/>
      <c r="G87" s="926"/>
      <c r="H87" s="926"/>
      <c r="I87" s="926"/>
      <c r="J87" s="926"/>
      <c r="K87" s="926"/>
      <c r="L87" s="926"/>
      <c r="M87" s="926"/>
      <c r="N87" s="926"/>
      <c r="O87" s="926"/>
      <c r="P87" s="926"/>
      <c r="Q87" s="926"/>
      <c r="R87" s="926"/>
      <c r="S87" s="926"/>
      <c r="T87" s="926"/>
      <c r="U87" s="926"/>
      <c r="V87" s="926"/>
      <c r="W87" s="926"/>
      <c r="X87" s="926"/>
      <c r="Y87" s="926"/>
      <c r="Z87" s="926"/>
      <c r="AA87" s="926"/>
      <c r="AB87" s="926"/>
      <c r="AC87" s="926"/>
      <c r="AD87" s="926"/>
      <c r="AE87" s="926"/>
      <c r="AF87" s="926"/>
      <c r="AG87" s="926"/>
      <c r="AH87" s="926"/>
      <c r="AI87" s="926"/>
      <c r="AJ87" s="926"/>
      <c r="AK87" s="926"/>
      <c r="AL87" s="926"/>
      <c r="AM87" s="926"/>
      <c r="AN87" s="926"/>
      <c r="AO87" s="926"/>
      <c r="AP87" s="926"/>
      <c r="AQ87" s="926"/>
      <c r="AR87" s="926"/>
      <c r="AS87" s="926"/>
      <c r="AT87" s="926"/>
      <c r="AU87" s="927"/>
      <c r="AV87" s="927"/>
      <c r="AW87" s="927"/>
      <c r="AX87" s="927"/>
      <c r="AY87" s="927"/>
      <c r="AZ87" s="927"/>
      <c r="BA87" s="927"/>
      <c r="BB87" s="927"/>
      <c r="BC87" s="928"/>
      <c r="BD87" s="929"/>
      <c r="BE87" s="930"/>
      <c r="BF87" s="930"/>
      <c r="BG87" s="931"/>
      <c r="BH87" s="931"/>
      <c r="BI87" s="926"/>
      <c r="BJ87" s="926"/>
      <c r="BK87" s="926"/>
      <c r="BL87" s="926"/>
      <c r="BM87" s="926"/>
      <c r="BN87" s="926"/>
      <c r="BO87" s="926"/>
      <c r="BP87" s="926"/>
      <c r="BQ87" s="926"/>
      <c r="BR87" s="926"/>
      <c r="BS87" s="926"/>
      <c r="BT87" s="926"/>
      <c r="BU87" s="926"/>
      <c r="BV87" s="926"/>
      <c r="BW87" s="926"/>
      <c r="BX87" s="926"/>
      <c r="BY87" s="932"/>
      <c r="BZ87" s="932"/>
      <c r="CA87" s="932"/>
      <c r="CB87" s="932"/>
      <c r="CC87" s="932"/>
      <c r="CD87" s="932"/>
      <c r="CE87" s="932"/>
      <c r="CF87" s="932"/>
    </row>
    <row r="88" spans="1:84" x14ac:dyDescent="0.25">
      <c r="A88" s="876">
        <v>31300</v>
      </c>
      <c r="B88" s="873" t="s">
        <v>1301</v>
      </c>
      <c r="C88" s="921">
        <v>1783100032</v>
      </c>
      <c r="D88" s="924">
        <v>1.0974197E-2</v>
      </c>
      <c r="E88" s="925"/>
      <c r="F88" s="926"/>
      <c r="G88" s="926"/>
      <c r="H88" s="926"/>
      <c r="I88" s="926"/>
      <c r="J88" s="926"/>
      <c r="K88" s="926"/>
      <c r="L88" s="926"/>
      <c r="M88" s="926"/>
      <c r="N88" s="926"/>
      <c r="O88" s="926"/>
      <c r="P88" s="926"/>
      <c r="Q88" s="926"/>
      <c r="R88" s="926"/>
      <c r="S88" s="926"/>
      <c r="T88" s="926"/>
      <c r="U88" s="926"/>
      <c r="V88" s="926"/>
      <c r="W88" s="926"/>
      <c r="X88" s="926"/>
      <c r="Y88" s="926"/>
      <c r="Z88" s="926"/>
      <c r="AA88" s="926"/>
      <c r="AB88" s="926"/>
      <c r="AC88" s="926"/>
      <c r="AD88" s="926"/>
      <c r="AE88" s="926"/>
      <c r="AF88" s="926"/>
      <c r="AG88" s="926"/>
      <c r="AH88" s="926"/>
      <c r="AI88" s="926"/>
      <c r="AJ88" s="926"/>
      <c r="AK88" s="926"/>
      <c r="AL88" s="926"/>
      <c r="AM88" s="926"/>
      <c r="AN88" s="926"/>
      <c r="AO88" s="926"/>
      <c r="AP88" s="926"/>
      <c r="AQ88" s="926"/>
      <c r="AR88" s="926"/>
      <c r="AS88" s="926"/>
      <c r="AT88" s="926"/>
      <c r="AU88" s="927"/>
      <c r="AV88" s="927"/>
      <c r="AW88" s="927"/>
      <c r="AX88" s="927"/>
      <c r="AY88" s="927"/>
      <c r="AZ88" s="927"/>
      <c r="BA88" s="927"/>
      <c r="BB88" s="927"/>
      <c r="BC88" s="928"/>
      <c r="BD88" s="929"/>
      <c r="BE88" s="930"/>
      <c r="BF88" s="930"/>
      <c r="BG88" s="931"/>
      <c r="BH88" s="931"/>
      <c r="BI88" s="926"/>
      <c r="BJ88" s="926"/>
      <c r="BK88" s="926"/>
      <c r="BL88" s="926"/>
      <c r="BM88" s="926"/>
      <c r="BN88" s="926"/>
      <c r="BO88" s="926"/>
      <c r="BP88" s="926"/>
      <c r="BQ88" s="926"/>
      <c r="BR88" s="926"/>
      <c r="BS88" s="926"/>
      <c r="BT88" s="926"/>
      <c r="BU88" s="926"/>
      <c r="BV88" s="926"/>
      <c r="BW88" s="926"/>
      <c r="BX88" s="926"/>
      <c r="BY88" s="932"/>
      <c r="BZ88" s="932"/>
      <c r="CA88" s="932"/>
      <c r="CB88" s="932"/>
      <c r="CC88" s="932"/>
      <c r="CD88" s="932"/>
      <c r="CE88" s="932"/>
      <c r="CF88" s="932"/>
    </row>
    <row r="89" spans="1:84" x14ac:dyDescent="0.25">
      <c r="A89" s="876">
        <v>31301</v>
      </c>
      <c r="B89" s="873" t="s">
        <v>1302</v>
      </c>
      <c r="C89" s="921">
        <v>40392365</v>
      </c>
      <c r="D89" s="924">
        <v>2.4859699999999998E-4</v>
      </c>
      <c r="E89" s="925"/>
      <c r="F89" s="926"/>
      <c r="G89" s="926"/>
      <c r="H89" s="926"/>
      <c r="I89" s="926"/>
      <c r="J89" s="926"/>
      <c r="K89" s="926"/>
      <c r="L89" s="926"/>
      <c r="M89" s="926"/>
      <c r="N89" s="926"/>
      <c r="O89" s="926"/>
      <c r="P89" s="926"/>
      <c r="Q89" s="926"/>
      <c r="R89" s="926"/>
      <c r="S89" s="926"/>
      <c r="T89" s="926"/>
      <c r="U89" s="926"/>
      <c r="V89" s="926"/>
      <c r="W89" s="926"/>
      <c r="X89" s="926"/>
      <c r="Y89" s="926"/>
      <c r="Z89" s="926"/>
      <c r="AA89" s="926"/>
      <c r="AB89" s="926"/>
      <c r="AC89" s="926"/>
      <c r="AD89" s="926"/>
      <c r="AE89" s="926"/>
      <c r="AF89" s="926"/>
      <c r="AG89" s="926"/>
      <c r="AH89" s="926"/>
      <c r="AI89" s="926"/>
      <c r="AJ89" s="926"/>
      <c r="AK89" s="926"/>
      <c r="AL89" s="926"/>
      <c r="AM89" s="926"/>
      <c r="AN89" s="926"/>
      <c r="AO89" s="926"/>
      <c r="AP89" s="926"/>
      <c r="AQ89" s="926"/>
      <c r="AR89" s="926"/>
      <c r="AS89" s="926"/>
      <c r="AT89" s="926"/>
      <c r="AU89" s="927"/>
      <c r="AV89" s="927"/>
      <c r="AW89" s="927"/>
      <c r="AX89" s="927"/>
      <c r="AY89" s="927"/>
      <c r="AZ89" s="927"/>
      <c r="BA89" s="927"/>
      <c r="BB89" s="927"/>
      <c r="BC89" s="928"/>
      <c r="BD89" s="929"/>
      <c r="BE89" s="930"/>
      <c r="BF89" s="930"/>
      <c r="BG89" s="931"/>
      <c r="BH89" s="931"/>
      <c r="BI89" s="926"/>
      <c r="BJ89" s="926"/>
      <c r="BK89" s="926"/>
      <c r="BL89" s="926"/>
      <c r="BM89" s="926"/>
      <c r="BN89" s="926"/>
      <c r="BO89" s="926"/>
      <c r="BP89" s="926"/>
      <c r="BQ89" s="926"/>
      <c r="BR89" s="926"/>
      <c r="BS89" s="926"/>
      <c r="BT89" s="926"/>
      <c r="BU89" s="926"/>
      <c r="BV89" s="926"/>
      <c r="BW89" s="926"/>
      <c r="BX89" s="926"/>
      <c r="BY89" s="932"/>
      <c r="BZ89" s="932"/>
      <c r="CA89" s="932"/>
      <c r="CB89" s="932"/>
      <c r="CC89" s="932"/>
      <c r="CD89" s="932"/>
      <c r="CE89" s="932"/>
      <c r="CF89" s="932"/>
    </row>
    <row r="90" spans="1:84" x14ac:dyDescent="0.25">
      <c r="A90" s="876">
        <v>31320</v>
      </c>
      <c r="B90" s="873" t="s">
        <v>1303</v>
      </c>
      <c r="C90" s="921">
        <v>310772603</v>
      </c>
      <c r="D90" s="924">
        <v>1.9126690000000001E-3</v>
      </c>
      <c r="E90" s="925"/>
      <c r="F90" s="926"/>
      <c r="G90" s="926"/>
      <c r="H90" s="926"/>
      <c r="I90" s="926"/>
      <c r="J90" s="926"/>
      <c r="K90" s="926"/>
      <c r="L90" s="926"/>
      <c r="M90" s="926"/>
      <c r="N90" s="926"/>
      <c r="O90" s="926"/>
      <c r="P90" s="926"/>
      <c r="Q90" s="926"/>
      <c r="R90" s="926"/>
      <c r="S90" s="926"/>
      <c r="T90" s="926"/>
      <c r="U90" s="926"/>
      <c r="V90" s="926"/>
      <c r="W90" s="926"/>
      <c r="X90" s="926"/>
      <c r="Y90" s="926"/>
      <c r="Z90" s="926"/>
      <c r="AA90" s="926"/>
      <c r="AB90" s="926"/>
      <c r="AC90" s="926"/>
      <c r="AD90" s="926"/>
      <c r="AE90" s="926"/>
      <c r="AF90" s="926"/>
      <c r="AG90" s="926"/>
      <c r="AH90" s="926"/>
      <c r="AI90" s="926"/>
      <c r="AJ90" s="926"/>
      <c r="AK90" s="926"/>
      <c r="AL90" s="926"/>
      <c r="AM90" s="926"/>
      <c r="AN90" s="926"/>
      <c r="AO90" s="926"/>
      <c r="AP90" s="926"/>
      <c r="AQ90" s="926"/>
      <c r="AR90" s="926"/>
      <c r="AS90" s="926"/>
      <c r="AT90" s="926"/>
      <c r="AU90" s="927"/>
      <c r="AV90" s="927"/>
      <c r="AW90" s="927"/>
      <c r="AX90" s="927"/>
      <c r="AY90" s="927"/>
      <c r="AZ90" s="927"/>
      <c r="BA90" s="927"/>
      <c r="BB90" s="927"/>
      <c r="BC90" s="928"/>
      <c r="BD90" s="929"/>
      <c r="BE90" s="930"/>
      <c r="BF90" s="930"/>
      <c r="BG90" s="931"/>
      <c r="BH90" s="931"/>
      <c r="BI90" s="926"/>
      <c r="BJ90" s="926"/>
      <c r="BK90" s="926"/>
      <c r="BL90" s="926"/>
      <c r="BM90" s="926"/>
      <c r="BN90" s="926"/>
      <c r="BO90" s="926"/>
      <c r="BP90" s="926"/>
      <c r="BQ90" s="926"/>
      <c r="BR90" s="926"/>
      <c r="BS90" s="926"/>
      <c r="BT90" s="926"/>
      <c r="BU90" s="926"/>
      <c r="BV90" s="926"/>
      <c r="BW90" s="926"/>
      <c r="BX90" s="926"/>
      <c r="BY90" s="932"/>
      <c r="BZ90" s="932"/>
      <c r="CA90" s="932"/>
      <c r="CB90" s="932"/>
      <c r="CC90" s="932"/>
      <c r="CD90" s="932"/>
      <c r="CE90" s="932"/>
      <c r="CF90" s="932"/>
    </row>
    <row r="91" spans="1:84" x14ac:dyDescent="0.25">
      <c r="A91" s="876">
        <v>31400</v>
      </c>
      <c r="B91" s="873" t="s">
        <v>1304</v>
      </c>
      <c r="C91" s="921">
        <v>663104167</v>
      </c>
      <c r="D91" s="924">
        <v>4.0811149999999997E-3</v>
      </c>
      <c r="E91" s="925"/>
      <c r="F91" s="926"/>
      <c r="G91" s="926"/>
      <c r="H91" s="926"/>
      <c r="I91" s="926"/>
      <c r="J91" s="926"/>
      <c r="K91" s="926"/>
      <c r="L91" s="926"/>
      <c r="M91" s="926"/>
      <c r="N91" s="926"/>
      <c r="O91" s="926"/>
      <c r="P91" s="926"/>
      <c r="Q91" s="926"/>
      <c r="R91" s="926"/>
      <c r="S91" s="926"/>
      <c r="T91" s="926"/>
      <c r="U91" s="926"/>
      <c r="V91" s="926"/>
      <c r="W91" s="926"/>
      <c r="X91" s="926"/>
      <c r="Y91" s="926"/>
      <c r="Z91" s="926"/>
      <c r="AA91" s="926"/>
      <c r="AB91" s="926"/>
      <c r="AC91" s="926"/>
      <c r="AD91" s="926"/>
      <c r="AE91" s="926"/>
      <c r="AF91" s="926"/>
      <c r="AG91" s="926"/>
      <c r="AH91" s="926"/>
      <c r="AI91" s="926"/>
      <c r="AJ91" s="926"/>
      <c r="AK91" s="926"/>
      <c r="AL91" s="926"/>
      <c r="AM91" s="926"/>
      <c r="AN91" s="926"/>
      <c r="AO91" s="926"/>
      <c r="AP91" s="926"/>
      <c r="AQ91" s="926"/>
      <c r="AR91" s="926"/>
      <c r="AS91" s="926"/>
      <c r="AT91" s="926"/>
      <c r="AU91" s="927"/>
      <c r="AV91" s="927"/>
      <c r="AW91" s="927"/>
      <c r="AX91" s="927"/>
      <c r="AY91" s="927"/>
      <c r="AZ91" s="927"/>
      <c r="BA91" s="927"/>
      <c r="BB91" s="927"/>
      <c r="BC91" s="928"/>
      <c r="BD91" s="929"/>
      <c r="BE91" s="930"/>
      <c r="BF91" s="930"/>
      <c r="BG91" s="931"/>
      <c r="BH91" s="931"/>
      <c r="BI91" s="926"/>
      <c r="BJ91" s="926"/>
      <c r="BK91" s="926"/>
      <c r="BL91" s="926"/>
      <c r="BM91" s="926"/>
      <c r="BN91" s="926"/>
      <c r="BO91" s="926"/>
      <c r="BP91" s="926"/>
      <c r="BQ91" s="926"/>
      <c r="BR91" s="926"/>
      <c r="BS91" s="926"/>
      <c r="BT91" s="926"/>
      <c r="BU91" s="926"/>
      <c r="BV91" s="926"/>
      <c r="BW91" s="926"/>
      <c r="BX91" s="926"/>
      <c r="BY91" s="932"/>
      <c r="BZ91" s="932"/>
      <c r="CA91" s="932"/>
      <c r="CB91" s="932"/>
      <c r="CC91" s="932"/>
      <c r="CD91" s="932"/>
      <c r="CE91" s="932"/>
      <c r="CF91" s="932"/>
    </row>
    <row r="92" spans="1:84" x14ac:dyDescent="0.25">
      <c r="A92" s="876">
        <v>31405</v>
      </c>
      <c r="B92" s="873" t="s">
        <v>1305</v>
      </c>
      <c r="C92" s="921">
        <v>130357194</v>
      </c>
      <c r="D92" s="924">
        <v>8.0229100000000001E-4</v>
      </c>
      <c r="E92" s="925"/>
      <c r="F92" s="926"/>
      <c r="G92" s="926"/>
      <c r="H92" s="926"/>
      <c r="I92" s="926"/>
      <c r="J92" s="926"/>
      <c r="K92" s="926"/>
      <c r="L92" s="926"/>
      <c r="M92" s="926"/>
      <c r="N92" s="926"/>
      <c r="O92" s="926"/>
      <c r="P92" s="926"/>
      <c r="Q92" s="926"/>
      <c r="R92" s="926"/>
      <c r="S92" s="926"/>
      <c r="T92" s="926"/>
      <c r="U92" s="926"/>
      <c r="V92" s="926"/>
      <c r="W92" s="926"/>
      <c r="X92" s="926"/>
      <c r="Y92" s="926"/>
      <c r="Z92" s="926"/>
      <c r="AA92" s="926"/>
      <c r="AB92" s="926"/>
      <c r="AC92" s="926"/>
      <c r="AD92" s="926"/>
      <c r="AE92" s="926"/>
      <c r="AF92" s="926"/>
      <c r="AG92" s="926"/>
      <c r="AH92" s="926"/>
      <c r="AI92" s="926"/>
      <c r="AJ92" s="926"/>
      <c r="AK92" s="926"/>
      <c r="AL92" s="926"/>
      <c r="AM92" s="926"/>
      <c r="AN92" s="926"/>
      <c r="AO92" s="926"/>
      <c r="AP92" s="926"/>
      <c r="AQ92" s="926"/>
      <c r="AR92" s="926"/>
      <c r="AS92" s="926"/>
      <c r="AT92" s="926"/>
      <c r="AU92" s="927"/>
      <c r="AV92" s="927"/>
      <c r="AW92" s="927"/>
      <c r="AX92" s="927"/>
      <c r="AY92" s="927"/>
      <c r="AZ92" s="927"/>
      <c r="BA92" s="927"/>
      <c r="BB92" s="927"/>
      <c r="BC92" s="928"/>
      <c r="BD92" s="929"/>
      <c r="BE92" s="930"/>
      <c r="BF92" s="930"/>
      <c r="BG92" s="931"/>
      <c r="BH92" s="931"/>
      <c r="BI92" s="926"/>
      <c r="BJ92" s="926"/>
      <c r="BK92" s="926"/>
      <c r="BL92" s="926"/>
      <c r="BM92" s="926"/>
      <c r="BN92" s="926"/>
      <c r="BO92" s="926"/>
      <c r="BP92" s="926"/>
      <c r="BQ92" s="926"/>
      <c r="BR92" s="926"/>
      <c r="BS92" s="926"/>
      <c r="BT92" s="926"/>
      <c r="BU92" s="926"/>
      <c r="BV92" s="926"/>
      <c r="BW92" s="926"/>
      <c r="BX92" s="926"/>
      <c r="BY92" s="932"/>
      <c r="BZ92" s="932"/>
      <c r="CA92" s="932"/>
      <c r="CB92" s="932"/>
      <c r="CC92" s="932"/>
      <c r="CD92" s="932"/>
      <c r="CE92" s="932"/>
      <c r="CF92" s="932"/>
    </row>
    <row r="93" spans="1:84" x14ac:dyDescent="0.25">
      <c r="A93" s="876">
        <v>31500</v>
      </c>
      <c r="B93" s="873" t="s">
        <v>1306</v>
      </c>
      <c r="C93" s="921">
        <v>100643995</v>
      </c>
      <c r="D93" s="924">
        <v>6.1941999999999997E-4</v>
      </c>
      <c r="E93" s="925"/>
      <c r="F93" s="926"/>
      <c r="G93" s="926"/>
      <c r="H93" s="926"/>
      <c r="I93" s="926"/>
      <c r="J93" s="926"/>
      <c r="K93" s="926"/>
      <c r="L93" s="926"/>
      <c r="M93" s="926"/>
      <c r="N93" s="926"/>
      <c r="O93" s="926"/>
      <c r="P93" s="926"/>
      <c r="Q93" s="926"/>
      <c r="R93" s="926"/>
      <c r="S93" s="926"/>
      <c r="T93" s="926"/>
      <c r="U93" s="926"/>
      <c r="V93" s="926"/>
      <c r="W93" s="926"/>
      <c r="X93" s="926"/>
      <c r="Y93" s="926"/>
      <c r="Z93" s="926"/>
      <c r="AA93" s="926"/>
      <c r="AB93" s="926"/>
      <c r="AC93" s="926"/>
      <c r="AD93" s="926"/>
      <c r="AE93" s="926"/>
      <c r="AF93" s="926"/>
      <c r="AG93" s="926"/>
      <c r="AH93" s="926"/>
      <c r="AI93" s="926"/>
      <c r="AJ93" s="926"/>
      <c r="AK93" s="926"/>
      <c r="AL93" s="926"/>
      <c r="AM93" s="926"/>
      <c r="AN93" s="926"/>
      <c r="AO93" s="926"/>
      <c r="AP93" s="926"/>
      <c r="AQ93" s="926"/>
      <c r="AR93" s="926"/>
      <c r="AS93" s="926"/>
      <c r="AT93" s="926"/>
      <c r="AU93" s="927"/>
      <c r="AV93" s="927"/>
      <c r="AW93" s="927"/>
      <c r="AX93" s="927"/>
      <c r="AY93" s="927"/>
      <c r="AZ93" s="927"/>
      <c r="BA93" s="927"/>
      <c r="BB93" s="927"/>
      <c r="BC93" s="928"/>
      <c r="BD93" s="929"/>
      <c r="BE93" s="930"/>
      <c r="BF93" s="930"/>
      <c r="BG93" s="931"/>
      <c r="BH93" s="931"/>
      <c r="BI93" s="926"/>
      <c r="BJ93" s="926"/>
      <c r="BK93" s="926"/>
      <c r="BL93" s="926"/>
      <c r="BM93" s="926"/>
      <c r="BN93" s="926"/>
      <c r="BO93" s="926"/>
      <c r="BP93" s="926"/>
      <c r="BQ93" s="926"/>
      <c r="BR93" s="926"/>
      <c r="BS93" s="926"/>
      <c r="BT93" s="926"/>
      <c r="BU93" s="926"/>
      <c r="BV93" s="926"/>
      <c r="BW93" s="926"/>
      <c r="BX93" s="926"/>
      <c r="BY93" s="932"/>
      <c r="BZ93" s="932"/>
      <c r="CA93" s="932"/>
      <c r="CB93" s="932"/>
      <c r="CC93" s="932"/>
      <c r="CD93" s="932"/>
      <c r="CE93" s="932"/>
      <c r="CF93" s="932"/>
    </row>
    <row r="94" spans="1:84" x14ac:dyDescent="0.25">
      <c r="A94" s="876">
        <v>31600</v>
      </c>
      <c r="B94" s="873" t="s">
        <v>1307</v>
      </c>
      <c r="C94" s="921">
        <v>468853330</v>
      </c>
      <c r="D94" s="924">
        <v>2.8855859999999999E-3</v>
      </c>
      <c r="E94" s="925"/>
      <c r="F94" s="926"/>
      <c r="G94" s="926"/>
      <c r="H94" s="926"/>
      <c r="I94" s="926"/>
      <c r="J94" s="926"/>
      <c r="K94" s="926"/>
      <c r="L94" s="926"/>
      <c r="M94" s="926"/>
      <c r="N94" s="926"/>
      <c r="O94" s="926"/>
      <c r="P94" s="926"/>
      <c r="Q94" s="926"/>
      <c r="R94" s="926"/>
      <c r="S94" s="926"/>
      <c r="T94" s="926"/>
      <c r="U94" s="926"/>
      <c r="V94" s="926"/>
      <c r="W94" s="926"/>
      <c r="X94" s="926"/>
      <c r="Y94" s="926"/>
      <c r="Z94" s="926"/>
      <c r="AA94" s="926"/>
      <c r="AB94" s="926"/>
      <c r="AC94" s="926"/>
      <c r="AD94" s="926"/>
      <c r="AE94" s="926"/>
      <c r="AF94" s="926"/>
      <c r="AG94" s="926"/>
      <c r="AH94" s="926"/>
      <c r="AI94" s="926"/>
      <c r="AJ94" s="926"/>
      <c r="AK94" s="926"/>
      <c r="AL94" s="926"/>
      <c r="AM94" s="926"/>
      <c r="AN94" s="926"/>
      <c r="AO94" s="926"/>
      <c r="AP94" s="926"/>
      <c r="AQ94" s="926"/>
      <c r="AR94" s="926"/>
      <c r="AS94" s="926"/>
      <c r="AT94" s="926"/>
      <c r="AU94" s="927"/>
      <c r="AV94" s="927"/>
      <c r="AW94" s="927"/>
      <c r="AX94" s="927"/>
      <c r="AY94" s="927"/>
      <c r="AZ94" s="927"/>
      <c r="BA94" s="927"/>
      <c r="BB94" s="927"/>
      <c r="BC94" s="928"/>
      <c r="BD94" s="929"/>
      <c r="BE94" s="930"/>
      <c r="BF94" s="930"/>
      <c r="BG94" s="931"/>
      <c r="BH94" s="931"/>
      <c r="BI94" s="926"/>
      <c r="BJ94" s="926"/>
      <c r="BK94" s="926"/>
      <c r="BL94" s="926"/>
      <c r="BM94" s="926"/>
      <c r="BN94" s="926"/>
      <c r="BO94" s="926"/>
      <c r="BP94" s="926"/>
      <c r="BQ94" s="926"/>
      <c r="BR94" s="926"/>
      <c r="BS94" s="926"/>
      <c r="BT94" s="926"/>
      <c r="BU94" s="926"/>
      <c r="BV94" s="926"/>
      <c r="BW94" s="926"/>
      <c r="BX94" s="926"/>
      <c r="BY94" s="932"/>
      <c r="BZ94" s="932"/>
      <c r="CA94" s="932"/>
      <c r="CB94" s="932"/>
      <c r="CC94" s="932"/>
      <c r="CD94" s="932"/>
      <c r="CE94" s="932"/>
      <c r="CF94" s="932"/>
    </row>
    <row r="95" spans="1:84" x14ac:dyDescent="0.25">
      <c r="A95" s="876">
        <v>31605</v>
      </c>
      <c r="B95" s="873" t="s">
        <v>1308</v>
      </c>
      <c r="C95" s="921">
        <v>66199083</v>
      </c>
      <c r="D95" s="924">
        <v>4.0742600000000001E-4</v>
      </c>
      <c r="E95" s="925"/>
      <c r="F95" s="926"/>
      <c r="G95" s="926"/>
      <c r="H95" s="926"/>
      <c r="I95" s="926"/>
      <c r="J95" s="926"/>
      <c r="K95" s="926"/>
      <c r="L95" s="926"/>
      <c r="M95" s="926"/>
      <c r="N95" s="926"/>
      <c r="O95" s="926"/>
      <c r="P95" s="926"/>
      <c r="Q95" s="926"/>
      <c r="R95" s="926"/>
      <c r="S95" s="926"/>
      <c r="T95" s="926"/>
      <c r="U95" s="926"/>
      <c r="V95" s="926"/>
      <c r="W95" s="926"/>
      <c r="X95" s="926"/>
      <c r="Y95" s="926"/>
      <c r="Z95" s="926"/>
      <c r="AA95" s="926"/>
      <c r="AB95" s="926"/>
      <c r="AC95" s="926"/>
      <c r="AD95" s="926"/>
      <c r="AE95" s="926"/>
      <c r="AF95" s="926"/>
      <c r="AG95" s="926"/>
      <c r="AH95" s="926"/>
      <c r="AI95" s="926"/>
      <c r="AJ95" s="926"/>
      <c r="AK95" s="926"/>
      <c r="AL95" s="926"/>
      <c r="AM95" s="926"/>
      <c r="AN95" s="926"/>
      <c r="AO95" s="926"/>
      <c r="AP95" s="926"/>
      <c r="AQ95" s="926"/>
      <c r="AR95" s="926"/>
      <c r="AS95" s="926"/>
      <c r="AT95" s="926"/>
      <c r="AU95" s="927"/>
      <c r="AV95" s="927"/>
      <c r="AW95" s="927"/>
      <c r="AX95" s="927"/>
      <c r="AY95" s="927"/>
      <c r="AZ95" s="927"/>
      <c r="BA95" s="927"/>
      <c r="BB95" s="927"/>
      <c r="BC95" s="928"/>
      <c r="BD95" s="929"/>
      <c r="BE95" s="930"/>
      <c r="BF95" s="930"/>
      <c r="BG95" s="931"/>
      <c r="BH95" s="931"/>
      <c r="BI95" s="926"/>
      <c r="BJ95" s="926"/>
      <c r="BK95" s="926"/>
      <c r="BL95" s="926"/>
      <c r="BM95" s="926"/>
      <c r="BN95" s="926"/>
      <c r="BO95" s="926"/>
      <c r="BP95" s="926"/>
      <c r="BQ95" s="926"/>
      <c r="BR95" s="926"/>
      <c r="BS95" s="926"/>
      <c r="BT95" s="926"/>
      <c r="BU95" s="926"/>
      <c r="BV95" s="926"/>
      <c r="BW95" s="926"/>
      <c r="BX95" s="926"/>
      <c r="BY95" s="932"/>
      <c r="BZ95" s="932"/>
      <c r="CA95" s="932"/>
      <c r="CB95" s="932"/>
      <c r="CC95" s="932"/>
      <c r="CD95" s="932"/>
      <c r="CE95" s="932"/>
      <c r="CF95" s="932"/>
    </row>
    <row r="96" spans="1:84" x14ac:dyDescent="0.25">
      <c r="A96" s="876">
        <v>31700</v>
      </c>
      <c r="B96" s="873" t="s">
        <v>1309</v>
      </c>
      <c r="C96" s="921">
        <v>144962424</v>
      </c>
      <c r="D96" s="924">
        <v>8.9218000000000001E-4</v>
      </c>
      <c r="E96" s="925"/>
      <c r="F96" s="926"/>
      <c r="G96" s="926"/>
      <c r="H96" s="926"/>
      <c r="I96" s="926"/>
      <c r="J96" s="926"/>
      <c r="K96" s="926"/>
      <c r="L96" s="926"/>
      <c r="M96" s="926"/>
      <c r="N96" s="926"/>
      <c r="O96" s="926"/>
      <c r="P96" s="926"/>
      <c r="Q96" s="926"/>
      <c r="R96" s="926"/>
      <c r="S96" s="926"/>
      <c r="T96" s="926"/>
      <c r="U96" s="926"/>
      <c r="V96" s="926"/>
      <c r="W96" s="926"/>
      <c r="X96" s="926"/>
      <c r="Y96" s="926"/>
      <c r="Z96" s="926"/>
      <c r="AA96" s="926"/>
      <c r="AB96" s="926"/>
      <c r="AC96" s="926"/>
      <c r="AD96" s="926"/>
      <c r="AE96" s="926"/>
      <c r="AF96" s="926"/>
      <c r="AG96" s="926"/>
      <c r="AH96" s="926"/>
      <c r="AI96" s="926"/>
      <c r="AJ96" s="926"/>
      <c r="AK96" s="926"/>
      <c r="AL96" s="926"/>
      <c r="AM96" s="926"/>
      <c r="AN96" s="926"/>
      <c r="AO96" s="926"/>
      <c r="AP96" s="926"/>
      <c r="AQ96" s="926"/>
      <c r="AR96" s="926"/>
      <c r="AS96" s="926"/>
      <c r="AT96" s="926"/>
      <c r="AU96" s="927"/>
      <c r="AV96" s="927"/>
      <c r="AW96" s="927"/>
      <c r="AX96" s="927"/>
      <c r="AY96" s="927"/>
      <c r="AZ96" s="927"/>
      <c r="BA96" s="927"/>
      <c r="BB96" s="927"/>
      <c r="BC96" s="928"/>
      <c r="BD96" s="929"/>
      <c r="BE96" s="930"/>
      <c r="BF96" s="930"/>
      <c r="BG96" s="931"/>
      <c r="BH96" s="931"/>
      <c r="BI96" s="926"/>
      <c r="BJ96" s="926"/>
      <c r="BK96" s="926"/>
      <c r="BL96" s="926"/>
      <c r="BM96" s="926"/>
      <c r="BN96" s="926"/>
      <c r="BO96" s="926"/>
      <c r="BP96" s="926"/>
      <c r="BQ96" s="926"/>
      <c r="BR96" s="926"/>
      <c r="BS96" s="926"/>
      <c r="BT96" s="926"/>
      <c r="BU96" s="926"/>
      <c r="BV96" s="926"/>
      <c r="BW96" s="926"/>
      <c r="BX96" s="926"/>
      <c r="BY96" s="932"/>
      <c r="BZ96" s="932"/>
      <c r="CA96" s="932"/>
      <c r="CB96" s="932"/>
      <c r="CC96" s="932"/>
      <c r="CD96" s="932"/>
      <c r="CE96" s="932"/>
      <c r="CF96" s="932"/>
    </row>
    <row r="97" spans="1:84" x14ac:dyDescent="0.25">
      <c r="A97" s="876">
        <v>31800</v>
      </c>
      <c r="B97" s="873" t="s">
        <v>1310</v>
      </c>
      <c r="C97" s="921">
        <v>826363316</v>
      </c>
      <c r="D97" s="924">
        <v>5.0859030000000001E-3</v>
      </c>
      <c r="E97" s="925"/>
      <c r="F97" s="926"/>
      <c r="G97" s="926"/>
      <c r="H97" s="926"/>
      <c r="I97" s="926"/>
      <c r="J97" s="926"/>
      <c r="K97" s="926"/>
      <c r="L97" s="926"/>
      <c r="M97" s="926"/>
      <c r="N97" s="926"/>
      <c r="O97" s="926"/>
      <c r="P97" s="926"/>
      <c r="Q97" s="926"/>
      <c r="R97" s="926"/>
      <c r="S97" s="926"/>
      <c r="T97" s="926"/>
      <c r="U97" s="926"/>
      <c r="V97" s="926"/>
      <c r="W97" s="926"/>
      <c r="X97" s="926"/>
      <c r="Y97" s="926"/>
      <c r="Z97" s="926"/>
      <c r="AA97" s="926"/>
      <c r="AB97" s="926"/>
      <c r="AC97" s="926"/>
      <c r="AD97" s="926"/>
      <c r="AE97" s="926"/>
      <c r="AF97" s="926"/>
      <c r="AG97" s="926"/>
      <c r="AH97" s="926"/>
      <c r="AI97" s="926"/>
      <c r="AJ97" s="926"/>
      <c r="AK97" s="926"/>
      <c r="AL97" s="926"/>
      <c r="AM97" s="926"/>
      <c r="AN97" s="926"/>
      <c r="AO97" s="926"/>
      <c r="AP97" s="926"/>
      <c r="AQ97" s="926"/>
      <c r="AR97" s="926"/>
      <c r="AS97" s="926"/>
      <c r="AT97" s="926"/>
      <c r="AU97" s="927"/>
      <c r="AV97" s="927"/>
      <c r="AW97" s="927"/>
      <c r="AX97" s="927"/>
      <c r="AY97" s="927"/>
      <c r="AZ97" s="927"/>
      <c r="BA97" s="927"/>
      <c r="BB97" s="927"/>
      <c r="BC97" s="928"/>
      <c r="BD97" s="929"/>
      <c r="BE97" s="930"/>
      <c r="BF97" s="930"/>
      <c r="BG97" s="931"/>
      <c r="BH97" s="931"/>
      <c r="BI97" s="926"/>
      <c r="BJ97" s="926"/>
      <c r="BK97" s="926"/>
      <c r="BL97" s="926"/>
      <c r="BM97" s="926"/>
      <c r="BN97" s="926"/>
      <c r="BO97" s="926"/>
      <c r="BP97" s="926"/>
      <c r="BQ97" s="926"/>
      <c r="BR97" s="926"/>
      <c r="BS97" s="926"/>
      <c r="BT97" s="926"/>
      <c r="BU97" s="926"/>
      <c r="BV97" s="926"/>
      <c r="BW97" s="926"/>
      <c r="BX97" s="926"/>
      <c r="BY97" s="932"/>
      <c r="BZ97" s="932"/>
      <c r="CA97" s="932"/>
      <c r="CB97" s="932"/>
      <c r="CC97" s="932"/>
      <c r="CD97" s="932"/>
      <c r="CE97" s="932"/>
      <c r="CF97" s="932"/>
    </row>
    <row r="98" spans="1:84" x14ac:dyDescent="0.25">
      <c r="A98" s="876">
        <v>31805</v>
      </c>
      <c r="B98" s="873" t="s">
        <v>1311</v>
      </c>
      <c r="C98" s="921">
        <v>163135195</v>
      </c>
      <c r="D98" s="924">
        <v>1.004025E-3</v>
      </c>
      <c r="E98" s="925"/>
      <c r="F98" s="926"/>
      <c r="G98" s="926"/>
      <c r="H98" s="926"/>
      <c r="I98" s="926"/>
      <c r="J98" s="926"/>
      <c r="K98" s="926"/>
      <c r="L98" s="926"/>
      <c r="M98" s="926"/>
      <c r="N98" s="926"/>
      <c r="O98" s="926"/>
      <c r="P98" s="926"/>
      <c r="Q98" s="926"/>
      <c r="R98" s="926"/>
      <c r="S98" s="926"/>
      <c r="T98" s="926"/>
      <c r="U98" s="926"/>
      <c r="V98" s="926"/>
      <c r="W98" s="926"/>
      <c r="X98" s="926"/>
      <c r="Y98" s="926"/>
      <c r="Z98" s="926"/>
      <c r="AA98" s="926"/>
      <c r="AB98" s="926"/>
      <c r="AC98" s="926"/>
      <c r="AD98" s="926"/>
      <c r="AE98" s="926"/>
      <c r="AF98" s="926"/>
      <c r="AG98" s="926"/>
      <c r="AH98" s="926"/>
      <c r="AI98" s="926"/>
      <c r="AJ98" s="926"/>
      <c r="AK98" s="926"/>
      <c r="AL98" s="926"/>
      <c r="AM98" s="926"/>
      <c r="AN98" s="926"/>
      <c r="AO98" s="926"/>
      <c r="AP98" s="926"/>
      <c r="AQ98" s="926"/>
      <c r="AR98" s="926"/>
      <c r="AS98" s="926"/>
      <c r="AT98" s="926"/>
      <c r="AU98" s="927"/>
      <c r="AV98" s="927"/>
      <c r="AW98" s="927"/>
      <c r="AX98" s="927"/>
      <c r="AY98" s="927"/>
      <c r="AZ98" s="927"/>
      <c r="BA98" s="927"/>
      <c r="BB98" s="927"/>
      <c r="BC98" s="928"/>
      <c r="BD98" s="929"/>
      <c r="BE98" s="930"/>
      <c r="BF98" s="930"/>
      <c r="BG98" s="931"/>
      <c r="BH98" s="931"/>
      <c r="BI98" s="926"/>
      <c r="BJ98" s="926"/>
      <c r="BK98" s="926"/>
      <c r="BL98" s="926"/>
      <c r="BM98" s="926"/>
      <c r="BN98" s="926"/>
      <c r="BO98" s="926"/>
      <c r="BP98" s="926"/>
      <c r="BQ98" s="926"/>
      <c r="BR98" s="926"/>
      <c r="BS98" s="926"/>
      <c r="BT98" s="926"/>
      <c r="BU98" s="926"/>
      <c r="BV98" s="926"/>
      <c r="BW98" s="926"/>
      <c r="BX98" s="926"/>
      <c r="BY98" s="932"/>
      <c r="BZ98" s="932"/>
      <c r="CA98" s="932"/>
      <c r="CB98" s="932"/>
      <c r="CC98" s="932"/>
      <c r="CD98" s="932"/>
      <c r="CE98" s="932"/>
      <c r="CF98" s="932"/>
    </row>
    <row r="99" spans="1:84" x14ac:dyDescent="0.25">
      <c r="A99" s="876">
        <v>31810</v>
      </c>
      <c r="B99" s="873" t="s">
        <v>1312</v>
      </c>
      <c r="C99" s="921">
        <v>223120570</v>
      </c>
      <c r="D99" s="924">
        <v>1.373209E-3</v>
      </c>
      <c r="E99" s="925"/>
      <c r="F99" s="926"/>
      <c r="G99" s="926"/>
      <c r="H99" s="926"/>
      <c r="I99" s="926"/>
      <c r="J99" s="926"/>
      <c r="K99" s="926"/>
      <c r="L99" s="926"/>
      <c r="M99" s="926"/>
      <c r="N99" s="926"/>
      <c r="O99" s="926"/>
      <c r="P99" s="926"/>
      <c r="Q99" s="926"/>
      <c r="R99" s="926"/>
      <c r="S99" s="926"/>
      <c r="T99" s="926"/>
      <c r="U99" s="926"/>
      <c r="V99" s="926"/>
      <c r="W99" s="926"/>
      <c r="X99" s="926"/>
      <c r="Y99" s="926"/>
      <c r="Z99" s="926"/>
      <c r="AA99" s="926"/>
      <c r="AB99" s="926"/>
      <c r="AC99" s="926"/>
      <c r="AD99" s="926"/>
      <c r="AE99" s="926"/>
      <c r="AF99" s="926"/>
      <c r="AG99" s="926"/>
      <c r="AH99" s="926"/>
      <c r="AI99" s="926"/>
      <c r="AJ99" s="926"/>
      <c r="AK99" s="926"/>
      <c r="AL99" s="926"/>
      <c r="AM99" s="926"/>
      <c r="AN99" s="926"/>
      <c r="AO99" s="926"/>
      <c r="AP99" s="926"/>
      <c r="AQ99" s="926"/>
      <c r="AR99" s="926"/>
      <c r="AS99" s="926"/>
      <c r="AT99" s="926"/>
      <c r="AU99" s="927"/>
      <c r="AV99" s="927"/>
      <c r="AW99" s="927"/>
      <c r="AX99" s="927"/>
      <c r="AY99" s="927"/>
      <c r="AZ99" s="927"/>
      <c r="BA99" s="927"/>
      <c r="BB99" s="927"/>
      <c r="BC99" s="928"/>
      <c r="BD99" s="929"/>
      <c r="BE99" s="930"/>
      <c r="BF99" s="930"/>
      <c r="BG99" s="931"/>
      <c r="BH99" s="931"/>
      <c r="BI99" s="926"/>
      <c r="BJ99" s="926"/>
      <c r="BK99" s="926"/>
      <c r="BL99" s="926"/>
      <c r="BM99" s="926"/>
      <c r="BN99" s="926"/>
      <c r="BO99" s="926"/>
      <c r="BP99" s="926"/>
      <c r="BQ99" s="926"/>
      <c r="BR99" s="926"/>
      <c r="BS99" s="926"/>
      <c r="BT99" s="926"/>
      <c r="BU99" s="926"/>
      <c r="BV99" s="926"/>
      <c r="BW99" s="926"/>
      <c r="BX99" s="926"/>
      <c r="BY99" s="932"/>
      <c r="BZ99" s="932"/>
      <c r="CA99" s="932"/>
      <c r="CB99" s="932"/>
      <c r="CC99" s="932"/>
      <c r="CD99" s="932"/>
      <c r="CE99" s="932"/>
      <c r="CF99" s="932"/>
    </row>
    <row r="100" spans="1:84" x14ac:dyDescent="0.25">
      <c r="A100" s="876">
        <v>31820</v>
      </c>
      <c r="B100" s="873" t="s">
        <v>1313</v>
      </c>
      <c r="C100" s="921">
        <v>188824800</v>
      </c>
      <c r="D100" s="924">
        <v>1.162134E-3</v>
      </c>
      <c r="E100" s="925"/>
      <c r="F100" s="926"/>
      <c r="G100" s="926"/>
      <c r="H100" s="926"/>
      <c r="I100" s="926"/>
      <c r="J100" s="926"/>
      <c r="K100" s="926"/>
      <c r="L100" s="926"/>
      <c r="M100" s="926"/>
      <c r="N100" s="926"/>
      <c r="O100" s="926"/>
      <c r="P100" s="926"/>
      <c r="Q100" s="926"/>
      <c r="R100" s="926"/>
      <c r="S100" s="926"/>
      <c r="T100" s="926"/>
      <c r="U100" s="926"/>
      <c r="V100" s="926"/>
      <c r="W100" s="926"/>
      <c r="X100" s="926"/>
      <c r="Y100" s="926"/>
      <c r="Z100" s="926"/>
      <c r="AA100" s="926"/>
      <c r="AB100" s="926"/>
      <c r="AC100" s="926"/>
      <c r="AD100" s="926"/>
      <c r="AE100" s="926"/>
      <c r="AF100" s="926"/>
      <c r="AG100" s="926"/>
      <c r="AH100" s="926"/>
      <c r="AI100" s="926"/>
      <c r="AJ100" s="926"/>
      <c r="AK100" s="926"/>
      <c r="AL100" s="926"/>
      <c r="AM100" s="926"/>
      <c r="AN100" s="926"/>
      <c r="AO100" s="926"/>
      <c r="AP100" s="926"/>
      <c r="AQ100" s="926"/>
      <c r="AR100" s="926"/>
      <c r="AS100" s="926"/>
      <c r="AT100" s="926"/>
      <c r="AU100" s="927"/>
      <c r="AV100" s="927"/>
      <c r="AW100" s="927"/>
      <c r="AX100" s="927"/>
      <c r="AY100" s="927"/>
      <c r="AZ100" s="927"/>
      <c r="BA100" s="927"/>
      <c r="BB100" s="927"/>
      <c r="BC100" s="928"/>
      <c r="BD100" s="929"/>
      <c r="BE100" s="930"/>
      <c r="BF100" s="930"/>
      <c r="BG100" s="931"/>
      <c r="BH100" s="931"/>
      <c r="BI100" s="926"/>
      <c r="BJ100" s="926"/>
      <c r="BK100" s="926"/>
      <c r="BL100" s="926"/>
      <c r="BM100" s="926"/>
      <c r="BN100" s="926"/>
      <c r="BO100" s="926"/>
      <c r="BP100" s="926"/>
      <c r="BQ100" s="926"/>
      <c r="BR100" s="926"/>
      <c r="BS100" s="926"/>
      <c r="BT100" s="926"/>
      <c r="BU100" s="926"/>
      <c r="BV100" s="926"/>
      <c r="BW100" s="926"/>
      <c r="BX100" s="926"/>
      <c r="BY100" s="932"/>
      <c r="BZ100" s="932"/>
      <c r="CA100" s="932"/>
      <c r="CB100" s="932"/>
      <c r="CC100" s="932"/>
      <c r="CD100" s="932"/>
      <c r="CE100" s="932"/>
      <c r="CF100" s="932"/>
    </row>
    <row r="101" spans="1:84" x14ac:dyDescent="0.25">
      <c r="A101" s="876">
        <v>31900</v>
      </c>
      <c r="B101" s="873" t="s">
        <v>1314</v>
      </c>
      <c r="C101" s="921">
        <v>528795790</v>
      </c>
      <c r="D101" s="924">
        <v>3.2545059999999999E-3</v>
      </c>
      <c r="E101" s="925"/>
      <c r="F101" s="926"/>
      <c r="G101" s="926"/>
      <c r="H101" s="926"/>
      <c r="I101" s="926"/>
      <c r="J101" s="926"/>
      <c r="K101" s="926"/>
      <c r="L101" s="926"/>
      <c r="M101" s="926"/>
      <c r="N101" s="926"/>
      <c r="O101" s="926"/>
      <c r="P101" s="926"/>
      <c r="Q101" s="926"/>
      <c r="R101" s="926"/>
      <c r="S101" s="926"/>
      <c r="T101" s="926"/>
      <c r="U101" s="926"/>
      <c r="V101" s="926"/>
      <c r="W101" s="926"/>
      <c r="X101" s="926"/>
      <c r="Y101" s="926"/>
      <c r="Z101" s="926"/>
      <c r="AA101" s="926"/>
      <c r="AB101" s="926"/>
      <c r="AC101" s="926"/>
      <c r="AD101" s="926"/>
      <c r="AE101" s="926"/>
      <c r="AF101" s="926"/>
      <c r="AG101" s="926"/>
      <c r="AH101" s="926"/>
      <c r="AI101" s="926"/>
      <c r="AJ101" s="926"/>
      <c r="AK101" s="926"/>
      <c r="AL101" s="926"/>
      <c r="AM101" s="926"/>
      <c r="AN101" s="926"/>
      <c r="AO101" s="926"/>
      <c r="AP101" s="926"/>
      <c r="AQ101" s="926"/>
      <c r="AR101" s="926"/>
      <c r="AS101" s="926"/>
      <c r="AT101" s="926"/>
      <c r="AU101" s="927"/>
      <c r="AV101" s="927"/>
      <c r="AW101" s="927"/>
      <c r="AX101" s="927"/>
      <c r="AY101" s="927"/>
      <c r="AZ101" s="927"/>
      <c r="BA101" s="927"/>
      <c r="BB101" s="927"/>
      <c r="BC101" s="928"/>
      <c r="BD101" s="929"/>
      <c r="BE101" s="930"/>
      <c r="BF101" s="930"/>
      <c r="BG101" s="931"/>
      <c r="BH101" s="931"/>
      <c r="BI101" s="926"/>
      <c r="BJ101" s="926"/>
      <c r="BK101" s="926"/>
      <c r="BL101" s="926"/>
      <c r="BM101" s="926"/>
      <c r="BN101" s="926"/>
      <c r="BO101" s="926"/>
      <c r="BP101" s="926"/>
      <c r="BQ101" s="926"/>
      <c r="BR101" s="926"/>
      <c r="BS101" s="926"/>
      <c r="BT101" s="926"/>
      <c r="BU101" s="926"/>
      <c r="BV101" s="926"/>
      <c r="BW101" s="926"/>
      <c r="BX101" s="926"/>
      <c r="BY101" s="932"/>
      <c r="BZ101" s="932"/>
      <c r="CA101" s="932"/>
      <c r="CB101" s="932"/>
      <c r="CC101" s="932"/>
      <c r="CD101" s="932"/>
      <c r="CE101" s="932"/>
      <c r="CF101" s="932"/>
    </row>
    <row r="102" spans="1:84" x14ac:dyDescent="0.25">
      <c r="A102" s="876">
        <v>32000</v>
      </c>
      <c r="B102" s="873" t="s">
        <v>1315</v>
      </c>
      <c r="C102" s="921">
        <v>211306452</v>
      </c>
      <c r="D102" s="924">
        <v>1.300498E-3</v>
      </c>
      <c r="E102" s="925"/>
      <c r="F102" s="926"/>
      <c r="G102" s="926"/>
      <c r="H102" s="926"/>
      <c r="I102" s="926"/>
      <c r="J102" s="926"/>
      <c r="K102" s="926"/>
      <c r="L102" s="926"/>
      <c r="M102" s="926"/>
      <c r="N102" s="926"/>
      <c r="O102" s="926"/>
      <c r="P102" s="926"/>
      <c r="Q102" s="926"/>
      <c r="R102" s="926"/>
      <c r="S102" s="926"/>
      <c r="T102" s="926"/>
      <c r="U102" s="926"/>
      <c r="V102" s="926"/>
      <c r="W102" s="926"/>
      <c r="X102" s="926"/>
      <c r="Y102" s="926"/>
      <c r="Z102" s="926"/>
      <c r="AA102" s="926"/>
      <c r="AB102" s="926"/>
      <c r="AC102" s="926"/>
      <c r="AD102" s="926"/>
      <c r="AE102" s="926"/>
      <c r="AF102" s="926"/>
      <c r="AG102" s="926"/>
      <c r="AH102" s="926"/>
      <c r="AI102" s="926"/>
      <c r="AJ102" s="926"/>
      <c r="AK102" s="926"/>
      <c r="AL102" s="926"/>
      <c r="AM102" s="926"/>
      <c r="AN102" s="926"/>
      <c r="AO102" s="926"/>
      <c r="AP102" s="926"/>
      <c r="AQ102" s="926"/>
      <c r="AR102" s="926"/>
      <c r="AS102" s="926"/>
      <c r="AT102" s="926"/>
      <c r="AU102" s="927"/>
      <c r="AV102" s="927"/>
      <c r="AW102" s="927"/>
      <c r="AX102" s="927"/>
      <c r="AY102" s="927"/>
      <c r="AZ102" s="927"/>
      <c r="BA102" s="927"/>
      <c r="BB102" s="927"/>
      <c r="BC102" s="928"/>
      <c r="BD102" s="929"/>
      <c r="BE102" s="930"/>
      <c r="BF102" s="930"/>
      <c r="BG102" s="931"/>
      <c r="BH102" s="931"/>
      <c r="BI102" s="926"/>
      <c r="BJ102" s="926"/>
      <c r="BK102" s="926"/>
      <c r="BL102" s="926"/>
      <c r="BM102" s="926"/>
      <c r="BN102" s="926"/>
      <c r="BO102" s="926"/>
      <c r="BP102" s="926"/>
      <c r="BQ102" s="926"/>
      <c r="BR102" s="926"/>
      <c r="BS102" s="926"/>
      <c r="BT102" s="926"/>
      <c r="BU102" s="926"/>
      <c r="BV102" s="926"/>
      <c r="BW102" s="926"/>
      <c r="BX102" s="926"/>
      <c r="BY102" s="932"/>
      <c r="BZ102" s="932"/>
      <c r="CA102" s="932"/>
      <c r="CB102" s="932"/>
      <c r="CC102" s="932"/>
      <c r="CD102" s="932"/>
      <c r="CE102" s="932"/>
      <c r="CF102" s="932"/>
    </row>
    <row r="103" spans="1:84" x14ac:dyDescent="0.25">
      <c r="A103" s="876">
        <v>32005</v>
      </c>
      <c r="B103" s="873" t="s">
        <v>1316</v>
      </c>
      <c r="C103" s="921">
        <v>45856631</v>
      </c>
      <c r="D103" s="924">
        <v>2.8222700000000002E-4</v>
      </c>
      <c r="E103" s="925"/>
      <c r="F103" s="926"/>
      <c r="G103" s="926"/>
      <c r="H103" s="926"/>
      <c r="I103" s="926"/>
      <c r="J103" s="926"/>
      <c r="K103" s="926"/>
      <c r="L103" s="926"/>
      <c r="M103" s="926"/>
      <c r="N103" s="926"/>
      <c r="O103" s="926"/>
      <c r="P103" s="926"/>
      <c r="Q103" s="926"/>
      <c r="R103" s="926"/>
      <c r="S103" s="926"/>
      <c r="T103" s="926"/>
      <c r="U103" s="926"/>
      <c r="V103" s="926"/>
      <c r="W103" s="926"/>
      <c r="X103" s="926"/>
      <c r="Y103" s="926"/>
      <c r="Z103" s="926"/>
      <c r="AA103" s="926"/>
      <c r="AB103" s="926"/>
      <c r="AC103" s="926"/>
      <c r="AD103" s="926"/>
      <c r="AE103" s="926"/>
      <c r="AF103" s="926"/>
      <c r="AG103" s="926"/>
      <c r="AH103" s="926"/>
      <c r="AI103" s="926"/>
      <c r="AJ103" s="926"/>
      <c r="AK103" s="926"/>
      <c r="AL103" s="926"/>
      <c r="AM103" s="926"/>
      <c r="AN103" s="926"/>
      <c r="AO103" s="926"/>
      <c r="AP103" s="926"/>
      <c r="AQ103" s="926"/>
      <c r="AR103" s="926"/>
      <c r="AS103" s="926"/>
      <c r="AT103" s="926"/>
      <c r="AU103" s="927"/>
      <c r="AV103" s="927"/>
      <c r="AW103" s="927"/>
      <c r="AX103" s="927"/>
      <c r="AY103" s="927"/>
      <c r="AZ103" s="927"/>
      <c r="BA103" s="927"/>
      <c r="BB103" s="927"/>
      <c r="BC103" s="928"/>
      <c r="BD103" s="929"/>
      <c r="BE103" s="930"/>
      <c r="BF103" s="930"/>
      <c r="BG103" s="931"/>
      <c r="BH103" s="931"/>
      <c r="BI103" s="926"/>
      <c r="BJ103" s="926"/>
      <c r="BK103" s="926"/>
      <c r="BL103" s="926"/>
      <c r="BM103" s="926"/>
      <c r="BN103" s="926"/>
      <c r="BO103" s="926"/>
      <c r="BP103" s="926"/>
      <c r="BQ103" s="926"/>
      <c r="BR103" s="926"/>
      <c r="BS103" s="926"/>
      <c r="BT103" s="926"/>
      <c r="BU103" s="926"/>
      <c r="BV103" s="926"/>
      <c r="BW103" s="926"/>
      <c r="BX103" s="926"/>
      <c r="BY103" s="932"/>
      <c r="BZ103" s="932"/>
      <c r="CA103" s="932"/>
      <c r="CB103" s="932"/>
      <c r="CC103" s="932"/>
      <c r="CD103" s="932"/>
      <c r="CE103" s="932"/>
      <c r="CF103" s="932"/>
    </row>
    <row r="104" spans="1:84" x14ac:dyDescent="0.25">
      <c r="A104" s="876">
        <v>32100</v>
      </c>
      <c r="B104" s="873" t="s">
        <v>1317</v>
      </c>
      <c r="C104" s="921">
        <v>120164009</v>
      </c>
      <c r="D104" s="924">
        <v>7.3955699999999995E-4</v>
      </c>
      <c r="E104" s="925"/>
      <c r="F104" s="926"/>
      <c r="G104" s="926"/>
      <c r="H104" s="926"/>
      <c r="I104" s="926"/>
      <c r="J104" s="926"/>
      <c r="K104" s="926"/>
      <c r="L104" s="926"/>
      <c r="M104" s="926"/>
      <c r="N104" s="926"/>
      <c r="O104" s="926"/>
      <c r="P104" s="926"/>
      <c r="Q104" s="926"/>
      <c r="R104" s="926"/>
      <c r="S104" s="926"/>
      <c r="T104" s="926"/>
      <c r="U104" s="926"/>
      <c r="V104" s="926"/>
      <c r="W104" s="926"/>
      <c r="X104" s="926"/>
      <c r="Y104" s="926"/>
      <c r="Z104" s="926"/>
      <c r="AA104" s="926"/>
      <c r="AB104" s="926"/>
      <c r="AC104" s="926"/>
      <c r="AD104" s="926"/>
      <c r="AE104" s="926"/>
      <c r="AF104" s="926"/>
      <c r="AG104" s="926"/>
      <c r="AH104" s="926"/>
      <c r="AI104" s="926"/>
      <c r="AJ104" s="926"/>
      <c r="AK104" s="926"/>
      <c r="AL104" s="926"/>
      <c r="AM104" s="926"/>
      <c r="AN104" s="926"/>
      <c r="AO104" s="926"/>
      <c r="AP104" s="926"/>
      <c r="AQ104" s="926"/>
      <c r="AR104" s="926"/>
      <c r="AS104" s="926"/>
      <c r="AT104" s="926"/>
      <c r="AU104" s="927"/>
      <c r="AV104" s="927"/>
      <c r="AW104" s="927"/>
      <c r="AX104" s="927"/>
      <c r="AY104" s="927"/>
      <c r="AZ104" s="927"/>
      <c r="BA104" s="927"/>
      <c r="BB104" s="927"/>
      <c r="BC104" s="928"/>
      <c r="BD104" s="929"/>
      <c r="BE104" s="930"/>
      <c r="BF104" s="930"/>
      <c r="BG104" s="931"/>
      <c r="BH104" s="931"/>
      <c r="BI104" s="926"/>
      <c r="BJ104" s="926"/>
      <c r="BK104" s="926"/>
      <c r="BL104" s="926"/>
      <c r="BM104" s="926"/>
      <c r="BN104" s="926"/>
      <c r="BO104" s="926"/>
      <c r="BP104" s="926"/>
      <c r="BQ104" s="926"/>
      <c r="BR104" s="926"/>
      <c r="BS104" s="926"/>
      <c r="BT104" s="926"/>
      <c r="BU104" s="926"/>
      <c r="BV104" s="926"/>
      <c r="BW104" s="926"/>
      <c r="BX104" s="926"/>
      <c r="BY104" s="932"/>
      <c r="BZ104" s="932"/>
      <c r="CA104" s="932"/>
      <c r="CB104" s="932"/>
      <c r="CC104" s="932"/>
      <c r="CD104" s="932"/>
      <c r="CE104" s="932"/>
      <c r="CF104" s="932"/>
    </row>
    <row r="105" spans="1:84" x14ac:dyDescent="0.25">
      <c r="A105" s="876">
        <v>32200</v>
      </c>
      <c r="B105" s="873" t="s">
        <v>1318</v>
      </c>
      <c r="C105" s="921">
        <v>80838250</v>
      </c>
      <c r="D105" s="924">
        <v>4.9752399999999995E-4</v>
      </c>
      <c r="E105" s="925"/>
      <c r="F105" s="926"/>
      <c r="G105" s="926"/>
      <c r="H105" s="926"/>
      <c r="I105" s="926"/>
      <c r="J105" s="926"/>
      <c r="K105" s="926"/>
      <c r="L105" s="926"/>
      <c r="M105" s="926"/>
      <c r="N105" s="926"/>
      <c r="O105" s="926"/>
      <c r="P105" s="926"/>
      <c r="Q105" s="926"/>
      <c r="R105" s="926"/>
      <c r="S105" s="926"/>
      <c r="T105" s="926"/>
      <c r="U105" s="926"/>
      <c r="V105" s="926"/>
      <c r="W105" s="926"/>
      <c r="X105" s="926"/>
      <c r="Y105" s="926"/>
      <c r="Z105" s="926"/>
      <c r="AA105" s="926"/>
      <c r="AB105" s="926"/>
      <c r="AC105" s="926"/>
      <c r="AD105" s="926"/>
      <c r="AE105" s="926"/>
      <c r="AF105" s="926"/>
      <c r="AG105" s="926"/>
      <c r="AH105" s="926"/>
      <c r="AI105" s="926"/>
      <c r="AJ105" s="926"/>
      <c r="AK105" s="926"/>
      <c r="AL105" s="926"/>
      <c r="AM105" s="926"/>
      <c r="AN105" s="926"/>
      <c r="AO105" s="926"/>
      <c r="AP105" s="926"/>
      <c r="AQ105" s="926"/>
      <c r="AR105" s="926"/>
      <c r="AS105" s="926"/>
      <c r="AT105" s="926"/>
      <c r="AU105" s="927"/>
      <c r="AV105" s="927"/>
      <c r="AW105" s="927"/>
      <c r="AX105" s="927"/>
      <c r="AY105" s="927"/>
      <c r="AZ105" s="927"/>
      <c r="BA105" s="927"/>
      <c r="BB105" s="927"/>
      <c r="BC105" s="928"/>
      <c r="BD105" s="929"/>
      <c r="BE105" s="930"/>
      <c r="BF105" s="930"/>
      <c r="BG105" s="931"/>
      <c r="BH105" s="931"/>
      <c r="BI105" s="926"/>
      <c r="BJ105" s="926"/>
      <c r="BK105" s="926"/>
      <c r="BL105" s="926"/>
      <c r="BM105" s="926"/>
      <c r="BN105" s="926"/>
      <c r="BO105" s="926"/>
      <c r="BP105" s="926"/>
      <c r="BQ105" s="926"/>
      <c r="BR105" s="926"/>
      <c r="BS105" s="926"/>
      <c r="BT105" s="926"/>
      <c r="BU105" s="926"/>
      <c r="BV105" s="926"/>
      <c r="BW105" s="926"/>
      <c r="BX105" s="926"/>
      <c r="BY105" s="932"/>
      <c r="BZ105" s="932"/>
      <c r="CA105" s="932"/>
      <c r="CB105" s="932"/>
      <c r="CC105" s="932"/>
      <c r="CD105" s="932"/>
      <c r="CE105" s="932"/>
      <c r="CF105" s="932"/>
    </row>
    <row r="106" spans="1:84" x14ac:dyDescent="0.25">
      <c r="A106" s="876">
        <v>32300</v>
      </c>
      <c r="B106" s="873" t="s">
        <v>1319</v>
      </c>
      <c r="C106" s="921">
        <v>876108397</v>
      </c>
      <c r="D106" s="924">
        <v>5.3920620000000004E-3</v>
      </c>
      <c r="E106" s="925"/>
      <c r="F106" s="926"/>
      <c r="G106" s="926"/>
      <c r="H106" s="926"/>
      <c r="I106" s="926"/>
      <c r="J106" s="926"/>
      <c r="K106" s="926"/>
      <c r="L106" s="926"/>
      <c r="M106" s="926"/>
      <c r="N106" s="926"/>
      <c r="O106" s="926"/>
      <c r="P106" s="926"/>
      <c r="Q106" s="926"/>
      <c r="R106" s="926"/>
      <c r="S106" s="926"/>
      <c r="T106" s="926"/>
      <c r="U106" s="926"/>
      <c r="V106" s="926"/>
      <c r="W106" s="926"/>
      <c r="X106" s="926"/>
      <c r="Y106" s="926"/>
      <c r="Z106" s="926"/>
      <c r="AA106" s="926"/>
      <c r="AB106" s="926"/>
      <c r="AC106" s="926"/>
      <c r="AD106" s="926"/>
      <c r="AE106" s="926"/>
      <c r="AF106" s="926"/>
      <c r="AG106" s="926"/>
      <c r="AH106" s="926"/>
      <c r="AI106" s="926"/>
      <c r="AJ106" s="926"/>
      <c r="AK106" s="926"/>
      <c r="AL106" s="926"/>
      <c r="AM106" s="926"/>
      <c r="AN106" s="926"/>
      <c r="AO106" s="926"/>
      <c r="AP106" s="926"/>
      <c r="AQ106" s="926"/>
      <c r="AR106" s="926"/>
      <c r="AS106" s="926"/>
      <c r="AT106" s="926"/>
      <c r="AU106" s="927"/>
      <c r="AV106" s="927"/>
      <c r="AW106" s="927"/>
      <c r="AX106" s="927"/>
      <c r="AY106" s="927"/>
      <c r="AZ106" s="927"/>
      <c r="BA106" s="927"/>
      <c r="BB106" s="927"/>
      <c r="BC106" s="928"/>
      <c r="BD106" s="929"/>
      <c r="BE106" s="930"/>
      <c r="BF106" s="930"/>
      <c r="BG106" s="931"/>
      <c r="BH106" s="931"/>
      <c r="BI106" s="926"/>
      <c r="BJ106" s="926"/>
      <c r="BK106" s="926"/>
      <c r="BL106" s="926"/>
      <c r="BM106" s="926"/>
      <c r="BN106" s="926"/>
      <c r="BO106" s="926"/>
      <c r="BP106" s="926"/>
      <c r="BQ106" s="926"/>
      <c r="BR106" s="926"/>
      <c r="BS106" s="926"/>
      <c r="BT106" s="926"/>
      <c r="BU106" s="926"/>
      <c r="BV106" s="926"/>
      <c r="BW106" s="926"/>
      <c r="BX106" s="926"/>
      <c r="BY106" s="932"/>
      <c r="BZ106" s="932"/>
      <c r="CA106" s="932"/>
      <c r="CB106" s="932"/>
      <c r="CC106" s="932"/>
      <c r="CD106" s="932"/>
      <c r="CE106" s="932"/>
      <c r="CF106" s="932"/>
    </row>
    <row r="107" spans="1:84" x14ac:dyDescent="0.25">
      <c r="A107" s="876">
        <v>32305</v>
      </c>
      <c r="B107" s="873" t="s">
        <v>1320</v>
      </c>
      <c r="C107" s="921">
        <v>84561553</v>
      </c>
      <c r="D107" s="924">
        <v>5.2043900000000004E-4</v>
      </c>
      <c r="E107" s="925"/>
      <c r="F107" s="926"/>
      <c r="G107" s="926"/>
      <c r="H107" s="926"/>
      <c r="I107" s="926"/>
      <c r="J107" s="926"/>
      <c r="K107" s="926"/>
      <c r="L107" s="926"/>
      <c r="M107" s="926"/>
      <c r="N107" s="926"/>
      <c r="O107" s="926"/>
      <c r="P107" s="926"/>
      <c r="Q107" s="926"/>
      <c r="R107" s="926"/>
      <c r="S107" s="926"/>
      <c r="T107" s="926"/>
      <c r="U107" s="926"/>
      <c r="V107" s="926"/>
      <c r="W107" s="926"/>
      <c r="X107" s="926"/>
      <c r="Y107" s="926"/>
      <c r="Z107" s="926"/>
      <c r="AA107" s="926"/>
      <c r="AB107" s="926"/>
      <c r="AC107" s="926"/>
      <c r="AD107" s="926"/>
      <c r="AE107" s="926"/>
      <c r="AF107" s="926"/>
      <c r="AG107" s="926"/>
      <c r="AH107" s="926"/>
      <c r="AI107" s="926"/>
      <c r="AJ107" s="926"/>
      <c r="AK107" s="926"/>
      <c r="AL107" s="926"/>
      <c r="AM107" s="926"/>
      <c r="AN107" s="926"/>
      <c r="AO107" s="926"/>
      <c r="AP107" s="926"/>
      <c r="AQ107" s="926"/>
      <c r="AR107" s="926"/>
      <c r="AS107" s="926"/>
      <c r="AT107" s="926"/>
      <c r="AU107" s="927"/>
      <c r="AV107" s="927"/>
      <c r="AW107" s="927"/>
      <c r="AX107" s="927"/>
      <c r="AY107" s="927"/>
      <c r="AZ107" s="927"/>
      <c r="BA107" s="927"/>
      <c r="BB107" s="927"/>
      <c r="BC107" s="928"/>
      <c r="BD107" s="929"/>
      <c r="BE107" s="930"/>
      <c r="BF107" s="930"/>
      <c r="BG107" s="931"/>
      <c r="BH107" s="931"/>
      <c r="BI107" s="926"/>
      <c r="BJ107" s="926"/>
      <c r="BK107" s="926"/>
      <c r="BL107" s="926"/>
      <c r="BM107" s="926"/>
      <c r="BN107" s="926"/>
      <c r="BO107" s="926"/>
      <c r="BP107" s="926"/>
      <c r="BQ107" s="926"/>
      <c r="BR107" s="926"/>
      <c r="BS107" s="926"/>
      <c r="BT107" s="926"/>
      <c r="BU107" s="926"/>
      <c r="BV107" s="926"/>
      <c r="BW107" s="926"/>
      <c r="BX107" s="926"/>
      <c r="BY107" s="932"/>
      <c r="BZ107" s="932"/>
      <c r="CA107" s="932"/>
      <c r="CB107" s="932"/>
      <c r="CC107" s="932"/>
      <c r="CD107" s="932"/>
      <c r="CE107" s="932"/>
      <c r="CF107" s="932"/>
    </row>
    <row r="108" spans="1:84" x14ac:dyDescent="0.25">
      <c r="A108" s="876">
        <v>32400</v>
      </c>
      <c r="B108" s="873" t="s">
        <v>1321</v>
      </c>
      <c r="C108" s="921">
        <v>305206413</v>
      </c>
      <c r="D108" s="924">
        <v>1.878411E-3</v>
      </c>
      <c r="E108" s="925"/>
      <c r="F108" s="926"/>
      <c r="G108" s="926"/>
      <c r="H108" s="926"/>
      <c r="I108" s="926"/>
      <c r="J108" s="926"/>
      <c r="K108" s="926"/>
      <c r="L108" s="926"/>
      <c r="M108" s="926"/>
      <c r="N108" s="926"/>
      <c r="O108" s="926"/>
      <c r="P108" s="926"/>
      <c r="Q108" s="926"/>
      <c r="R108" s="926"/>
      <c r="S108" s="926"/>
      <c r="T108" s="926"/>
      <c r="U108" s="926"/>
      <c r="V108" s="926"/>
      <c r="W108" s="926"/>
      <c r="X108" s="926"/>
      <c r="Y108" s="926"/>
      <c r="Z108" s="926"/>
      <c r="AA108" s="926"/>
      <c r="AB108" s="926"/>
      <c r="AC108" s="926"/>
      <c r="AD108" s="926"/>
      <c r="AE108" s="926"/>
      <c r="AF108" s="926"/>
      <c r="AG108" s="926"/>
      <c r="AH108" s="926"/>
      <c r="AI108" s="926"/>
      <c r="AJ108" s="926"/>
      <c r="AK108" s="926"/>
      <c r="AL108" s="926"/>
      <c r="AM108" s="926"/>
      <c r="AN108" s="926"/>
      <c r="AO108" s="926"/>
      <c r="AP108" s="926"/>
      <c r="AQ108" s="926"/>
      <c r="AR108" s="926"/>
      <c r="AS108" s="926"/>
      <c r="AT108" s="926"/>
      <c r="AU108" s="927"/>
      <c r="AV108" s="927"/>
      <c r="AW108" s="927"/>
      <c r="AX108" s="927"/>
      <c r="AY108" s="927"/>
      <c r="AZ108" s="927"/>
      <c r="BA108" s="927"/>
      <c r="BB108" s="927"/>
      <c r="BC108" s="928"/>
      <c r="BD108" s="929"/>
      <c r="BE108" s="930"/>
      <c r="BF108" s="930"/>
      <c r="BG108" s="931"/>
      <c r="BH108" s="931"/>
      <c r="BI108" s="926"/>
      <c r="BJ108" s="926"/>
      <c r="BK108" s="926"/>
      <c r="BL108" s="926"/>
      <c r="BM108" s="926"/>
      <c r="BN108" s="926"/>
      <c r="BO108" s="926"/>
      <c r="BP108" s="926"/>
      <c r="BQ108" s="926"/>
      <c r="BR108" s="926"/>
      <c r="BS108" s="926"/>
      <c r="BT108" s="926"/>
      <c r="BU108" s="926"/>
      <c r="BV108" s="926"/>
      <c r="BW108" s="926"/>
      <c r="BX108" s="926"/>
      <c r="BY108" s="932"/>
      <c r="BZ108" s="932"/>
      <c r="CA108" s="932"/>
      <c r="CB108" s="932"/>
      <c r="CC108" s="932"/>
      <c r="CD108" s="932"/>
      <c r="CE108" s="932"/>
      <c r="CF108" s="932"/>
    </row>
    <row r="109" spans="1:84" x14ac:dyDescent="0.25">
      <c r="A109" s="876">
        <v>32405</v>
      </c>
      <c r="B109" s="873" t="s">
        <v>1322</v>
      </c>
      <c r="C109" s="921">
        <v>79116008</v>
      </c>
      <c r="D109" s="924">
        <v>4.8692400000000002E-4</v>
      </c>
      <c r="E109" s="925"/>
      <c r="F109" s="926"/>
      <c r="G109" s="926"/>
      <c r="H109" s="926"/>
      <c r="I109" s="926"/>
      <c r="J109" s="926"/>
      <c r="K109" s="926"/>
      <c r="L109" s="926"/>
      <c r="M109" s="926"/>
      <c r="N109" s="926"/>
      <c r="O109" s="926"/>
      <c r="P109" s="926"/>
      <c r="Q109" s="926"/>
      <c r="R109" s="926"/>
      <c r="S109" s="926"/>
      <c r="T109" s="926"/>
      <c r="U109" s="926"/>
      <c r="V109" s="926"/>
      <c r="W109" s="926"/>
      <c r="X109" s="926"/>
      <c r="Y109" s="926"/>
      <c r="Z109" s="926"/>
      <c r="AA109" s="926"/>
      <c r="AB109" s="926"/>
      <c r="AC109" s="926"/>
      <c r="AD109" s="926"/>
      <c r="AE109" s="926"/>
      <c r="AF109" s="926"/>
      <c r="AG109" s="926"/>
      <c r="AH109" s="926"/>
      <c r="AI109" s="926"/>
      <c r="AJ109" s="926"/>
      <c r="AK109" s="926"/>
      <c r="AL109" s="926"/>
      <c r="AM109" s="926"/>
      <c r="AN109" s="926"/>
      <c r="AO109" s="926"/>
      <c r="AP109" s="926"/>
      <c r="AQ109" s="926"/>
      <c r="AR109" s="926"/>
      <c r="AS109" s="926"/>
      <c r="AT109" s="926"/>
      <c r="AU109" s="927"/>
      <c r="AV109" s="927"/>
      <c r="AW109" s="927"/>
      <c r="AX109" s="927"/>
      <c r="AY109" s="927"/>
      <c r="AZ109" s="927"/>
      <c r="BA109" s="927"/>
      <c r="BB109" s="927"/>
      <c r="BC109" s="928"/>
      <c r="BD109" s="929"/>
      <c r="BE109" s="930"/>
      <c r="BF109" s="930"/>
      <c r="BG109" s="931"/>
      <c r="BH109" s="931"/>
      <c r="BI109" s="926"/>
      <c r="BJ109" s="926"/>
      <c r="BK109" s="926"/>
      <c r="BL109" s="926"/>
      <c r="BM109" s="926"/>
      <c r="BN109" s="926"/>
      <c r="BO109" s="926"/>
      <c r="BP109" s="926"/>
      <c r="BQ109" s="926"/>
      <c r="BR109" s="926"/>
      <c r="BS109" s="926"/>
      <c r="BT109" s="926"/>
      <c r="BU109" s="926"/>
      <c r="BV109" s="926"/>
      <c r="BW109" s="926"/>
      <c r="BX109" s="926"/>
      <c r="BY109" s="932"/>
      <c r="BZ109" s="932"/>
      <c r="CA109" s="932"/>
      <c r="CB109" s="932"/>
      <c r="CC109" s="932"/>
      <c r="CD109" s="932"/>
      <c r="CE109" s="932"/>
      <c r="CF109" s="932"/>
    </row>
    <row r="110" spans="1:84" x14ac:dyDescent="0.25">
      <c r="A110" s="876">
        <v>32410</v>
      </c>
      <c r="B110" s="873" t="s">
        <v>1323</v>
      </c>
      <c r="C110" s="921">
        <v>118027264</v>
      </c>
      <c r="D110" s="924">
        <v>7.2640599999999997E-4</v>
      </c>
      <c r="E110" s="925"/>
      <c r="F110" s="926"/>
      <c r="G110" s="926"/>
      <c r="H110" s="926"/>
      <c r="I110" s="926"/>
      <c r="J110" s="926"/>
      <c r="K110" s="926"/>
      <c r="L110" s="926"/>
      <c r="M110" s="926"/>
      <c r="N110" s="926"/>
      <c r="O110" s="926"/>
      <c r="P110" s="926"/>
      <c r="Q110" s="926"/>
      <c r="R110" s="926"/>
      <c r="S110" s="926"/>
      <c r="T110" s="926"/>
      <c r="U110" s="926"/>
      <c r="V110" s="926"/>
      <c r="W110" s="926"/>
      <c r="X110" s="926"/>
      <c r="Y110" s="926"/>
      <c r="Z110" s="926"/>
      <c r="AA110" s="926"/>
      <c r="AB110" s="926"/>
      <c r="AC110" s="926"/>
      <c r="AD110" s="926"/>
      <c r="AE110" s="926"/>
      <c r="AF110" s="926"/>
      <c r="AG110" s="926"/>
      <c r="AH110" s="926"/>
      <c r="AI110" s="926"/>
      <c r="AJ110" s="926"/>
      <c r="AK110" s="926"/>
      <c r="AL110" s="926"/>
      <c r="AM110" s="926"/>
      <c r="AN110" s="926"/>
      <c r="AO110" s="926"/>
      <c r="AP110" s="926"/>
      <c r="AQ110" s="926"/>
      <c r="AR110" s="926"/>
      <c r="AS110" s="926"/>
      <c r="AT110" s="926"/>
      <c r="AU110" s="927"/>
      <c r="AV110" s="927"/>
      <c r="AW110" s="927"/>
      <c r="AX110" s="927"/>
      <c r="AY110" s="927"/>
      <c r="AZ110" s="927"/>
      <c r="BA110" s="927"/>
      <c r="BB110" s="927"/>
      <c r="BC110" s="928"/>
      <c r="BD110" s="929"/>
      <c r="BE110" s="930"/>
      <c r="BF110" s="930"/>
      <c r="BG110" s="931"/>
      <c r="BH110" s="931"/>
      <c r="BI110" s="926"/>
      <c r="BJ110" s="926"/>
      <c r="BK110" s="926"/>
      <c r="BL110" s="926"/>
      <c r="BM110" s="926"/>
      <c r="BN110" s="926"/>
      <c r="BO110" s="926"/>
      <c r="BP110" s="926"/>
      <c r="BQ110" s="926"/>
      <c r="BR110" s="926"/>
      <c r="BS110" s="926"/>
      <c r="BT110" s="926"/>
      <c r="BU110" s="926"/>
      <c r="BV110" s="926"/>
      <c r="BW110" s="926"/>
      <c r="BX110" s="926"/>
      <c r="BY110" s="932"/>
      <c r="BZ110" s="932"/>
      <c r="CA110" s="932"/>
      <c r="CB110" s="932"/>
      <c r="CC110" s="932"/>
      <c r="CD110" s="932"/>
      <c r="CE110" s="932"/>
      <c r="CF110" s="932"/>
    </row>
    <row r="111" spans="1:84" x14ac:dyDescent="0.25">
      <c r="A111" s="876">
        <v>32500</v>
      </c>
      <c r="B111" s="873" t="s">
        <v>1324</v>
      </c>
      <c r="C111" s="921">
        <v>683817452</v>
      </c>
      <c r="D111" s="924">
        <v>4.2085960000000002E-3</v>
      </c>
      <c r="E111" s="925"/>
      <c r="F111" s="926"/>
      <c r="G111" s="926"/>
      <c r="H111" s="926"/>
      <c r="I111" s="926"/>
      <c r="J111" s="926"/>
      <c r="K111" s="926"/>
      <c r="L111" s="926"/>
      <c r="M111" s="926"/>
      <c r="N111" s="926"/>
      <c r="O111" s="926"/>
      <c r="P111" s="926"/>
      <c r="Q111" s="926"/>
      <c r="R111" s="926"/>
      <c r="S111" s="926"/>
      <c r="T111" s="926"/>
      <c r="U111" s="926"/>
      <c r="V111" s="926"/>
      <c r="W111" s="926"/>
      <c r="X111" s="926"/>
      <c r="Y111" s="926"/>
      <c r="Z111" s="926"/>
      <c r="AA111" s="926"/>
      <c r="AB111" s="926"/>
      <c r="AC111" s="926"/>
      <c r="AD111" s="926"/>
      <c r="AE111" s="926"/>
      <c r="AF111" s="926"/>
      <c r="AG111" s="926"/>
      <c r="AH111" s="926"/>
      <c r="AI111" s="926"/>
      <c r="AJ111" s="926"/>
      <c r="AK111" s="926"/>
      <c r="AL111" s="926"/>
      <c r="AM111" s="926"/>
      <c r="AN111" s="926"/>
      <c r="AO111" s="926"/>
      <c r="AP111" s="926"/>
      <c r="AQ111" s="926"/>
      <c r="AR111" s="926"/>
      <c r="AS111" s="926"/>
      <c r="AT111" s="926"/>
      <c r="AU111" s="927"/>
      <c r="AV111" s="927"/>
      <c r="AW111" s="927"/>
      <c r="AX111" s="927"/>
      <c r="AY111" s="927"/>
      <c r="AZ111" s="927"/>
      <c r="BA111" s="927"/>
      <c r="BB111" s="927"/>
      <c r="BC111" s="928"/>
      <c r="BD111" s="929"/>
      <c r="BE111" s="930"/>
      <c r="BF111" s="930"/>
      <c r="BG111" s="931"/>
      <c r="BH111" s="931"/>
      <c r="BI111" s="926"/>
      <c r="BJ111" s="926"/>
      <c r="BK111" s="926"/>
      <c r="BL111" s="926"/>
      <c r="BM111" s="926"/>
      <c r="BN111" s="926"/>
      <c r="BO111" s="926"/>
      <c r="BP111" s="926"/>
      <c r="BQ111" s="926"/>
      <c r="BR111" s="926"/>
      <c r="BS111" s="926"/>
      <c r="BT111" s="926"/>
      <c r="BU111" s="926"/>
      <c r="BV111" s="926"/>
      <c r="BW111" s="926"/>
      <c r="BX111" s="926"/>
      <c r="BY111" s="932"/>
      <c r="BZ111" s="932"/>
      <c r="CA111" s="932"/>
      <c r="CB111" s="932"/>
      <c r="CC111" s="932"/>
      <c r="CD111" s="932"/>
      <c r="CE111" s="932"/>
      <c r="CF111" s="932"/>
    </row>
    <row r="112" spans="1:84" x14ac:dyDescent="0.25">
      <c r="A112" s="876">
        <v>32505</v>
      </c>
      <c r="B112" s="873" t="s">
        <v>1325</v>
      </c>
      <c r="C112" s="921">
        <v>108854705</v>
      </c>
      <c r="D112" s="924">
        <v>6.6995300000000004E-4</v>
      </c>
      <c r="E112" s="925"/>
      <c r="F112" s="926"/>
      <c r="G112" s="926"/>
      <c r="H112" s="926"/>
      <c r="I112" s="926"/>
      <c r="J112" s="926"/>
      <c r="K112" s="926"/>
      <c r="L112" s="926"/>
      <c r="M112" s="926"/>
      <c r="N112" s="926"/>
      <c r="O112" s="926"/>
      <c r="P112" s="926"/>
      <c r="Q112" s="926"/>
      <c r="R112" s="926"/>
      <c r="S112" s="926"/>
      <c r="T112" s="926"/>
      <c r="U112" s="926"/>
      <c r="V112" s="926"/>
      <c r="W112" s="926"/>
      <c r="X112" s="926"/>
      <c r="Y112" s="926"/>
      <c r="Z112" s="926"/>
      <c r="AA112" s="926"/>
      <c r="AB112" s="926"/>
      <c r="AC112" s="926"/>
      <c r="AD112" s="926"/>
      <c r="AE112" s="926"/>
      <c r="AF112" s="926"/>
      <c r="AG112" s="926"/>
      <c r="AH112" s="926"/>
      <c r="AI112" s="926"/>
      <c r="AJ112" s="926"/>
      <c r="AK112" s="926"/>
      <c r="AL112" s="926"/>
      <c r="AM112" s="926"/>
      <c r="AN112" s="926"/>
      <c r="AO112" s="926"/>
      <c r="AP112" s="926"/>
      <c r="AQ112" s="926"/>
      <c r="AR112" s="926"/>
      <c r="AS112" s="926"/>
      <c r="AT112" s="926"/>
      <c r="AU112" s="927"/>
      <c r="AV112" s="927"/>
      <c r="AW112" s="927"/>
      <c r="AX112" s="927"/>
      <c r="AY112" s="927"/>
      <c r="AZ112" s="927"/>
      <c r="BA112" s="927"/>
      <c r="BB112" s="927"/>
      <c r="BC112" s="928"/>
      <c r="BD112" s="929"/>
      <c r="BE112" s="930"/>
      <c r="BF112" s="930"/>
      <c r="BG112" s="931"/>
      <c r="BH112" s="931"/>
      <c r="BI112" s="926"/>
      <c r="BJ112" s="926"/>
      <c r="BK112" s="926"/>
      <c r="BL112" s="926"/>
      <c r="BM112" s="926"/>
      <c r="BN112" s="926"/>
      <c r="BO112" s="926"/>
      <c r="BP112" s="926"/>
      <c r="BQ112" s="926"/>
      <c r="BR112" s="926"/>
      <c r="BS112" s="926"/>
      <c r="BT112" s="926"/>
      <c r="BU112" s="926"/>
      <c r="BV112" s="926"/>
      <c r="BW112" s="926"/>
      <c r="BX112" s="926"/>
      <c r="BY112" s="932"/>
      <c r="BZ112" s="932"/>
      <c r="CA112" s="932"/>
      <c r="CB112" s="932"/>
      <c r="CC112" s="932"/>
      <c r="CD112" s="932"/>
      <c r="CE112" s="932"/>
      <c r="CF112" s="932"/>
    </row>
    <row r="113" spans="1:84" x14ac:dyDescent="0.25">
      <c r="A113" s="876">
        <v>32600</v>
      </c>
      <c r="B113" s="873" t="s">
        <v>1326</v>
      </c>
      <c r="C113" s="921">
        <v>2485647437</v>
      </c>
      <c r="D113" s="924">
        <v>1.5298067E-2</v>
      </c>
      <c r="E113" s="925"/>
      <c r="F113" s="926"/>
      <c r="G113" s="926"/>
      <c r="H113" s="926"/>
      <c r="I113" s="926"/>
      <c r="J113" s="926"/>
      <c r="K113" s="926"/>
      <c r="L113" s="926"/>
      <c r="M113" s="926"/>
      <c r="N113" s="926"/>
      <c r="O113" s="926"/>
      <c r="P113" s="926"/>
      <c r="Q113" s="926"/>
      <c r="R113" s="926"/>
      <c r="S113" s="926"/>
      <c r="T113" s="926"/>
      <c r="U113" s="926"/>
      <c r="V113" s="926"/>
      <c r="W113" s="926"/>
      <c r="X113" s="926"/>
      <c r="Y113" s="926"/>
      <c r="Z113" s="926"/>
      <c r="AA113" s="926"/>
      <c r="AB113" s="926"/>
      <c r="AC113" s="926"/>
      <c r="AD113" s="926"/>
      <c r="AE113" s="926"/>
      <c r="AF113" s="926"/>
      <c r="AG113" s="926"/>
      <c r="AH113" s="926"/>
      <c r="AI113" s="926"/>
      <c r="AJ113" s="926"/>
      <c r="AK113" s="926"/>
      <c r="AL113" s="926"/>
      <c r="AM113" s="926"/>
      <c r="AN113" s="926"/>
      <c r="AO113" s="926"/>
      <c r="AP113" s="926"/>
      <c r="AQ113" s="926"/>
      <c r="AR113" s="926"/>
      <c r="AS113" s="926"/>
      <c r="AT113" s="926"/>
      <c r="AU113" s="927"/>
      <c r="AV113" s="927"/>
      <c r="AW113" s="927"/>
      <c r="AX113" s="927"/>
      <c r="AY113" s="927"/>
      <c r="AZ113" s="927"/>
      <c r="BA113" s="927"/>
      <c r="BB113" s="927"/>
      <c r="BC113" s="928"/>
      <c r="BD113" s="929"/>
      <c r="BE113" s="930"/>
      <c r="BF113" s="930"/>
      <c r="BG113" s="931"/>
      <c r="BH113" s="931"/>
      <c r="BI113" s="926"/>
      <c r="BJ113" s="926"/>
      <c r="BK113" s="926"/>
      <c r="BL113" s="926"/>
      <c r="BM113" s="926"/>
      <c r="BN113" s="926"/>
      <c r="BO113" s="926"/>
      <c r="BP113" s="926"/>
      <c r="BQ113" s="926"/>
      <c r="BR113" s="926"/>
      <c r="BS113" s="926"/>
      <c r="BT113" s="926"/>
      <c r="BU113" s="926"/>
      <c r="BV113" s="926"/>
      <c r="BW113" s="926"/>
      <c r="BX113" s="926"/>
      <c r="BY113" s="932"/>
      <c r="BZ113" s="932"/>
      <c r="CA113" s="932"/>
      <c r="CB113" s="932"/>
      <c r="CC113" s="932"/>
      <c r="CD113" s="932"/>
      <c r="CE113" s="932"/>
      <c r="CF113" s="932"/>
    </row>
    <row r="114" spans="1:84" x14ac:dyDescent="0.25">
      <c r="A114" s="876">
        <v>32605</v>
      </c>
      <c r="B114" s="873" t="s">
        <v>1327</v>
      </c>
      <c r="C114" s="921">
        <v>355165033</v>
      </c>
      <c r="D114" s="924">
        <v>2.1858849999999998E-3</v>
      </c>
      <c r="E114" s="925"/>
      <c r="F114" s="926"/>
      <c r="G114" s="926"/>
      <c r="H114" s="926"/>
      <c r="I114" s="926"/>
      <c r="J114" s="926"/>
      <c r="K114" s="926"/>
      <c r="L114" s="926"/>
      <c r="M114" s="926"/>
      <c r="N114" s="926"/>
      <c r="O114" s="926"/>
      <c r="P114" s="926"/>
      <c r="Q114" s="926"/>
      <c r="R114" s="926"/>
      <c r="S114" s="926"/>
      <c r="T114" s="926"/>
      <c r="U114" s="926"/>
      <c r="V114" s="926"/>
      <c r="W114" s="926"/>
      <c r="X114" s="926"/>
      <c r="Y114" s="926"/>
      <c r="Z114" s="926"/>
      <c r="AA114" s="926"/>
      <c r="AB114" s="926"/>
      <c r="AC114" s="926"/>
      <c r="AD114" s="926"/>
      <c r="AE114" s="926"/>
      <c r="AF114" s="926"/>
      <c r="AG114" s="926"/>
      <c r="AH114" s="926"/>
      <c r="AI114" s="926"/>
      <c r="AJ114" s="926"/>
      <c r="AK114" s="926"/>
      <c r="AL114" s="926"/>
      <c r="AM114" s="926"/>
      <c r="AN114" s="926"/>
      <c r="AO114" s="926"/>
      <c r="AP114" s="926"/>
      <c r="AQ114" s="926"/>
      <c r="AR114" s="926"/>
      <c r="AS114" s="926"/>
      <c r="AT114" s="926"/>
      <c r="AU114" s="927"/>
      <c r="AV114" s="927"/>
      <c r="AW114" s="927"/>
      <c r="AX114" s="927"/>
      <c r="AY114" s="927"/>
      <c r="AZ114" s="927"/>
      <c r="BA114" s="927"/>
      <c r="BB114" s="927"/>
      <c r="BC114" s="928"/>
      <c r="BD114" s="929"/>
      <c r="BE114" s="930"/>
      <c r="BF114" s="930"/>
      <c r="BG114" s="931"/>
      <c r="BH114" s="931"/>
      <c r="BI114" s="926"/>
      <c r="BJ114" s="926"/>
      <c r="BK114" s="926"/>
      <c r="BL114" s="926"/>
      <c r="BM114" s="926"/>
      <c r="BN114" s="926"/>
      <c r="BO114" s="926"/>
      <c r="BP114" s="926"/>
      <c r="BQ114" s="926"/>
      <c r="BR114" s="926"/>
      <c r="BS114" s="926"/>
      <c r="BT114" s="926"/>
      <c r="BU114" s="926"/>
      <c r="BV114" s="926"/>
      <c r="BW114" s="926"/>
      <c r="BX114" s="926"/>
      <c r="BY114" s="932"/>
      <c r="BZ114" s="932"/>
      <c r="CA114" s="932"/>
      <c r="CB114" s="932"/>
      <c r="CC114" s="932"/>
      <c r="CD114" s="932"/>
      <c r="CE114" s="932"/>
      <c r="CF114" s="932"/>
    </row>
    <row r="115" spans="1:84" x14ac:dyDescent="0.25">
      <c r="A115" s="876">
        <v>32700</v>
      </c>
      <c r="B115" s="873" t="s">
        <v>1328</v>
      </c>
      <c r="C115" s="921">
        <v>227706970</v>
      </c>
      <c r="D115" s="924">
        <v>1.401436E-3</v>
      </c>
      <c r="E115" s="925"/>
      <c r="F115" s="926"/>
      <c r="G115" s="926"/>
      <c r="H115" s="926"/>
      <c r="I115" s="926"/>
      <c r="J115" s="926"/>
      <c r="K115" s="926"/>
      <c r="L115" s="926"/>
      <c r="M115" s="926"/>
      <c r="N115" s="926"/>
      <c r="O115" s="926"/>
      <c r="P115" s="926"/>
      <c r="Q115" s="926"/>
      <c r="R115" s="926"/>
      <c r="S115" s="926"/>
      <c r="T115" s="926"/>
      <c r="U115" s="926"/>
      <c r="V115" s="926"/>
      <c r="W115" s="926"/>
      <c r="X115" s="926"/>
      <c r="Y115" s="926"/>
      <c r="Z115" s="926"/>
      <c r="AA115" s="926"/>
      <c r="AB115" s="926"/>
      <c r="AC115" s="926"/>
      <c r="AD115" s="926"/>
      <c r="AE115" s="926"/>
      <c r="AF115" s="926"/>
      <c r="AG115" s="926"/>
      <c r="AH115" s="926"/>
      <c r="AI115" s="926"/>
      <c r="AJ115" s="926"/>
      <c r="AK115" s="926"/>
      <c r="AL115" s="926"/>
      <c r="AM115" s="926"/>
      <c r="AN115" s="926"/>
      <c r="AO115" s="926"/>
      <c r="AP115" s="926"/>
      <c r="AQ115" s="926"/>
      <c r="AR115" s="926"/>
      <c r="AS115" s="926"/>
      <c r="AT115" s="926"/>
      <c r="AU115" s="927"/>
      <c r="AV115" s="927"/>
      <c r="AW115" s="927"/>
      <c r="AX115" s="927"/>
      <c r="AY115" s="927"/>
      <c r="AZ115" s="927"/>
      <c r="BA115" s="927"/>
      <c r="BB115" s="927"/>
      <c r="BC115" s="928"/>
      <c r="BD115" s="929"/>
      <c r="BE115" s="930"/>
      <c r="BF115" s="930"/>
      <c r="BG115" s="931"/>
      <c r="BH115" s="931"/>
      <c r="BI115" s="926"/>
      <c r="BJ115" s="926"/>
      <c r="BK115" s="926"/>
      <c r="BL115" s="926"/>
      <c r="BM115" s="926"/>
      <c r="BN115" s="926"/>
      <c r="BO115" s="926"/>
      <c r="BP115" s="926"/>
      <c r="BQ115" s="926"/>
      <c r="BR115" s="926"/>
      <c r="BS115" s="926"/>
      <c r="BT115" s="926"/>
      <c r="BU115" s="926"/>
      <c r="BV115" s="926"/>
      <c r="BW115" s="926"/>
      <c r="BX115" s="926"/>
      <c r="BY115" s="932"/>
      <c r="BZ115" s="932"/>
      <c r="CA115" s="932"/>
      <c r="CB115" s="932"/>
      <c r="CC115" s="932"/>
      <c r="CD115" s="932"/>
      <c r="CE115" s="932"/>
      <c r="CF115" s="932"/>
    </row>
    <row r="116" spans="1:84" x14ac:dyDescent="0.25">
      <c r="A116" s="876">
        <v>32800</v>
      </c>
      <c r="B116" s="873" t="s">
        <v>1329</v>
      </c>
      <c r="C116" s="921">
        <v>316799589</v>
      </c>
      <c r="D116" s="924">
        <v>1.9497620000000001E-3</v>
      </c>
      <c r="E116" s="925"/>
      <c r="F116" s="926"/>
      <c r="G116" s="926"/>
      <c r="H116" s="926"/>
      <c r="I116" s="926"/>
      <c r="J116" s="926"/>
      <c r="K116" s="926"/>
      <c r="L116" s="926"/>
      <c r="M116" s="926"/>
      <c r="N116" s="926"/>
      <c r="O116" s="926"/>
      <c r="P116" s="926"/>
      <c r="Q116" s="926"/>
      <c r="R116" s="926"/>
      <c r="S116" s="926"/>
      <c r="T116" s="926"/>
      <c r="U116" s="926"/>
      <c r="V116" s="926"/>
      <c r="W116" s="926"/>
      <c r="X116" s="926"/>
      <c r="Y116" s="926"/>
      <c r="Z116" s="926"/>
      <c r="AA116" s="926"/>
      <c r="AB116" s="926"/>
      <c r="AC116" s="926"/>
      <c r="AD116" s="926"/>
      <c r="AE116" s="926"/>
      <c r="AF116" s="926"/>
      <c r="AG116" s="926"/>
      <c r="AH116" s="926"/>
      <c r="AI116" s="926"/>
      <c r="AJ116" s="926"/>
      <c r="AK116" s="926"/>
      <c r="AL116" s="926"/>
      <c r="AM116" s="926"/>
      <c r="AN116" s="926"/>
      <c r="AO116" s="926"/>
      <c r="AP116" s="926"/>
      <c r="AQ116" s="926"/>
      <c r="AR116" s="926"/>
      <c r="AS116" s="926"/>
      <c r="AT116" s="926"/>
      <c r="AU116" s="927"/>
      <c r="AV116" s="927"/>
      <c r="AW116" s="927"/>
      <c r="AX116" s="927"/>
      <c r="AY116" s="927"/>
      <c r="AZ116" s="927"/>
      <c r="BA116" s="927"/>
      <c r="BB116" s="927"/>
      <c r="BC116" s="928"/>
      <c r="BD116" s="929"/>
      <c r="BE116" s="930"/>
      <c r="BF116" s="930"/>
      <c r="BG116" s="931"/>
      <c r="BH116" s="931"/>
      <c r="BI116" s="926"/>
      <c r="BJ116" s="926"/>
      <c r="BK116" s="926"/>
      <c r="BL116" s="926"/>
      <c r="BM116" s="926"/>
      <c r="BN116" s="926"/>
      <c r="BO116" s="926"/>
      <c r="BP116" s="926"/>
      <c r="BQ116" s="926"/>
      <c r="BR116" s="926"/>
      <c r="BS116" s="926"/>
      <c r="BT116" s="926"/>
      <c r="BU116" s="926"/>
      <c r="BV116" s="926"/>
      <c r="BW116" s="926"/>
      <c r="BX116" s="926"/>
      <c r="BY116" s="932"/>
      <c r="BZ116" s="932"/>
      <c r="CA116" s="932"/>
      <c r="CB116" s="932"/>
      <c r="CC116" s="932"/>
      <c r="CD116" s="932"/>
      <c r="CE116" s="932"/>
      <c r="CF116" s="932"/>
    </row>
    <row r="117" spans="1:84" x14ac:dyDescent="0.25">
      <c r="A117" s="876">
        <v>32900</v>
      </c>
      <c r="B117" s="873" t="s">
        <v>1330</v>
      </c>
      <c r="C117" s="921">
        <v>946800101</v>
      </c>
      <c r="D117" s="924">
        <v>5.8271379999999999E-3</v>
      </c>
      <c r="E117" s="925"/>
      <c r="F117" s="926"/>
      <c r="G117" s="926"/>
      <c r="H117" s="926"/>
      <c r="I117" s="926"/>
      <c r="J117" s="926"/>
      <c r="K117" s="926"/>
      <c r="L117" s="926"/>
      <c r="M117" s="926"/>
      <c r="N117" s="926"/>
      <c r="O117" s="926"/>
      <c r="P117" s="926"/>
      <c r="Q117" s="926"/>
      <c r="R117" s="926"/>
      <c r="S117" s="926"/>
      <c r="T117" s="926"/>
      <c r="U117" s="926"/>
      <c r="V117" s="926"/>
      <c r="W117" s="926"/>
      <c r="X117" s="926"/>
      <c r="Y117" s="926"/>
      <c r="Z117" s="926"/>
      <c r="AA117" s="926"/>
      <c r="AB117" s="926"/>
      <c r="AC117" s="926"/>
      <c r="AD117" s="926"/>
      <c r="AE117" s="926"/>
      <c r="AF117" s="926"/>
      <c r="AG117" s="926"/>
      <c r="AH117" s="926"/>
      <c r="AI117" s="926"/>
      <c r="AJ117" s="926"/>
      <c r="AK117" s="926"/>
      <c r="AL117" s="926"/>
      <c r="AM117" s="926"/>
      <c r="AN117" s="926"/>
      <c r="AO117" s="926"/>
      <c r="AP117" s="926"/>
      <c r="AQ117" s="926"/>
      <c r="AR117" s="926"/>
      <c r="AS117" s="926"/>
      <c r="AT117" s="926"/>
      <c r="AU117" s="927"/>
      <c r="AV117" s="927"/>
      <c r="AW117" s="927"/>
      <c r="AX117" s="927"/>
      <c r="AY117" s="927"/>
      <c r="AZ117" s="927"/>
      <c r="BA117" s="927"/>
      <c r="BB117" s="927"/>
      <c r="BC117" s="928"/>
      <c r="BD117" s="929"/>
      <c r="BE117" s="930"/>
      <c r="BF117" s="930"/>
      <c r="BG117" s="931"/>
      <c r="BH117" s="931"/>
      <c r="BI117" s="926"/>
      <c r="BJ117" s="926"/>
      <c r="BK117" s="926"/>
      <c r="BL117" s="926"/>
      <c r="BM117" s="926"/>
      <c r="BN117" s="926"/>
      <c r="BO117" s="926"/>
      <c r="BP117" s="926"/>
      <c r="BQ117" s="926"/>
      <c r="BR117" s="926"/>
      <c r="BS117" s="926"/>
      <c r="BT117" s="926"/>
      <c r="BU117" s="926"/>
      <c r="BV117" s="926"/>
      <c r="BW117" s="926"/>
      <c r="BX117" s="926"/>
      <c r="BY117" s="932"/>
      <c r="BZ117" s="932"/>
      <c r="CA117" s="932"/>
      <c r="CB117" s="932"/>
      <c r="CC117" s="932"/>
      <c r="CD117" s="932"/>
      <c r="CE117" s="932"/>
      <c r="CF117" s="932"/>
    </row>
    <row r="118" spans="1:84" x14ac:dyDescent="0.25">
      <c r="A118" s="876">
        <v>32901</v>
      </c>
      <c r="B118" s="873" t="s">
        <v>1331</v>
      </c>
      <c r="C118" s="921">
        <v>25356103</v>
      </c>
      <c r="D118" s="924">
        <v>1.5605600000000001E-4</v>
      </c>
      <c r="E118" s="925"/>
      <c r="F118" s="926"/>
      <c r="G118" s="926"/>
      <c r="H118" s="926"/>
      <c r="I118" s="926"/>
      <c r="J118" s="926"/>
      <c r="K118" s="926"/>
      <c r="L118" s="926"/>
      <c r="M118" s="926"/>
      <c r="N118" s="926"/>
      <c r="O118" s="926"/>
      <c r="P118" s="926"/>
      <c r="Q118" s="926"/>
      <c r="R118" s="926"/>
      <c r="S118" s="926"/>
      <c r="T118" s="926"/>
      <c r="U118" s="926"/>
      <c r="V118" s="926"/>
      <c r="W118" s="926"/>
      <c r="X118" s="926"/>
      <c r="Y118" s="926"/>
      <c r="Z118" s="926"/>
      <c r="AA118" s="926"/>
      <c r="AB118" s="926"/>
      <c r="AC118" s="926"/>
      <c r="AD118" s="926"/>
      <c r="AE118" s="926"/>
      <c r="AF118" s="926"/>
      <c r="AG118" s="926"/>
      <c r="AH118" s="926"/>
      <c r="AI118" s="926"/>
      <c r="AJ118" s="926"/>
      <c r="AK118" s="926"/>
      <c r="AL118" s="926"/>
      <c r="AM118" s="926"/>
      <c r="AN118" s="926"/>
      <c r="AO118" s="926"/>
      <c r="AP118" s="926"/>
      <c r="AQ118" s="926"/>
      <c r="AR118" s="926"/>
      <c r="AS118" s="926"/>
      <c r="AT118" s="926"/>
      <c r="AU118" s="927"/>
      <c r="AV118" s="927"/>
      <c r="AW118" s="927"/>
      <c r="AX118" s="927"/>
      <c r="AY118" s="927"/>
      <c r="AZ118" s="927"/>
      <c r="BA118" s="927"/>
      <c r="BB118" s="927"/>
      <c r="BC118" s="928"/>
      <c r="BD118" s="929"/>
      <c r="BE118" s="930"/>
      <c r="BF118" s="930"/>
      <c r="BG118" s="931"/>
      <c r="BH118" s="931"/>
      <c r="BI118" s="926"/>
      <c r="BJ118" s="926"/>
      <c r="BK118" s="926"/>
      <c r="BL118" s="926"/>
      <c r="BM118" s="926"/>
      <c r="BN118" s="926"/>
      <c r="BO118" s="926"/>
      <c r="BP118" s="926"/>
      <c r="BQ118" s="926"/>
      <c r="BR118" s="926"/>
      <c r="BS118" s="926"/>
      <c r="BT118" s="926"/>
      <c r="BU118" s="926"/>
      <c r="BV118" s="926"/>
      <c r="BW118" s="926"/>
      <c r="BX118" s="926"/>
      <c r="BY118" s="932"/>
      <c r="BZ118" s="932"/>
      <c r="CA118" s="932"/>
      <c r="CB118" s="932"/>
      <c r="CC118" s="932"/>
      <c r="CD118" s="932"/>
      <c r="CE118" s="932"/>
      <c r="CF118" s="932"/>
    </row>
    <row r="119" spans="1:84" x14ac:dyDescent="0.25">
      <c r="A119" s="876">
        <v>32905</v>
      </c>
      <c r="B119" s="873" t="s">
        <v>1332</v>
      </c>
      <c r="C119" s="921">
        <v>130077644</v>
      </c>
      <c r="D119" s="924">
        <v>8.0057100000000003E-4</v>
      </c>
      <c r="E119" s="925"/>
      <c r="F119" s="926"/>
      <c r="G119" s="926"/>
      <c r="H119" s="926"/>
      <c r="I119" s="926"/>
      <c r="J119" s="926"/>
      <c r="K119" s="926"/>
      <c r="L119" s="926"/>
      <c r="M119" s="926"/>
      <c r="N119" s="926"/>
      <c r="O119" s="926"/>
      <c r="P119" s="926"/>
      <c r="Q119" s="926"/>
      <c r="R119" s="926"/>
      <c r="S119" s="926"/>
      <c r="T119" s="926"/>
      <c r="U119" s="926"/>
      <c r="V119" s="926"/>
      <c r="W119" s="926"/>
      <c r="X119" s="926"/>
      <c r="Y119" s="926"/>
      <c r="Z119" s="926"/>
      <c r="AA119" s="926"/>
      <c r="AB119" s="926"/>
      <c r="AC119" s="926"/>
      <c r="AD119" s="926"/>
      <c r="AE119" s="926"/>
      <c r="AF119" s="926"/>
      <c r="AG119" s="926"/>
      <c r="AH119" s="926"/>
      <c r="AI119" s="926"/>
      <c r="AJ119" s="926"/>
      <c r="AK119" s="926"/>
      <c r="AL119" s="926"/>
      <c r="AM119" s="926"/>
      <c r="AN119" s="926"/>
      <c r="AO119" s="926"/>
      <c r="AP119" s="926"/>
      <c r="AQ119" s="926"/>
      <c r="AR119" s="926"/>
      <c r="AS119" s="926"/>
      <c r="AT119" s="926"/>
      <c r="AU119" s="927"/>
      <c r="AV119" s="927"/>
      <c r="AW119" s="927"/>
      <c r="AX119" s="927"/>
      <c r="AY119" s="927"/>
      <c r="AZ119" s="927"/>
      <c r="BA119" s="927"/>
      <c r="BB119" s="927"/>
      <c r="BC119" s="928"/>
      <c r="BD119" s="929"/>
      <c r="BE119" s="930"/>
      <c r="BF119" s="930"/>
      <c r="BG119" s="931"/>
      <c r="BH119" s="931"/>
      <c r="BI119" s="926"/>
      <c r="BJ119" s="926"/>
      <c r="BK119" s="926"/>
      <c r="BL119" s="926"/>
      <c r="BM119" s="926"/>
      <c r="BN119" s="926"/>
      <c r="BO119" s="926"/>
      <c r="BP119" s="926"/>
      <c r="BQ119" s="926"/>
      <c r="BR119" s="926"/>
      <c r="BS119" s="926"/>
      <c r="BT119" s="926"/>
      <c r="BU119" s="926"/>
      <c r="BV119" s="926"/>
      <c r="BW119" s="926"/>
      <c r="BX119" s="926"/>
      <c r="BY119" s="932"/>
      <c r="BZ119" s="932"/>
      <c r="CA119" s="932"/>
      <c r="CB119" s="932"/>
      <c r="CC119" s="932"/>
      <c r="CD119" s="932"/>
      <c r="CE119" s="932"/>
      <c r="CF119" s="932"/>
    </row>
    <row r="120" spans="1:84" x14ac:dyDescent="0.25">
      <c r="A120" s="876">
        <v>32910</v>
      </c>
      <c r="B120" s="873" t="s">
        <v>1333</v>
      </c>
      <c r="C120" s="921">
        <v>172778269</v>
      </c>
      <c r="D120" s="924">
        <v>1.063374E-3</v>
      </c>
      <c r="E120" s="925"/>
      <c r="F120" s="926"/>
      <c r="G120" s="926"/>
      <c r="H120" s="926"/>
      <c r="I120" s="926"/>
      <c r="J120" s="926"/>
      <c r="K120" s="926"/>
      <c r="L120" s="926"/>
      <c r="M120" s="926"/>
      <c r="N120" s="926"/>
      <c r="O120" s="926"/>
      <c r="P120" s="926"/>
      <c r="Q120" s="926"/>
      <c r="R120" s="926"/>
      <c r="S120" s="926"/>
      <c r="T120" s="926"/>
      <c r="U120" s="926"/>
      <c r="V120" s="926"/>
      <c r="W120" s="926"/>
      <c r="X120" s="926"/>
      <c r="Y120" s="926"/>
      <c r="Z120" s="926"/>
      <c r="AA120" s="926"/>
      <c r="AB120" s="926"/>
      <c r="AC120" s="926"/>
      <c r="AD120" s="926"/>
      <c r="AE120" s="926"/>
      <c r="AF120" s="926"/>
      <c r="AG120" s="926"/>
      <c r="AH120" s="926"/>
      <c r="AI120" s="926"/>
      <c r="AJ120" s="926"/>
      <c r="AK120" s="926"/>
      <c r="AL120" s="926"/>
      <c r="AM120" s="926"/>
      <c r="AN120" s="926"/>
      <c r="AO120" s="926"/>
      <c r="AP120" s="926"/>
      <c r="AQ120" s="926"/>
      <c r="AR120" s="926"/>
      <c r="AS120" s="926"/>
      <c r="AT120" s="926"/>
      <c r="AU120" s="927"/>
      <c r="AV120" s="927"/>
      <c r="AW120" s="927"/>
      <c r="AX120" s="927"/>
      <c r="AY120" s="927"/>
      <c r="AZ120" s="927"/>
      <c r="BA120" s="927"/>
      <c r="BB120" s="927"/>
      <c r="BC120" s="928"/>
      <c r="BD120" s="929"/>
      <c r="BE120" s="930"/>
      <c r="BF120" s="930"/>
      <c r="BG120" s="931"/>
      <c r="BH120" s="931"/>
      <c r="BI120" s="926"/>
      <c r="BJ120" s="926"/>
      <c r="BK120" s="926"/>
      <c r="BL120" s="926"/>
      <c r="BM120" s="926"/>
      <c r="BN120" s="926"/>
      <c r="BO120" s="926"/>
      <c r="BP120" s="926"/>
      <c r="BQ120" s="926"/>
      <c r="BR120" s="926"/>
      <c r="BS120" s="926"/>
      <c r="BT120" s="926"/>
      <c r="BU120" s="926"/>
      <c r="BV120" s="926"/>
      <c r="BW120" s="926"/>
      <c r="BX120" s="926"/>
      <c r="BY120" s="932"/>
      <c r="BZ120" s="932"/>
      <c r="CA120" s="932"/>
      <c r="CB120" s="932"/>
      <c r="CC120" s="932"/>
      <c r="CD120" s="932"/>
      <c r="CE120" s="932"/>
      <c r="CF120" s="932"/>
    </row>
    <row r="121" spans="1:84" x14ac:dyDescent="0.25">
      <c r="A121" s="876">
        <v>32920</v>
      </c>
      <c r="B121" s="873" t="s">
        <v>1334</v>
      </c>
      <c r="C121" s="921">
        <v>150838836</v>
      </c>
      <c r="D121" s="924">
        <v>9.2834700000000005E-4</v>
      </c>
      <c r="E121" s="925"/>
      <c r="F121" s="926"/>
      <c r="G121" s="926"/>
      <c r="H121" s="926"/>
      <c r="I121" s="926"/>
      <c r="J121" s="926"/>
      <c r="K121" s="926"/>
      <c r="L121" s="926"/>
      <c r="M121" s="926"/>
      <c r="N121" s="926"/>
      <c r="O121" s="926"/>
      <c r="P121" s="926"/>
      <c r="Q121" s="926"/>
      <c r="R121" s="926"/>
      <c r="S121" s="926"/>
      <c r="T121" s="926"/>
      <c r="U121" s="926"/>
      <c r="V121" s="926"/>
      <c r="W121" s="926"/>
      <c r="X121" s="926"/>
      <c r="Y121" s="926"/>
      <c r="Z121" s="926"/>
      <c r="AA121" s="926"/>
      <c r="AB121" s="926"/>
      <c r="AC121" s="926"/>
      <c r="AD121" s="926"/>
      <c r="AE121" s="926"/>
      <c r="AF121" s="926"/>
      <c r="AG121" s="926"/>
      <c r="AH121" s="926"/>
      <c r="AI121" s="926"/>
      <c r="AJ121" s="926"/>
      <c r="AK121" s="926"/>
      <c r="AL121" s="926"/>
      <c r="AM121" s="926"/>
      <c r="AN121" s="926"/>
      <c r="AO121" s="926"/>
      <c r="AP121" s="926"/>
      <c r="AQ121" s="926"/>
      <c r="AR121" s="926"/>
      <c r="AS121" s="926"/>
      <c r="AT121" s="926"/>
      <c r="AU121" s="927"/>
      <c r="AV121" s="927"/>
      <c r="AW121" s="927"/>
      <c r="AX121" s="927"/>
      <c r="AY121" s="927"/>
      <c r="AZ121" s="927"/>
      <c r="BA121" s="927"/>
      <c r="BB121" s="927"/>
      <c r="BC121" s="928"/>
      <c r="BD121" s="929"/>
      <c r="BE121" s="930"/>
      <c r="BF121" s="930"/>
      <c r="BG121" s="931"/>
      <c r="BH121" s="931"/>
      <c r="BI121" s="926"/>
      <c r="BJ121" s="926"/>
      <c r="BK121" s="926"/>
      <c r="BL121" s="926"/>
      <c r="BM121" s="926"/>
      <c r="BN121" s="926"/>
      <c r="BO121" s="926"/>
      <c r="BP121" s="926"/>
      <c r="BQ121" s="926"/>
      <c r="BR121" s="926"/>
      <c r="BS121" s="926"/>
      <c r="BT121" s="926"/>
      <c r="BU121" s="926"/>
      <c r="BV121" s="926"/>
      <c r="BW121" s="926"/>
      <c r="BX121" s="926"/>
      <c r="BY121" s="932"/>
      <c r="BZ121" s="932"/>
      <c r="CA121" s="932"/>
      <c r="CB121" s="932"/>
      <c r="CC121" s="932"/>
      <c r="CD121" s="932"/>
      <c r="CE121" s="932"/>
      <c r="CF121" s="932"/>
    </row>
    <row r="122" spans="1:84" x14ac:dyDescent="0.25">
      <c r="A122" s="876">
        <v>33000</v>
      </c>
      <c r="B122" s="873" t="s">
        <v>1335</v>
      </c>
      <c r="C122" s="921">
        <v>359645894</v>
      </c>
      <c r="D122" s="924">
        <v>2.2134619999999998E-3</v>
      </c>
      <c r="E122" s="925"/>
      <c r="F122" s="926"/>
      <c r="G122" s="926"/>
      <c r="H122" s="926"/>
      <c r="I122" s="926"/>
      <c r="J122" s="926"/>
      <c r="K122" s="926"/>
      <c r="L122" s="926"/>
      <c r="M122" s="926"/>
      <c r="N122" s="926"/>
      <c r="O122" s="926"/>
      <c r="P122" s="926"/>
      <c r="Q122" s="926"/>
      <c r="R122" s="926"/>
      <c r="S122" s="926"/>
      <c r="T122" s="926"/>
      <c r="U122" s="926"/>
      <c r="V122" s="926"/>
      <c r="W122" s="926"/>
      <c r="X122" s="926"/>
      <c r="Y122" s="926"/>
      <c r="Z122" s="926"/>
      <c r="AA122" s="926"/>
      <c r="AB122" s="926"/>
      <c r="AC122" s="926"/>
      <c r="AD122" s="926"/>
      <c r="AE122" s="926"/>
      <c r="AF122" s="926"/>
      <c r="AG122" s="926"/>
      <c r="AH122" s="926"/>
      <c r="AI122" s="926"/>
      <c r="AJ122" s="926"/>
      <c r="AK122" s="926"/>
      <c r="AL122" s="926"/>
      <c r="AM122" s="926"/>
      <c r="AN122" s="926"/>
      <c r="AO122" s="926"/>
      <c r="AP122" s="926"/>
      <c r="AQ122" s="926"/>
      <c r="AR122" s="926"/>
      <c r="AS122" s="926"/>
      <c r="AT122" s="926"/>
      <c r="AU122" s="927"/>
      <c r="AV122" s="927"/>
      <c r="AW122" s="927"/>
      <c r="AX122" s="927"/>
      <c r="AY122" s="927"/>
      <c r="AZ122" s="927"/>
      <c r="BA122" s="927"/>
      <c r="BB122" s="927"/>
      <c r="BC122" s="928"/>
      <c r="BD122" s="929"/>
      <c r="BE122" s="930"/>
      <c r="BF122" s="930"/>
      <c r="BG122" s="931"/>
      <c r="BH122" s="931"/>
      <c r="BI122" s="926"/>
      <c r="BJ122" s="926"/>
      <c r="BK122" s="926"/>
      <c r="BL122" s="926"/>
      <c r="BM122" s="926"/>
      <c r="BN122" s="926"/>
      <c r="BO122" s="926"/>
      <c r="BP122" s="926"/>
      <c r="BQ122" s="926"/>
      <c r="BR122" s="926"/>
      <c r="BS122" s="926"/>
      <c r="BT122" s="926"/>
      <c r="BU122" s="926"/>
      <c r="BV122" s="926"/>
      <c r="BW122" s="926"/>
      <c r="BX122" s="926"/>
      <c r="BY122" s="932"/>
      <c r="BZ122" s="932"/>
      <c r="CA122" s="932"/>
      <c r="CB122" s="932"/>
      <c r="CC122" s="932"/>
      <c r="CD122" s="932"/>
      <c r="CE122" s="932"/>
      <c r="CF122" s="932"/>
    </row>
    <row r="123" spans="1:84" x14ac:dyDescent="0.25">
      <c r="A123" s="876">
        <v>33001</v>
      </c>
      <c r="B123" s="873" t="s">
        <v>1336</v>
      </c>
      <c r="C123" s="921">
        <v>9851762</v>
      </c>
      <c r="D123" s="924">
        <v>6.0633E-5</v>
      </c>
      <c r="E123" s="925"/>
      <c r="F123" s="926"/>
      <c r="G123" s="926"/>
      <c r="H123" s="926"/>
      <c r="I123" s="926"/>
      <c r="J123" s="926"/>
      <c r="K123" s="926"/>
      <c r="L123" s="926"/>
      <c r="M123" s="926"/>
      <c r="N123" s="926"/>
      <c r="O123" s="926"/>
      <c r="P123" s="926"/>
      <c r="Q123" s="926"/>
      <c r="R123" s="926"/>
      <c r="S123" s="926"/>
      <c r="T123" s="926"/>
      <c r="U123" s="926"/>
      <c r="V123" s="926"/>
      <c r="W123" s="926"/>
      <c r="X123" s="926"/>
      <c r="Y123" s="926"/>
      <c r="Z123" s="926"/>
      <c r="AA123" s="926"/>
      <c r="AB123" s="926"/>
      <c r="AC123" s="926"/>
      <c r="AD123" s="926"/>
      <c r="AE123" s="926"/>
      <c r="AF123" s="926"/>
      <c r="AG123" s="926"/>
      <c r="AH123" s="926"/>
      <c r="AI123" s="926"/>
      <c r="AJ123" s="926"/>
      <c r="AK123" s="926"/>
      <c r="AL123" s="926"/>
      <c r="AM123" s="926"/>
      <c r="AN123" s="926"/>
      <c r="AO123" s="926"/>
      <c r="AP123" s="926"/>
      <c r="AQ123" s="926"/>
      <c r="AR123" s="926"/>
      <c r="AS123" s="926"/>
      <c r="AT123" s="926"/>
      <c r="AU123" s="927"/>
      <c r="AV123" s="927"/>
      <c r="AW123" s="927"/>
      <c r="AX123" s="927"/>
      <c r="AY123" s="927"/>
      <c r="AZ123" s="927"/>
      <c r="BA123" s="927"/>
      <c r="BB123" s="927"/>
      <c r="BC123" s="928"/>
      <c r="BD123" s="929"/>
      <c r="BE123" s="930"/>
      <c r="BF123" s="930"/>
      <c r="BG123" s="931"/>
      <c r="BH123" s="931"/>
      <c r="BI123" s="926"/>
      <c r="BJ123" s="926"/>
      <c r="BK123" s="926"/>
      <c r="BL123" s="926"/>
      <c r="BM123" s="926"/>
      <c r="BN123" s="926"/>
      <c r="BO123" s="926"/>
      <c r="BP123" s="926"/>
      <c r="BQ123" s="926"/>
      <c r="BR123" s="926"/>
      <c r="BS123" s="926"/>
      <c r="BT123" s="926"/>
      <c r="BU123" s="926"/>
      <c r="BV123" s="926"/>
      <c r="BW123" s="926"/>
      <c r="BX123" s="926"/>
      <c r="BY123" s="932"/>
      <c r="BZ123" s="932"/>
      <c r="CA123" s="932"/>
      <c r="CB123" s="932"/>
      <c r="CC123" s="932"/>
      <c r="CD123" s="932"/>
      <c r="CE123" s="932"/>
      <c r="CF123" s="932"/>
    </row>
    <row r="124" spans="1:84" x14ac:dyDescent="0.25">
      <c r="A124" s="876">
        <v>33027</v>
      </c>
      <c r="B124" s="873" t="s">
        <v>1337</v>
      </c>
      <c r="C124" s="921">
        <v>44856910</v>
      </c>
      <c r="D124" s="924">
        <v>2.7607499999999997E-4</v>
      </c>
      <c r="E124" s="925"/>
      <c r="F124" s="926"/>
      <c r="G124" s="926"/>
      <c r="H124" s="926"/>
      <c r="I124" s="926"/>
      <c r="J124" s="926"/>
      <c r="K124" s="926"/>
      <c r="L124" s="926"/>
      <c r="M124" s="926"/>
      <c r="N124" s="926"/>
      <c r="O124" s="926"/>
      <c r="P124" s="926"/>
      <c r="Q124" s="926"/>
      <c r="R124" s="926"/>
      <c r="S124" s="926"/>
      <c r="T124" s="926"/>
      <c r="U124" s="926"/>
      <c r="V124" s="926"/>
      <c r="W124" s="926"/>
      <c r="X124" s="926"/>
      <c r="Y124" s="926"/>
      <c r="Z124" s="926"/>
      <c r="AA124" s="926"/>
      <c r="AB124" s="926"/>
      <c r="AC124" s="926"/>
      <c r="AD124" s="926"/>
      <c r="AE124" s="926"/>
      <c r="AF124" s="926"/>
      <c r="AG124" s="926"/>
      <c r="AH124" s="926"/>
      <c r="AI124" s="926"/>
      <c r="AJ124" s="926"/>
      <c r="AK124" s="926"/>
      <c r="AL124" s="926"/>
      <c r="AM124" s="926"/>
      <c r="AN124" s="926"/>
      <c r="AO124" s="926"/>
      <c r="AP124" s="926"/>
      <c r="AQ124" s="926"/>
      <c r="AR124" s="926"/>
      <c r="AS124" s="926"/>
      <c r="AT124" s="926"/>
      <c r="AU124" s="927"/>
      <c r="AV124" s="927"/>
      <c r="AW124" s="927"/>
      <c r="AX124" s="927"/>
      <c r="AY124" s="927"/>
      <c r="AZ124" s="927"/>
      <c r="BA124" s="927"/>
      <c r="BB124" s="927"/>
      <c r="BC124" s="928"/>
      <c r="BD124" s="929"/>
      <c r="BE124" s="930"/>
      <c r="BF124" s="930"/>
      <c r="BG124" s="931"/>
      <c r="BH124" s="931"/>
      <c r="BI124" s="926"/>
      <c r="BJ124" s="926"/>
      <c r="BK124" s="926"/>
      <c r="BL124" s="926"/>
      <c r="BM124" s="926"/>
      <c r="BN124" s="926"/>
      <c r="BO124" s="926"/>
      <c r="BP124" s="926"/>
      <c r="BQ124" s="926"/>
      <c r="BR124" s="926"/>
      <c r="BS124" s="926"/>
      <c r="BT124" s="926"/>
      <c r="BU124" s="926"/>
      <c r="BV124" s="926"/>
      <c r="BW124" s="926"/>
      <c r="BX124" s="926"/>
      <c r="BY124" s="932"/>
      <c r="BZ124" s="932"/>
      <c r="CA124" s="932"/>
      <c r="CB124" s="932"/>
      <c r="CC124" s="932"/>
      <c r="CD124" s="932"/>
      <c r="CE124" s="932"/>
      <c r="CF124" s="932"/>
    </row>
    <row r="125" spans="1:84" x14ac:dyDescent="0.25">
      <c r="A125" s="876">
        <v>33100</v>
      </c>
      <c r="B125" s="873" t="s">
        <v>1338</v>
      </c>
      <c r="C125" s="921">
        <v>496429206</v>
      </c>
      <c r="D125" s="924">
        <v>3.055304E-3</v>
      </c>
      <c r="E125" s="925"/>
      <c r="F125" s="926"/>
      <c r="G125" s="926"/>
      <c r="H125" s="926"/>
      <c r="I125" s="926"/>
      <c r="J125" s="926"/>
      <c r="K125" s="926"/>
      <c r="L125" s="926"/>
      <c r="M125" s="926"/>
      <c r="N125" s="926"/>
      <c r="O125" s="926"/>
      <c r="P125" s="926"/>
      <c r="Q125" s="926"/>
      <c r="R125" s="926"/>
      <c r="S125" s="926"/>
      <c r="T125" s="926"/>
      <c r="U125" s="926"/>
      <c r="V125" s="926"/>
      <c r="W125" s="926"/>
      <c r="X125" s="926"/>
      <c r="Y125" s="926"/>
      <c r="Z125" s="926"/>
      <c r="AA125" s="926"/>
      <c r="AB125" s="926"/>
      <c r="AC125" s="926"/>
      <c r="AD125" s="926"/>
      <c r="AE125" s="926"/>
      <c r="AF125" s="926"/>
      <c r="AG125" s="926"/>
      <c r="AH125" s="926"/>
      <c r="AI125" s="926"/>
      <c r="AJ125" s="926"/>
      <c r="AK125" s="926"/>
      <c r="AL125" s="926"/>
      <c r="AM125" s="926"/>
      <c r="AN125" s="926"/>
      <c r="AO125" s="926"/>
      <c r="AP125" s="926"/>
      <c r="AQ125" s="926"/>
      <c r="AR125" s="926"/>
      <c r="AS125" s="926"/>
      <c r="AT125" s="926"/>
      <c r="AU125" s="927"/>
      <c r="AV125" s="927"/>
      <c r="AW125" s="927"/>
      <c r="AX125" s="927"/>
      <c r="AY125" s="927"/>
      <c r="AZ125" s="927"/>
      <c r="BA125" s="927"/>
      <c r="BB125" s="927"/>
      <c r="BC125" s="928"/>
      <c r="BD125" s="929"/>
      <c r="BE125" s="930"/>
      <c r="BF125" s="930"/>
      <c r="BG125" s="931"/>
      <c r="BH125" s="931"/>
      <c r="BI125" s="926"/>
      <c r="BJ125" s="926"/>
      <c r="BK125" s="926"/>
      <c r="BL125" s="926"/>
      <c r="BM125" s="926"/>
      <c r="BN125" s="926"/>
      <c r="BO125" s="926"/>
      <c r="BP125" s="926"/>
      <c r="BQ125" s="926"/>
      <c r="BR125" s="926"/>
      <c r="BS125" s="926"/>
      <c r="BT125" s="926"/>
      <c r="BU125" s="926"/>
      <c r="BV125" s="926"/>
      <c r="BW125" s="926"/>
      <c r="BX125" s="926"/>
      <c r="BY125" s="932"/>
      <c r="BZ125" s="932"/>
      <c r="CA125" s="932"/>
      <c r="CB125" s="932"/>
      <c r="CC125" s="932"/>
      <c r="CD125" s="932"/>
      <c r="CE125" s="932"/>
      <c r="CF125" s="932"/>
    </row>
    <row r="126" spans="1:84" x14ac:dyDescent="0.25">
      <c r="A126" s="876">
        <v>33105</v>
      </c>
      <c r="B126" s="873" t="s">
        <v>1339</v>
      </c>
      <c r="C126" s="921">
        <v>55518224</v>
      </c>
      <c r="D126" s="924">
        <v>3.4169000000000002E-4</v>
      </c>
      <c r="E126" s="925"/>
      <c r="F126" s="926"/>
      <c r="G126" s="926"/>
      <c r="H126" s="926"/>
      <c r="I126" s="926"/>
      <c r="J126" s="926"/>
      <c r="K126" s="926"/>
      <c r="L126" s="926"/>
      <c r="M126" s="926"/>
      <c r="N126" s="926"/>
      <c r="O126" s="926"/>
      <c r="P126" s="926"/>
      <c r="Q126" s="926"/>
      <c r="R126" s="926"/>
      <c r="S126" s="926"/>
      <c r="T126" s="926"/>
      <c r="U126" s="926"/>
      <c r="V126" s="926"/>
      <c r="W126" s="926"/>
      <c r="X126" s="926"/>
      <c r="Y126" s="926"/>
      <c r="Z126" s="926"/>
      <c r="AA126" s="926"/>
      <c r="AB126" s="926"/>
      <c r="AC126" s="926"/>
      <c r="AD126" s="926"/>
      <c r="AE126" s="926"/>
      <c r="AF126" s="926"/>
      <c r="AG126" s="926"/>
      <c r="AH126" s="926"/>
      <c r="AI126" s="926"/>
      <c r="AJ126" s="926"/>
      <c r="AK126" s="926"/>
      <c r="AL126" s="926"/>
      <c r="AM126" s="926"/>
      <c r="AN126" s="926"/>
      <c r="AO126" s="926"/>
      <c r="AP126" s="926"/>
      <c r="AQ126" s="926"/>
      <c r="AR126" s="926"/>
      <c r="AS126" s="926"/>
      <c r="AT126" s="926"/>
      <c r="AU126" s="927"/>
      <c r="AV126" s="927"/>
      <c r="AW126" s="927"/>
      <c r="AX126" s="927"/>
      <c r="AY126" s="927"/>
      <c r="AZ126" s="927"/>
      <c r="BA126" s="927"/>
      <c r="BB126" s="927"/>
      <c r="BC126" s="928"/>
      <c r="BD126" s="929"/>
      <c r="BE126" s="930"/>
      <c r="BF126" s="930"/>
      <c r="BG126" s="931"/>
      <c r="BH126" s="931"/>
      <c r="BI126" s="926"/>
      <c r="BJ126" s="926"/>
      <c r="BK126" s="926"/>
      <c r="BL126" s="926"/>
      <c r="BM126" s="926"/>
      <c r="BN126" s="926"/>
      <c r="BO126" s="926"/>
      <c r="BP126" s="926"/>
      <c r="BQ126" s="926"/>
      <c r="BR126" s="926"/>
      <c r="BS126" s="926"/>
      <c r="BT126" s="926"/>
      <c r="BU126" s="926"/>
      <c r="BV126" s="926"/>
      <c r="BW126" s="926"/>
      <c r="BX126" s="926"/>
      <c r="BY126" s="932"/>
      <c r="BZ126" s="932"/>
      <c r="CA126" s="932"/>
      <c r="CB126" s="932"/>
      <c r="CC126" s="932"/>
      <c r="CD126" s="932"/>
      <c r="CE126" s="932"/>
      <c r="CF126" s="932"/>
    </row>
    <row r="127" spans="1:84" x14ac:dyDescent="0.25">
      <c r="A127" s="876">
        <v>33200</v>
      </c>
      <c r="B127" s="873" t="s">
        <v>1340</v>
      </c>
      <c r="C127" s="921">
        <v>2211076757</v>
      </c>
      <c r="D127" s="924">
        <v>1.3608205E-2</v>
      </c>
      <c r="E127" s="925"/>
      <c r="F127" s="926"/>
      <c r="G127" s="926"/>
      <c r="H127" s="926"/>
      <c r="I127" s="926"/>
      <c r="J127" s="926"/>
      <c r="K127" s="926"/>
      <c r="L127" s="926"/>
      <c r="M127" s="926"/>
      <c r="N127" s="926"/>
      <c r="O127" s="926"/>
      <c r="P127" s="926"/>
      <c r="Q127" s="926"/>
      <c r="R127" s="926"/>
      <c r="S127" s="926"/>
      <c r="T127" s="926"/>
      <c r="U127" s="926"/>
      <c r="V127" s="926"/>
      <c r="W127" s="926"/>
      <c r="X127" s="926"/>
      <c r="Y127" s="926"/>
      <c r="Z127" s="926"/>
      <c r="AA127" s="926"/>
      <c r="AB127" s="926"/>
      <c r="AC127" s="926"/>
      <c r="AD127" s="926"/>
      <c r="AE127" s="926"/>
      <c r="AF127" s="926"/>
      <c r="AG127" s="926"/>
      <c r="AH127" s="926"/>
      <c r="AI127" s="926"/>
      <c r="AJ127" s="926"/>
      <c r="AK127" s="926"/>
      <c r="AL127" s="926"/>
      <c r="AM127" s="926"/>
      <c r="AN127" s="926"/>
      <c r="AO127" s="926"/>
      <c r="AP127" s="926"/>
      <c r="AQ127" s="926"/>
      <c r="AR127" s="926"/>
      <c r="AS127" s="926"/>
      <c r="AT127" s="926"/>
      <c r="AU127" s="927"/>
      <c r="AV127" s="927"/>
      <c r="AW127" s="927"/>
      <c r="AX127" s="927"/>
      <c r="AY127" s="927"/>
      <c r="AZ127" s="927"/>
      <c r="BA127" s="927"/>
      <c r="BB127" s="927"/>
      <c r="BC127" s="928"/>
      <c r="BD127" s="929"/>
      <c r="BE127" s="930"/>
      <c r="BF127" s="930"/>
      <c r="BG127" s="931"/>
      <c r="BH127" s="931"/>
      <c r="BI127" s="926"/>
      <c r="BJ127" s="926"/>
      <c r="BK127" s="926"/>
      <c r="BL127" s="926"/>
      <c r="BM127" s="926"/>
      <c r="BN127" s="926"/>
      <c r="BO127" s="926"/>
      <c r="BP127" s="926"/>
      <c r="BQ127" s="926"/>
      <c r="BR127" s="926"/>
      <c r="BS127" s="926"/>
      <c r="BT127" s="926"/>
      <c r="BU127" s="926"/>
      <c r="BV127" s="926"/>
      <c r="BW127" s="926"/>
      <c r="BX127" s="926"/>
      <c r="BY127" s="932"/>
      <c r="BZ127" s="932"/>
      <c r="CA127" s="932"/>
      <c r="CB127" s="932"/>
      <c r="CC127" s="932"/>
      <c r="CD127" s="932"/>
      <c r="CE127" s="932"/>
      <c r="CF127" s="932"/>
    </row>
    <row r="128" spans="1:84" x14ac:dyDescent="0.25">
      <c r="A128" s="876">
        <v>33202</v>
      </c>
      <c r="B128" s="873" t="s">
        <v>1341</v>
      </c>
      <c r="C128" s="921">
        <v>38183468</v>
      </c>
      <c r="D128" s="924">
        <v>2.35002E-4</v>
      </c>
      <c r="E128" s="925"/>
      <c r="F128" s="926"/>
      <c r="G128" s="926"/>
      <c r="H128" s="926"/>
      <c r="I128" s="926"/>
      <c r="J128" s="926"/>
      <c r="K128" s="926"/>
      <c r="L128" s="926"/>
      <c r="M128" s="926"/>
      <c r="N128" s="926"/>
      <c r="O128" s="926"/>
      <c r="P128" s="926"/>
      <c r="Q128" s="926"/>
      <c r="R128" s="926"/>
      <c r="S128" s="926"/>
      <c r="T128" s="926"/>
      <c r="U128" s="926"/>
      <c r="V128" s="926"/>
      <c r="W128" s="926"/>
      <c r="X128" s="926"/>
      <c r="Y128" s="926"/>
      <c r="Z128" s="926"/>
      <c r="AA128" s="926"/>
      <c r="AB128" s="926"/>
      <c r="AC128" s="926"/>
      <c r="AD128" s="926"/>
      <c r="AE128" s="926"/>
      <c r="AF128" s="926"/>
      <c r="AG128" s="926"/>
      <c r="AH128" s="926"/>
      <c r="AI128" s="926"/>
      <c r="AJ128" s="926"/>
      <c r="AK128" s="926"/>
      <c r="AL128" s="926"/>
      <c r="AM128" s="926"/>
      <c r="AN128" s="926"/>
      <c r="AO128" s="926"/>
      <c r="AP128" s="926"/>
      <c r="AQ128" s="926"/>
      <c r="AR128" s="926"/>
      <c r="AS128" s="926"/>
      <c r="AT128" s="926"/>
      <c r="AU128" s="927"/>
      <c r="AV128" s="927"/>
      <c r="AW128" s="927"/>
      <c r="AX128" s="927"/>
      <c r="AY128" s="927"/>
      <c r="AZ128" s="927"/>
      <c r="BA128" s="927"/>
      <c r="BB128" s="927"/>
      <c r="BC128" s="928"/>
      <c r="BD128" s="929"/>
      <c r="BE128" s="930"/>
      <c r="BF128" s="930"/>
      <c r="BG128" s="931"/>
      <c r="BH128" s="931"/>
      <c r="BI128" s="926"/>
      <c r="BJ128" s="926"/>
      <c r="BK128" s="926"/>
      <c r="BL128" s="926"/>
      <c r="BM128" s="926"/>
      <c r="BN128" s="926"/>
      <c r="BO128" s="926"/>
      <c r="BP128" s="926"/>
      <c r="BQ128" s="926"/>
      <c r="BR128" s="926"/>
      <c r="BS128" s="926"/>
      <c r="BT128" s="926"/>
      <c r="BU128" s="926"/>
      <c r="BV128" s="926"/>
      <c r="BW128" s="926"/>
      <c r="BX128" s="926"/>
      <c r="BY128" s="932"/>
      <c r="BZ128" s="932"/>
      <c r="CA128" s="932"/>
      <c r="CB128" s="932"/>
      <c r="CC128" s="932"/>
      <c r="CD128" s="932"/>
      <c r="CE128" s="932"/>
      <c r="CF128" s="932"/>
    </row>
    <row r="129" spans="1:84" x14ac:dyDescent="0.25">
      <c r="A129" s="876">
        <v>33203</v>
      </c>
      <c r="B129" s="873" t="s">
        <v>1342</v>
      </c>
      <c r="C129" s="921">
        <v>18412902</v>
      </c>
      <c r="D129" s="924">
        <v>1.13323E-4</v>
      </c>
      <c r="E129" s="925"/>
      <c r="F129" s="926"/>
      <c r="G129" s="926"/>
      <c r="H129" s="926"/>
      <c r="I129" s="926"/>
      <c r="J129" s="926"/>
      <c r="K129" s="926"/>
      <c r="L129" s="926"/>
      <c r="M129" s="926"/>
      <c r="N129" s="926"/>
      <c r="O129" s="926"/>
      <c r="P129" s="926"/>
      <c r="Q129" s="926"/>
      <c r="R129" s="926"/>
      <c r="S129" s="926"/>
      <c r="T129" s="926"/>
      <c r="U129" s="926"/>
      <c r="V129" s="926"/>
      <c r="W129" s="926"/>
      <c r="X129" s="926"/>
      <c r="Y129" s="926"/>
      <c r="Z129" s="926"/>
      <c r="AA129" s="926"/>
      <c r="AB129" s="926"/>
      <c r="AC129" s="926"/>
      <c r="AD129" s="926"/>
      <c r="AE129" s="926"/>
      <c r="AF129" s="926"/>
      <c r="AG129" s="926"/>
      <c r="AH129" s="926"/>
      <c r="AI129" s="926"/>
      <c r="AJ129" s="926"/>
      <c r="AK129" s="926"/>
      <c r="AL129" s="926"/>
      <c r="AM129" s="926"/>
      <c r="AN129" s="926"/>
      <c r="AO129" s="926"/>
      <c r="AP129" s="926"/>
      <c r="AQ129" s="926"/>
      <c r="AR129" s="926"/>
      <c r="AS129" s="926"/>
      <c r="AT129" s="926"/>
      <c r="AU129" s="927"/>
      <c r="AV129" s="927"/>
      <c r="AW129" s="927"/>
      <c r="AX129" s="927"/>
      <c r="AY129" s="927"/>
      <c r="AZ129" s="927"/>
      <c r="BA129" s="927"/>
      <c r="BB129" s="927"/>
      <c r="BC129" s="928"/>
      <c r="BD129" s="929"/>
      <c r="BE129" s="930"/>
      <c r="BF129" s="930"/>
      <c r="BG129" s="931"/>
      <c r="BH129" s="931"/>
      <c r="BI129" s="926"/>
      <c r="BJ129" s="926"/>
      <c r="BK129" s="926"/>
      <c r="BL129" s="926"/>
      <c r="BM129" s="926"/>
      <c r="BN129" s="926"/>
      <c r="BO129" s="926"/>
      <c r="BP129" s="926"/>
      <c r="BQ129" s="926"/>
      <c r="BR129" s="926"/>
      <c r="BS129" s="926"/>
      <c r="BT129" s="926"/>
      <c r="BU129" s="926"/>
      <c r="BV129" s="926"/>
      <c r="BW129" s="926"/>
      <c r="BX129" s="926"/>
      <c r="BY129" s="932"/>
      <c r="BZ129" s="932"/>
      <c r="CA129" s="932"/>
      <c r="CB129" s="932"/>
      <c r="CC129" s="932"/>
      <c r="CD129" s="932"/>
      <c r="CE129" s="932"/>
      <c r="CF129" s="932"/>
    </row>
    <row r="130" spans="1:84" x14ac:dyDescent="0.25">
      <c r="A130" s="876">
        <v>33204</v>
      </c>
      <c r="B130" s="873" t="s">
        <v>1343</v>
      </c>
      <c r="C130" s="921">
        <v>62370322</v>
      </c>
      <c r="D130" s="924">
        <v>3.8386200000000001E-4</v>
      </c>
      <c r="E130" s="925"/>
      <c r="F130" s="926"/>
      <c r="G130" s="926"/>
      <c r="H130" s="926"/>
      <c r="I130" s="926"/>
      <c r="J130" s="926"/>
      <c r="K130" s="926"/>
      <c r="L130" s="926"/>
      <c r="M130" s="926"/>
      <c r="N130" s="926"/>
      <c r="O130" s="926"/>
      <c r="P130" s="926"/>
      <c r="Q130" s="926"/>
      <c r="R130" s="926"/>
      <c r="S130" s="926"/>
      <c r="T130" s="926"/>
      <c r="U130" s="926"/>
      <c r="V130" s="926"/>
      <c r="W130" s="926"/>
      <c r="X130" s="926"/>
      <c r="Y130" s="926"/>
      <c r="Z130" s="926"/>
      <c r="AA130" s="926"/>
      <c r="AB130" s="926"/>
      <c r="AC130" s="926"/>
      <c r="AD130" s="926"/>
      <c r="AE130" s="926"/>
      <c r="AF130" s="926"/>
      <c r="AG130" s="926"/>
      <c r="AH130" s="926"/>
      <c r="AI130" s="926"/>
      <c r="AJ130" s="926"/>
      <c r="AK130" s="926"/>
      <c r="AL130" s="926"/>
      <c r="AM130" s="926"/>
      <c r="AN130" s="926"/>
      <c r="AO130" s="926"/>
      <c r="AP130" s="926"/>
      <c r="AQ130" s="926"/>
      <c r="AR130" s="926"/>
      <c r="AS130" s="926"/>
      <c r="AT130" s="926"/>
      <c r="AU130" s="927"/>
      <c r="AV130" s="927"/>
      <c r="AW130" s="927"/>
      <c r="AX130" s="927"/>
      <c r="AY130" s="927"/>
      <c r="AZ130" s="927"/>
      <c r="BA130" s="927"/>
      <c r="BB130" s="927"/>
      <c r="BC130" s="928"/>
      <c r="BD130" s="929"/>
      <c r="BE130" s="930"/>
      <c r="BF130" s="930"/>
      <c r="BG130" s="931"/>
      <c r="BH130" s="931"/>
      <c r="BI130" s="926"/>
      <c r="BJ130" s="926"/>
      <c r="BK130" s="926"/>
      <c r="BL130" s="926"/>
      <c r="BM130" s="926"/>
      <c r="BN130" s="926"/>
      <c r="BO130" s="926"/>
      <c r="BP130" s="926"/>
      <c r="BQ130" s="926"/>
      <c r="BR130" s="926"/>
      <c r="BS130" s="926"/>
      <c r="BT130" s="926"/>
      <c r="BU130" s="926"/>
      <c r="BV130" s="926"/>
      <c r="BW130" s="926"/>
      <c r="BX130" s="926"/>
      <c r="BY130" s="932"/>
      <c r="BZ130" s="932"/>
      <c r="CA130" s="932"/>
      <c r="CB130" s="932"/>
      <c r="CC130" s="932"/>
      <c r="CD130" s="932"/>
      <c r="CE130" s="932"/>
      <c r="CF130" s="932"/>
    </row>
    <row r="131" spans="1:84" x14ac:dyDescent="0.25">
      <c r="A131" s="876">
        <v>33205</v>
      </c>
      <c r="B131" s="873" t="s">
        <v>1344</v>
      </c>
      <c r="C131" s="921">
        <v>176837009</v>
      </c>
      <c r="D131" s="924">
        <v>1.0883539999999999E-3</v>
      </c>
      <c r="E131" s="925"/>
      <c r="F131" s="926"/>
      <c r="G131" s="926"/>
      <c r="H131" s="926"/>
      <c r="I131" s="926"/>
      <c r="J131" s="926"/>
      <c r="K131" s="926"/>
      <c r="L131" s="926"/>
      <c r="M131" s="926"/>
      <c r="N131" s="926"/>
      <c r="O131" s="926"/>
      <c r="P131" s="926"/>
      <c r="Q131" s="926"/>
      <c r="R131" s="926"/>
      <c r="S131" s="926"/>
      <c r="T131" s="926"/>
      <c r="U131" s="926"/>
      <c r="V131" s="926"/>
      <c r="W131" s="926"/>
      <c r="X131" s="926"/>
      <c r="Y131" s="926"/>
      <c r="Z131" s="926"/>
      <c r="AA131" s="926"/>
      <c r="AB131" s="926"/>
      <c r="AC131" s="926"/>
      <c r="AD131" s="926"/>
      <c r="AE131" s="926"/>
      <c r="AF131" s="926"/>
      <c r="AG131" s="926"/>
      <c r="AH131" s="926"/>
      <c r="AI131" s="926"/>
      <c r="AJ131" s="926"/>
      <c r="AK131" s="926"/>
      <c r="AL131" s="926"/>
      <c r="AM131" s="926"/>
      <c r="AN131" s="926"/>
      <c r="AO131" s="926"/>
      <c r="AP131" s="926"/>
      <c r="AQ131" s="926"/>
      <c r="AR131" s="926"/>
      <c r="AS131" s="926"/>
      <c r="AT131" s="926"/>
      <c r="AU131" s="927"/>
      <c r="AV131" s="927"/>
      <c r="AW131" s="927"/>
      <c r="AX131" s="927"/>
      <c r="AY131" s="927"/>
      <c r="AZ131" s="927"/>
      <c r="BA131" s="927"/>
      <c r="BB131" s="927"/>
      <c r="BC131" s="928"/>
      <c r="BD131" s="929"/>
      <c r="BE131" s="930"/>
      <c r="BF131" s="930"/>
      <c r="BG131" s="931"/>
      <c r="BH131" s="931"/>
      <c r="BI131" s="926"/>
      <c r="BJ131" s="926"/>
      <c r="BK131" s="926"/>
      <c r="BL131" s="926"/>
      <c r="BM131" s="926"/>
      <c r="BN131" s="926"/>
      <c r="BO131" s="926"/>
      <c r="BP131" s="926"/>
      <c r="BQ131" s="926"/>
      <c r="BR131" s="926"/>
      <c r="BS131" s="926"/>
      <c r="BT131" s="926"/>
      <c r="BU131" s="926"/>
      <c r="BV131" s="926"/>
      <c r="BW131" s="926"/>
      <c r="BX131" s="926"/>
      <c r="BY131" s="932"/>
      <c r="BZ131" s="932"/>
      <c r="CA131" s="932"/>
      <c r="CB131" s="932"/>
      <c r="CC131" s="932"/>
      <c r="CD131" s="932"/>
      <c r="CE131" s="932"/>
      <c r="CF131" s="932"/>
    </row>
    <row r="132" spans="1:84" x14ac:dyDescent="0.25">
      <c r="A132" s="876">
        <v>33206</v>
      </c>
      <c r="B132" s="873" t="s">
        <v>1345</v>
      </c>
      <c r="C132" s="921">
        <v>17513160</v>
      </c>
      <c r="D132" s="924">
        <v>1.07786E-4</v>
      </c>
      <c r="E132" s="925"/>
      <c r="F132" s="926"/>
      <c r="G132" s="926"/>
      <c r="H132" s="926"/>
      <c r="I132" s="926"/>
      <c r="J132" s="926"/>
      <c r="K132" s="926"/>
      <c r="L132" s="926"/>
      <c r="M132" s="926"/>
      <c r="N132" s="926"/>
      <c r="O132" s="926"/>
      <c r="P132" s="926"/>
      <c r="Q132" s="926"/>
      <c r="R132" s="926"/>
      <c r="S132" s="926"/>
      <c r="T132" s="926"/>
      <c r="U132" s="926"/>
      <c r="V132" s="926"/>
      <c r="W132" s="926"/>
      <c r="X132" s="926"/>
      <c r="Y132" s="926"/>
      <c r="Z132" s="926"/>
      <c r="AA132" s="926"/>
      <c r="AB132" s="926"/>
      <c r="AC132" s="926"/>
      <c r="AD132" s="926"/>
      <c r="AE132" s="926"/>
      <c r="AF132" s="926"/>
      <c r="AG132" s="926"/>
      <c r="AH132" s="926"/>
      <c r="AI132" s="926"/>
      <c r="AJ132" s="926"/>
      <c r="AK132" s="926"/>
      <c r="AL132" s="926"/>
      <c r="AM132" s="926"/>
      <c r="AN132" s="926"/>
      <c r="AO132" s="926"/>
      <c r="AP132" s="926"/>
      <c r="AQ132" s="926"/>
      <c r="AR132" s="926"/>
      <c r="AS132" s="926"/>
      <c r="AT132" s="926"/>
      <c r="AU132" s="927"/>
      <c r="AV132" s="927"/>
      <c r="AW132" s="927"/>
      <c r="AX132" s="927"/>
      <c r="AY132" s="927"/>
      <c r="AZ132" s="927"/>
      <c r="BA132" s="927"/>
      <c r="BB132" s="927"/>
      <c r="BC132" s="928"/>
      <c r="BD132" s="929"/>
      <c r="BE132" s="930"/>
      <c r="BF132" s="930"/>
      <c r="BG132" s="931"/>
      <c r="BH132" s="931"/>
      <c r="BI132" s="926"/>
      <c r="BJ132" s="926"/>
      <c r="BK132" s="926"/>
      <c r="BL132" s="926"/>
      <c r="BM132" s="926"/>
      <c r="BN132" s="926"/>
      <c r="BO132" s="926"/>
      <c r="BP132" s="926"/>
      <c r="BQ132" s="926"/>
      <c r="BR132" s="926"/>
      <c r="BS132" s="926"/>
      <c r="BT132" s="926"/>
      <c r="BU132" s="926"/>
      <c r="BV132" s="926"/>
      <c r="BW132" s="926"/>
      <c r="BX132" s="926"/>
      <c r="BY132" s="932"/>
      <c r="BZ132" s="932"/>
      <c r="CA132" s="932"/>
      <c r="CB132" s="932"/>
      <c r="CC132" s="932"/>
      <c r="CD132" s="932"/>
      <c r="CE132" s="932"/>
      <c r="CF132" s="932"/>
    </row>
    <row r="133" spans="1:84" x14ac:dyDescent="0.25">
      <c r="A133" s="876">
        <v>33207</v>
      </c>
      <c r="B133" s="873" t="s">
        <v>1346</v>
      </c>
      <c r="C133" s="921">
        <v>51732234</v>
      </c>
      <c r="D133" s="924">
        <v>3.1838899999999998E-4</v>
      </c>
      <c r="E133" s="925"/>
      <c r="F133" s="926"/>
      <c r="G133" s="926"/>
      <c r="H133" s="926"/>
      <c r="I133" s="926"/>
      <c r="J133" s="926"/>
      <c r="K133" s="926"/>
      <c r="L133" s="926"/>
      <c r="M133" s="926"/>
      <c r="N133" s="926"/>
      <c r="O133" s="926"/>
      <c r="P133" s="926"/>
      <c r="Q133" s="926"/>
      <c r="R133" s="926"/>
      <c r="S133" s="926"/>
      <c r="T133" s="926"/>
      <c r="U133" s="926"/>
      <c r="V133" s="926"/>
      <c r="W133" s="926"/>
      <c r="X133" s="926"/>
      <c r="Y133" s="926"/>
      <c r="Z133" s="926"/>
      <c r="AA133" s="926"/>
      <c r="AB133" s="926"/>
      <c r="AC133" s="926"/>
      <c r="AD133" s="926"/>
      <c r="AE133" s="926"/>
      <c r="AF133" s="926"/>
      <c r="AG133" s="926"/>
      <c r="AH133" s="926"/>
      <c r="AI133" s="926"/>
      <c r="AJ133" s="926"/>
      <c r="AK133" s="926"/>
      <c r="AL133" s="926"/>
      <c r="AM133" s="926"/>
      <c r="AN133" s="926"/>
      <c r="AO133" s="926"/>
      <c r="AP133" s="926"/>
      <c r="AQ133" s="926"/>
      <c r="AR133" s="926"/>
      <c r="AS133" s="926"/>
      <c r="AT133" s="926"/>
      <c r="AU133" s="927"/>
      <c r="AV133" s="927"/>
      <c r="AW133" s="927"/>
      <c r="AX133" s="927"/>
      <c r="AY133" s="927"/>
      <c r="AZ133" s="927"/>
      <c r="BA133" s="927"/>
      <c r="BB133" s="927"/>
      <c r="BC133" s="928"/>
      <c r="BD133" s="929"/>
      <c r="BE133" s="930"/>
      <c r="BF133" s="930"/>
      <c r="BG133" s="931"/>
      <c r="BH133" s="931"/>
      <c r="BI133" s="926"/>
      <c r="BJ133" s="926"/>
      <c r="BK133" s="926"/>
      <c r="BL133" s="926"/>
      <c r="BM133" s="926"/>
      <c r="BN133" s="926"/>
      <c r="BO133" s="926"/>
      <c r="BP133" s="926"/>
      <c r="BQ133" s="926"/>
      <c r="BR133" s="926"/>
      <c r="BS133" s="926"/>
      <c r="BT133" s="926"/>
      <c r="BU133" s="926"/>
      <c r="BV133" s="926"/>
      <c r="BW133" s="926"/>
      <c r="BX133" s="926"/>
      <c r="BY133" s="932"/>
      <c r="BZ133" s="932"/>
      <c r="CA133" s="932"/>
      <c r="CB133" s="932"/>
      <c r="CC133" s="932"/>
      <c r="CD133" s="932"/>
      <c r="CE133" s="932"/>
      <c r="CF133" s="932"/>
    </row>
    <row r="134" spans="1:84" x14ac:dyDescent="0.25">
      <c r="A134" s="876">
        <v>33208</v>
      </c>
      <c r="B134" s="873" t="s">
        <v>1347</v>
      </c>
      <c r="C134" s="921">
        <v>0</v>
      </c>
      <c r="D134" s="924">
        <v>0</v>
      </c>
      <c r="E134" s="925"/>
      <c r="F134" s="926"/>
      <c r="G134" s="926"/>
      <c r="H134" s="926"/>
      <c r="I134" s="926"/>
      <c r="J134" s="926"/>
      <c r="K134" s="926"/>
      <c r="L134" s="926"/>
      <c r="M134" s="926"/>
      <c r="N134" s="926"/>
      <c r="O134" s="926"/>
      <c r="P134" s="926"/>
      <c r="Q134" s="926"/>
      <c r="R134" s="926"/>
      <c r="S134" s="926"/>
      <c r="T134" s="926"/>
      <c r="U134" s="926"/>
      <c r="V134" s="926"/>
      <c r="W134" s="926"/>
      <c r="X134" s="926"/>
      <c r="Y134" s="926"/>
      <c r="Z134" s="926"/>
      <c r="AA134" s="926"/>
      <c r="AB134" s="926"/>
      <c r="AC134" s="926"/>
      <c r="AD134" s="926"/>
      <c r="AE134" s="926"/>
      <c r="AF134" s="926"/>
      <c r="AG134" s="926"/>
      <c r="AH134" s="926"/>
      <c r="AI134" s="926"/>
      <c r="AJ134" s="926"/>
      <c r="AK134" s="926"/>
      <c r="AL134" s="926"/>
      <c r="AM134" s="926"/>
      <c r="AN134" s="926"/>
      <c r="AO134" s="926"/>
      <c r="AP134" s="926"/>
      <c r="AQ134" s="926"/>
      <c r="AR134" s="926"/>
      <c r="AS134" s="926"/>
      <c r="AT134" s="926"/>
      <c r="AU134" s="927"/>
      <c r="AV134" s="927"/>
      <c r="AW134" s="927"/>
      <c r="AX134" s="927"/>
      <c r="AY134" s="927"/>
      <c r="AZ134" s="927"/>
      <c r="BA134" s="927"/>
      <c r="BB134" s="927"/>
      <c r="BC134" s="928"/>
      <c r="BD134" s="929"/>
      <c r="BE134" s="930"/>
      <c r="BF134" s="930"/>
      <c r="BG134" s="931"/>
      <c r="BH134" s="931"/>
      <c r="BI134" s="926"/>
      <c r="BJ134" s="926"/>
      <c r="BK134" s="926"/>
      <c r="BL134" s="926"/>
      <c r="BM134" s="926"/>
      <c r="BN134" s="926"/>
      <c r="BO134" s="926"/>
      <c r="BP134" s="926"/>
      <c r="BQ134" s="926"/>
      <c r="BR134" s="926"/>
      <c r="BS134" s="926"/>
      <c r="BT134" s="926"/>
      <c r="BU134" s="926"/>
      <c r="BV134" s="926"/>
      <c r="BW134" s="926"/>
      <c r="BX134" s="926"/>
      <c r="BY134" s="932"/>
      <c r="BZ134" s="932"/>
      <c r="CA134" s="932"/>
      <c r="CB134" s="932"/>
      <c r="CC134" s="932"/>
      <c r="CD134" s="932"/>
      <c r="CE134" s="932"/>
      <c r="CF134" s="932"/>
    </row>
    <row r="135" spans="1:84" x14ac:dyDescent="0.25">
      <c r="A135" s="876">
        <v>33209</v>
      </c>
      <c r="B135" s="873" t="s">
        <v>1348</v>
      </c>
      <c r="C135" s="921">
        <v>14127304</v>
      </c>
      <c r="D135" s="924">
        <v>8.6947000000000006E-5</v>
      </c>
      <c r="E135" s="925"/>
      <c r="F135" s="926"/>
      <c r="G135" s="926"/>
      <c r="H135" s="926"/>
      <c r="I135" s="926"/>
      <c r="J135" s="926"/>
      <c r="K135" s="926"/>
      <c r="L135" s="926"/>
      <c r="M135" s="926"/>
      <c r="N135" s="926"/>
      <c r="O135" s="926"/>
      <c r="P135" s="926"/>
      <c r="Q135" s="926"/>
      <c r="R135" s="926"/>
      <c r="S135" s="926"/>
      <c r="T135" s="926"/>
      <c r="U135" s="926"/>
      <c r="V135" s="926"/>
      <c r="W135" s="926"/>
      <c r="X135" s="926"/>
      <c r="Y135" s="926"/>
      <c r="Z135" s="926"/>
      <c r="AA135" s="926"/>
      <c r="AB135" s="926"/>
      <c r="AC135" s="926"/>
      <c r="AD135" s="926"/>
      <c r="AE135" s="926"/>
      <c r="AF135" s="926"/>
      <c r="AG135" s="926"/>
      <c r="AH135" s="926"/>
      <c r="AI135" s="926"/>
      <c r="AJ135" s="926"/>
      <c r="AK135" s="926"/>
      <c r="AL135" s="926"/>
      <c r="AM135" s="926"/>
      <c r="AN135" s="926"/>
      <c r="AO135" s="926"/>
      <c r="AP135" s="926"/>
      <c r="AQ135" s="926"/>
      <c r="AR135" s="926"/>
      <c r="AS135" s="926"/>
      <c r="AT135" s="926"/>
      <c r="AU135" s="927"/>
      <c r="AV135" s="927"/>
      <c r="AW135" s="927"/>
      <c r="AX135" s="927"/>
      <c r="AY135" s="927"/>
      <c r="AZ135" s="927"/>
      <c r="BA135" s="927"/>
      <c r="BB135" s="927"/>
      <c r="BC135" s="928"/>
      <c r="BD135" s="929"/>
      <c r="BE135" s="930"/>
      <c r="BF135" s="930"/>
      <c r="BG135" s="931"/>
      <c r="BH135" s="931"/>
      <c r="BI135" s="926"/>
      <c r="BJ135" s="926"/>
      <c r="BK135" s="926"/>
      <c r="BL135" s="926"/>
      <c r="BM135" s="926"/>
      <c r="BN135" s="926"/>
      <c r="BO135" s="926"/>
      <c r="BP135" s="926"/>
      <c r="BQ135" s="926"/>
      <c r="BR135" s="926"/>
      <c r="BS135" s="926"/>
      <c r="BT135" s="926"/>
      <c r="BU135" s="926"/>
      <c r="BV135" s="926"/>
      <c r="BW135" s="926"/>
      <c r="BX135" s="926"/>
      <c r="BY135" s="932"/>
      <c r="BZ135" s="932"/>
      <c r="CA135" s="932"/>
      <c r="CB135" s="932"/>
      <c r="CC135" s="932"/>
      <c r="CD135" s="932"/>
      <c r="CE135" s="932"/>
      <c r="CF135" s="932"/>
    </row>
    <row r="136" spans="1:84" x14ac:dyDescent="0.25">
      <c r="A136" s="876">
        <v>33300</v>
      </c>
      <c r="B136" s="873" t="s">
        <v>1349</v>
      </c>
      <c r="C136" s="921">
        <v>330467915</v>
      </c>
      <c r="D136" s="924">
        <v>2.033885E-3</v>
      </c>
      <c r="E136" s="925"/>
      <c r="F136" s="926"/>
      <c r="G136" s="926"/>
      <c r="H136" s="926"/>
      <c r="I136" s="926"/>
      <c r="J136" s="926"/>
      <c r="K136" s="926"/>
      <c r="L136" s="926"/>
      <c r="M136" s="926"/>
      <c r="N136" s="926"/>
      <c r="O136" s="926"/>
      <c r="P136" s="926"/>
      <c r="Q136" s="926"/>
      <c r="R136" s="926"/>
      <c r="S136" s="926"/>
      <c r="T136" s="926"/>
      <c r="U136" s="926"/>
      <c r="V136" s="926"/>
      <c r="W136" s="926"/>
      <c r="X136" s="926"/>
      <c r="Y136" s="926"/>
      <c r="Z136" s="926"/>
      <c r="AA136" s="926"/>
      <c r="AB136" s="926"/>
      <c r="AC136" s="926"/>
      <c r="AD136" s="926"/>
      <c r="AE136" s="926"/>
      <c r="AF136" s="926"/>
      <c r="AG136" s="926"/>
      <c r="AH136" s="926"/>
      <c r="AI136" s="926"/>
      <c r="AJ136" s="926"/>
      <c r="AK136" s="926"/>
      <c r="AL136" s="926"/>
      <c r="AM136" s="926"/>
      <c r="AN136" s="926"/>
      <c r="AO136" s="926"/>
      <c r="AP136" s="926"/>
      <c r="AQ136" s="926"/>
      <c r="AR136" s="926"/>
      <c r="AS136" s="926"/>
      <c r="AT136" s="926"/>
      <c r="AU136" s="927"/>
      <c r="AV136" s="927"/>
      <c r="AW136" s="927"/>
      <c r="AX136" s="927"/>
      <c r="AY136" s="927"/>
      <c r="AZ136" s="927"/>
      <c r="BA136" s="927"/>
      <c r="BB136" s="927"/>
      <c r="BC136" s="928"/>
      <c r="BD136" s="929"/>
      <c r="BE136" s="930"/>
      <c r="BF136" s="930"/>
      <c r="BG136" s="931"/>
      <c r="BH136" s="931"/>
      <c r="BI136" s="926"/>
      <c r="BJ136" s="926"/>
      <c r="BK136" s="926"/>
      <c r="BL136" s="926"/>
      <c r="BM136" s="926"/>
      <c r="BN136" s="926"/>
      <c r="BO136" s="926"/>
      <c r="BP136" s="926"/>
      <c r="BQ136" s="926"/>
      <c r="BR136" s="926"/>
      <c r="BS136" s="926"/>
      <c r="BT136" s="926"/>
      <c r="BU136" s="926"/>
      <c r="BV136" s="926"/>
      <c r="BW136" s="926"/>
      <c r="BX136" s="926"/>
      <c r="BY136" s="932"/>
      <c r="BZ136" s="932"/>
      <c r="CA136" s="932"/>
      <c r="CB136" s="932"/>
      <c r="CC136" s="932"/>
      <c r="CD136" s="932"/>
      <c r="CE136" s="932"/>
      <c r="CF136" s="932"/>
    </row>
    <row r="137" spans="1:84" x14ac:dyDescent="0.25">
      <c r="A137" s="876">
        <v>33305</v>
      </c>
      <c r="B137" s="873" t="s">
        <v>1350</v>
      </c>
      <c r="C137" s="921">
        <v>78081298</v>
      </c>
      <c r="D137" s="924">
        <v>4.8055599999999998E-4</v>
      </c>
      <c r="E137" s="925"/>
      <c r="F137" s="926"/>
      <c r="G137" s="926"/>
      <c r="H137" s="926"/>
      <c r="I137" s="926"/>
      <c r="J137" s="926"/>
      <c r="K137" s="926"/>
      <c r="L137" s="926"/>
      <c r="M137" s="926"/>
      <c r="N137" s="926"/>
      <c r="O137" s="926"/>
      <c r="P137" s="926"/>
      <c r="Q137" s="926"/>
      <c r="R137" s="926"/>
      <c r="S137" s="926"/>
      <c r="T137" s="926"/>
      <c r="U137" s="926"/>
      <c r="V137" s="926"/>
      <c r="W137" s="926"/>
      <c r="X137" s="926"/>
      <c r="Y137" s="926"/>
      <c r="Z137" s="926"/>
      <c r="AA137" s="926"/>
      <c r="AB137" s="926"/>
      <c r="AC137" s="926"/>
      <c r="AD137" s="926"/>
      <c r="AE137" s="926"/>
      <c r="AF137" s="926"/>
      <c r="AG137" s="926"/>
      <c r="AH137" s="926"/>
      <c r="AI137" s="926"/>
      <c r="AJ137" s="926"/>
      <c r="AK137" s="926"/>
      <c r="AL137" s="926"/>
      <c r="AM137" s="926"/>
      <c r="AN137" s="926"/>
      <c r="AO137" s="926"/>
      <c r="AP137" s="926"/>
      <c r="AQ137" s="926"/>
      <c r="AR137" s="926"/>
      <c r="AS137" s="926"/>
      <c r="AT137" s="926"/>
      <c r="AU137" s="927"/>
      <c r="AV137" s="927"/>
      <c r="AW137" s="927"/>
      <c r="AX137" s="927"/>
      <c r="AY137" s="927"/>
      <c r="AZ137" s="927"/>
      <c r="BA137" s="927"/>
      <c r="BB137" s="927"/>
      <c r="BC137" s="928"/>
      <c r="BD137" s="929"/>
      <c r="BE137" s="930"/>
      <c r="BF137" s="930"/>
      <c r="BG137" s="931"/>
      <c r="BH137" s="931"/>
      <c r="BI137" s="926"/>
      <c r="BJ137" s="926"/>
      <c r="BK137" s="926"/>
      <c r="BL137" s="926"/>
      <c r="BM137" s="926"/>
      <c r="BN137" s="926"/>
      <c r="BO137" s="926"/>
      <c r="BP137" s="926"/>
      <c r="BQ137" s="926"/>
      <c r="BR137" s="926"/>
      <c r="BS137" s="926"/>
      <c r="BT137" s="926"/>
      <c r="BU137" s="926"/>
      <c r="BV137" s="926"/>
      <c r="BW137" s="926"/>
      <c r="BX137" s="926"/>
      <c r="BY137" s="932"/>
      <c r="BZ137" s="932"/>
      <c r="CA137" s="932"/>
      <c r="CB137" s="932"/>
      <c r="CC137" s="932"/>
      <c r="CD137" s="932"/>
      <c r="CE137" s="932"/>
      <c r="CF137" s="932"/>
    </row>
    <row r="138" spans="1:84" x14ac:dyDescent="0.25">
      <c r="A138" s="876">
        <v>33400</v>
      </c>
      <c r="B138" s="873" t="s">
        <v>1351</v>
      </c>
      <c r="C138" s="921">
        <v>2970638869</v>
      </c>
      <c r="D138" s="924">
        <v>1.8282975999999999E-2</v>
      </c>
      <c r="E138" s="925"/>
      <c r="F138" s="926"/>
      <c r="G138" s="926"/>
      <c r="H138" s="926"/>
      <c r="I138" s="926"/>
      <c r="J138" s="926"/>
      <c r="K138" s="926"/>
      <c r="L138" s="926"/>
      <c r="M138" s="926"/>
      <c r="N138" s="926"/>
      <c r="O138" s="926"/>
      <c r="P138" s="926"/>
      <c r="Q138" s="926"/>
      <c r="R138" s="926"/>
      <c r="S138" s="926"/>
      <c r="T138" s="926"/>
      <c r="U138" s="926"/>
      <c r="V138" s="926"/>
      <c r="W138" s="926"/>
      <c r="X138" s="926"/>
      <c r="Y138" s="926"/>
      <c r="Z138" s="926"/>
      <c r="AA138" s="926"/>
      <c r="AB138" s="926"/>
      <c r="AC138" s="926"/>
      <c r="AD138" s="926"/>
      <c r="AE138" s="926"/>
      <c r="AF138" s="926"/>
      <c r="AG138" s="926"/>
      <c r="AH138" s="926"/>
      <c r="AI138" s="926"/>
      <c r="AJ138" s="926"/>
      <c r="AK138" s="926"/>
      <c r="AL138" s="926"/>
      <c r="AM138" s="926"/>
      <c r="AN138" s="926"/>
      <c r="AO138" s="926"/>
      <c r="AP138" s="926"/>
      <c r="AQ138" s="926"/>
      <c r="AR138" s="926"/>
      <c r="AS138" s="926"/>
      <c r="AT138" s="926"/>
      <c r="AU138" s="927"/>
      <c r="AV138" s="927"/>
      <c r="AW138" s="927"/>
      <c r="AX138" s="927"/>
      <c r="AY138" s="927"/>
      <c r="AZ138" s="927"/>
      <c r="BA138" s="927"/>
      <c r="BB138" s="927"/>
      <c r="BC138" s="928"/>
      <c r="BD138" s="929"/>
      <c r="BE138" s="930"/>
      <c r="BF138" s="930"/>
      <c r="BG138" s="931"/>
      <c r="BH138" s="931"/>
      <c r="BI138" s="926"/>
      <c r="BJ138" s="926"/>
      <c r="BK138" s="926"/>
      <c r="BL138" s="926"/>
      <c r="BM138" s="926"/>
      <c r="BN138" s="926"/>
      <c r="BO138" s="926"/>
      <c r="BP138" s="926"/>
      <c r="BQ138" s="926"/>
      <c r="BR138" s="926"/>
      <c r="BS138" s="926"/>
      <c r="BT138" s="926"/>
      <c r="BU138" s="926"/>
      <c r="BV138" s="926"/>
      <c r="BW138" s="926"/>
      <c r="BX138" s="926"/>
      <c r="BY138" s="932"/>
      <c r="BZ138" s="932"/>
      <c r="CA138" s="932"/>
      <c r="CB138" s="932"/>
      <c r="CC138" s="932"/>
      <c r="CD138" s="932"/>
      <c r="CE138" s="932"/>
      <c r="CF138" s="932"/>
    </row>
    <row r="139" spans="1:84" x14ac:dyDescent="0.25">
      <c r="A139" s="876">
        <v>33402</v>
      </c>
      <c r="B139" s="873" t="s">
        <v>1352</v>
      </c>
      <c r="C139" s="921">
        <v>25569449</v>
      </c>
      <c r="D139" s="924">
        <v>1.57369E-4</v>
      </c>
      <c r="E139" s="925"/>
      <c r="F139" s="926"/>
      <c r="G139" s="926"/>
      <c r="H139" s="926"/>
      <c r="I139" s="926"/>
      <c r="J139" s="926"/>
      <c r="K139" s="926"/>
      <c r="L139" s="926"/>
      <c r="M139" s="926"/>
      <c r="N139" s="926"/>
      <c r="O139" s="926"/>
      <c r="P139" s="926"/>
      <c r="Q139" s="926"/>
      <c r="R139" s="926"/>
      <c r="S139" s="926"/>
      <c r="T139" s="926"/>
      <c r="U139" s="926"/>
      <c r="V139" s="926"/>
      <c r="W139" s="926"/>
      <c r="X139" s="926"/>
      <c r="Y139" s="926"/>
      <c r="Z139" s="926"/>
      <c r="AA139" s="926"/>
      <c r="AB139" s="926"/>
      <c r="AC139" s="926"/>
      <c r="AD139" s="926"/>
      <c r="AE139" s="926"/>
      <c r="AF139" s="926"/>
      <c r="AG139" s="926"/>
      <c r="AH139" s="926"/>
      <c r="AI139" s="926"/>
      <c r="AJ139" s="926"/>
      <c r="AK139" s="926"/>
      <c r="AL139" s="926"/>
      <c r="AM139" s="926"/>
      <c r="AN139" s="926"/>
      <c r="AO139" s="926"/>
      <c r="AP139" s="926"/>
      <c r="AQ139" s="926"/>
      <c r="AR139" s="926"/>
      <c r="AS139" s="926"/>
      <c r="AT139" s="926"/>
      <c r="AU139" s="927"/>
      <c r="AV139" s="927"/>
      <c r="AW139" s="927"/>
      <c r="AX139" s="927"/>
      <c r="AY139" s="927"/>
      <c r="AZ139" s="927"/>
      <c r="BA139" s="927"/>
      <c r="BB139" s="927"/>
      <c r="BC139" s="928"/>
      <c r="BD139" s="929"/>
      <c r="BE139" s="930"/>
      <c r="BF139" s="930"/>
      <c r="BG139" s="931"/>
      <c r="BH139" s="931"/>
      <c r="BI139" s="926"/>
      <c r="BJ139" s="926"/>
      <c r="BK139" s="926"/>
      <c r="BL139" s="926"/>
      <c r="BM139" s="926"/>
      <c r="BN139" s="926"/>
      <c r="BO139" s="926"/>
      <c r="BP139" s="926"/>
      <c r="BQ139" s="926"/>
      <c r="BR139" s="926"/>
      <c r="BS139" s="926"/>
      <c r="BT139" s="926"/>
      <c r="BU139" s="926"/>
      <c r="BV139" s="926"/>
      <c r="BW139" s="926"/>
      <c r="BX139" s="926"/>
      <c r="BY139" s="932"/>
      <c r="BZ139" s="932"/>
      <c r="CA139" s="932"/>
      <c r="CB139" s="932"/>
      <c r="CC139" s="932"/>
      <c r="CD139" s="932"/>
      <c r="CE139" s="932"/>
      <c r="CF139" s="932"/>
    </row>
    <row r="140" spans="1:84" x14ac:dyDescent="0.25">
      <c r="A140" s="876">
        <v>33405</v>
      </c>
      <c r="B140" s="873" t="s">
        <v>1353</v>
      </c>
      <c r="C140" s="921">
        <v>259177318</v>
      </c>
      <c r="D140" s="924">
        <v>1.595122E-3</v>
      </c>
      <c r="E140" s="925"/>
      <c r="F140" s="926"/>
      <c r="G140" s="926"/>
      <c r="H140" s="926"/>
      <c r="I140" s="926"/>
      <c r="J140" s="926"/>
      <c r="K140" s="926"/>
      <c r="L140" s="926"/>
      <c r="M140" s="926"/>
      <c r="N140" s="926"/>
      <c r="O140" s="926"/>
      <c r="P140" s="926"/>
      <c r="Q140" s="926"/>
      <c r="R140" s="926"/>
      <c r="S140" s="926"/>
      <c r="T140" s="926"/>
      <c r="U140" s="926"/>
      <c r="V140" s="926"/>
      <c r="W140" s="926"/>
      <c r="X140" s="926"/>
      <c r="Y140" s="926"/>
      <c r="Z140" s="926"/>
      <c r="AA140" s="926"/>
      <c r="AB140" s="926"/>
      <c r="AC140" s="926"/>
      <c r="AD140" s="926"/>
      <c r="AE140" s="926"/>
      <c r="AF140" s="926"/>
      <c r="AG140" s="926"/>
      <c r="AH140" s="926"/>
      <c r="AI140" s="926"/>
      <c r="AJ140" s="926"/>
      <c r="AK140" s="926"/>
      <c r="AL140" s="926"/>
      <c r="AM140" s="926"/>
      <c r="AN140" s="926"/>
      <c r="AO140" s="926"/>
      <c r="AP140" s="926"/>
      <c r="AQ140" s="926"/>
      <c r="AR140" s="926"/>
      <c r="AS140" s="926"/>
      <c r="AT140" s="926"/>
      <c r="AU140" s="927"/>
      <c r="AV140" s="927"/>
      <c r="AW140" s="927"/>
      <c r="AX140" s="927"/>
      <c r="AY140" s="927"/>
      <c r="AZ140" s="927"/>
      <c r="BA140" s="927"/>
      <c r="BB140" s="927"/>
      <c r="BC140" s="928"/>
      <c r="BD140" s="929"/>
      <c r="BE140" s="930"/>
      <c r="BF140" s="930"/>
      <c r="BG140" s="931"/>
      <c r="BH140" s="931"/>
      <c r="BI140" s="926"/>
      <c r="BJ140" s="926"/>
      <c r="BK140" s="926"/>
      <c r="BL140" s="926"/>
      <c r="BM140" s="926"/>
      <c r="BN140" s="926"/>
      <c r="BO140" s="926"/>
      <c r="BP140" s="926"/>
      <c r="BQ140" s="926"/>
      <c r="BR140" s="926"/>
      <c r="BS140" s="926"/>
      <c r="BT140" s="926"/>
      <c r="BU140" s="926"/>
      <c r="BV140" s="926"/>
      <c r="BW140" s="926"/>
      <c r="BX140" s="926"/>
      <c r="BY140" s="932"/>
      <c r="BZ140" s="932"/>
      <c r="CA140" s="932"/>
      <c r="CB140" s="932"/>
      <c r="CC140" s="932"/>
      <c r="CD140" s="932"/>
      <c r="CE140" s="932"/>
      <c r="CF140" s="932"/>
    </row>
    <row r="141" spans="1:84" x14ac:dyDescent="0.25">
      <c r="A141" s="876">
        <v>33500</v>
      </c>
      <c r="B141" s="873" t="s">
        <v>1354</v>
      </c>
      <c r="C141" s="921">
        <v>455923796</v>
      </c>
      <c r="D141" s="924">
        <v>2.8060110000000002E-3</v>
      </c>
      <c r="E141" s="925"/>
      <c r="F141" s="926"/>
      <c r="G141" s="926"/>
      <c r="H141" s="926"/>
      <c r="I141" s="926"/>
      <c r="J141" s="926"/>
      <c r="K141" s="926"/>
      <c r="L141" s="926"/>
      <c r="M141" s="926"/>
      <c r="N141" s="926"/>
      <c r="O141" s="926"/>
      <c r="P141" s="926"/>
      <c r="Q141" s="926"/>
      <c r="R141" s="926"/>
      <c r="S141" s="926"/>
      <c r="T141" s="926"/>
      <c r="U141" s="926"/>
      <c r="V141" s="926"/>
      <c r="W141" s="926"/>
      <c r="X141" s="926"/>
      <c r="Y141" s="926"/>
      <c r="Z141" s="926"/>
      <c r="AA141" s="926"/>
      <c r="AB141" s="926"/>
      <c r="AC141" s="926"/>
      <c r="AD141" s="926"/>
      <c r="AE141" s="926"/>
      <c r="AF141" s="926"/>
      <c r="AG141" s="926"/>
      <c r="AH141" s="926"/>
      <c r="AI141" s="926"/>
      <c r="AJ141" s="926"/>
      <c r="AK141" s="926"/>
      <c r="AL141" s="926"/>
      <c r="AM141" s="926"/>
      <c r="AN141" s="926"/>
      <c r="AO141" s="926"/>
      <c r="AP141" s="926"/>
      <c r="AQ141" s="926"/>
      <c r="AR141" s="926"/>
      <c r="AS141" s="926"/>
      <c r="AT141" s="926"/>
      <c r="AU141" s="927"/>
      <c r="AV141" s="927"/>
      <c r="AW141" s="927"/>
      <c r="AX141" s="927"/>
      <c r="AY141" s="927"/>
      <c r="AZ141" s="927"/>
      <c r="BA141" s="927"/>
      <c r="BB141" s="927"/>
      <c r="BC141" s="928"/>
      <c r="BD141" s="929"/>
      <c r="BE141" s="930"/>
      <c r="BF141" s="930"/>
      <c r="BG141" s="931"/>
      <c r="BH141" s="931"/>
      <c r="BI141" s="926"/>
      <c r="BJ141" s="926"/>
      <c r="BK141" s="926"/>
      <c r="BL141" s="926"/>
      <c r="BM141" s="926"/>
      <c r="BN141" s="926"/>
      <c r="BO141" s="926"/>
      <c r="BP141" s="926"/>
      <c r="BQ141" s="926"/>
      <c r="BR141" s="926"/>
      <c r="BS141" s="926"/>
      <c r="BT141" s="926"/>
      <c r="BU141" s="926"/>
      <c r="BV141" s="926"/>
      <c r="BW141" s="926"/>
      <c r="BX141" s="926"/>
      <c r="BY141" s="932"/>
      <c r="BZ141" s="932"/>
      <c r="CA141" s="932"/>
      <c r="CB141" s="932"/>
      <c r="CC141" s="932"/>
      <c r="CD141" s="932"/>
      <c r="CE141" s="932"/>
      <c r="CF141" s="932"/>
    </row>
    <row r="142" spans="1:84" x14ac:dyDescent="0.25">
      <c r="A142" s="876">
        <v>33501</v>
      </c>
      <c r="B142" s="873" t="s">
        <v>1355</v>
      </c>
      <c r="C142" s="921">
        <v>10897784</v>
      </c>
      <c r="D142" s="924">
        <v>6.7070999999999995E-5</v>
      </c>
      <c r="E142" s="925"/>
      <c r="F142" s="926"/>
      <c r="G142" s="926"/>
      <c r="H142" s="926"/>
      <c r="I142" s="926"/>
      <c r="J142" s="926"/>
      <c r="K142" s="926"/>
      <c r="L142" s="926"/>
      <c r="M142" s="926"/>
      <c r="N142" s="926"/>
      <c r="O142" s="926"/>
      <c r="P142" s="926"/>
      <c r="Q142" s="926"/>
      <c r="R142" s="926"/>
      <c r="S142" s="926"/>
      <c r="T142" s="926"/>
      <c r="U142" s="926"/>
      <c r="V142" s="926"/>
      <c r="W142" s="926"/>
      <c r="X142" s="926"/>
      <c r="Y142" s="926"/>
      <c r="Z142" s="926"/>
      <c r="AA142" s="926"/>
      <c r="AB142" s="926"/>
      <c r="AC142" s="926"/>
      <c r="AD142" s="926"/>
      <c r="AE142" s="926"/>
      <c r="AF142" s="926"/>
      <c r="AG142" s="926"/>
      <c r="AH142" s="926"/>
      <c r="AI142" s="926"/>
      <c r="AJ142" s="926"/>
      <c r="AK142" s="926"/>
      <c r="AL142" s="926"/>
      <c r="AM142" s="926"/>
      <c r="AN142" s="926"/>
      <c r="AO142" s="926"/>
      <c r="AP142" s="926"/>
      <c r="AQ142" s="926"/>
      <c r="AR142" s="926"/>
      <c r="AS142" s="926"/>
      <c r="AT142" s="926"/>
      <c r="AU142" s="927"/>
      <c r="AV142" s="927"/>
      <c r="AW142" s="927"/>
      <c r="AX142" s="927"/>
      <c r="AY142" s="927"/>
      <c r="AZ142" s="927"/>
      <c r="BA142" s="927"/>
      <c r="BB142" s="927"/>
      <c r="BC142" s="928"/>
      <c r="BD142" s="929"/>
      <c r="BE142" s="930"/>
      <c r="BF142" s="930"/>
      <c r="BG142" s="931"/>
      <c r="BH142" s="931"/>
      <c r="BI142" s="926"/>
      <c r="BJ142" s="926"/>
      <c r="BK142" s="926"/>
      <c r="BL142" s="926"/>
      <c r="BM142" s="926"/>
      <c r="BN142" s="926"/>
      <c r="BO142" s="926"/>
      <c r="BP142" s="926"/>
      <c r="BQ142" s="926"/>
      <c r="BR142" s="926"/>
      <c r="BS142" s="926"/>
      <c r="BT142" s="926"/>
      <c r="BU142" s="926"/>
      <c r="BV142" s="926"/>
      <c r="BW142" s="926"/>
      <c r="BX142" s="926"/>
      <c r="BY142" s="932"/>
      <c r="BZ142" s="932"/>
      <c r="CA142" s="932"/>
      <c r="CB142" s="932"/>
      <c r="CC142" s="932"/>
      <c r="CD142" s="932"/>
      <c r="CE142" s="932"/>
      <c r="CF142" s="932"/>
    </row>
    <row r="143" spans="1:84" x14ac:dyDescent="0.25">
      <c r="A143" s="876">
        <v>33600</v>
      </c>
      <c r="B143" s="873" t="s">
        <v>1356</v>
      </c>
      <c r="C143" s="921">
        <v>1612662850</v>
      </c>
      <c r="D143" s="924">
        <v>9.9252309999999996E-3</v>
      </c>
      <c r="E143" s="925"/>
      <c r="F143" s="926"/>
      <c r="G143" s="926"/>
      <c r="H143" s="926"/>
      <c r="I143" s="926"/>
      <c r="J143" s="926"/>
      <c r="K143" s="926"/>
      <c r="L143" s="926"/>
      <c r="M143" s="926"/>
      <c r="N143" s="926"/>
      <c r="O143" s="926"/>
      <c r="P143" s="926"/>
      <c r="Q143" s="926"/>
      <c r="R143" s="926"/>
      <c r="S143" s="926"/>
      <c r="T143" s="926"/>
      <c r="U143" s="926"/>
      <c r="V143" s="926"/>
      <c r="W143" s="926"/>
      <c r="X143" s="926"/>
      <c r="Y143" s="926"/>
      <c r="Z143" s="926"/>
      <c r="AA143" s="926"/>
      <c r="AB143" s="926"/>
      <c r="AC143" s="926"/>
      <c r="AD143" s="926"/>
      <c r="AE143" s="926"/>
      <c r="AF143" s="926"/>
      <c r="AG143" s="926"/>
      <c r="AH143" s="926"/>
      <c r="AI143" s="926"/>
      <c r="AJ143" s="926"/>
      <c r="AK143" s="926"/>
      <c r="AL143" s="926"/>
      <c r="AM143" s="926"/>
      <c r="AN143" s="926"/>
      <c r="AO143" s="926"/>
      <c r="AP143" s="926"/>
      <c r="AQ143" s="926"/>
      <c r="AR143" s="926"/>
      <c r="AS143" s="926"/>
      <c r="AT143" s="926"/>
      <c r="AU143" s="927"/>
      <c r="AV143" s="927"/>
      <c r="AW143" s="927"/>
      <c r="AX143" s="927"/>
      <c r="AY143" s="927"/>
      <c r="AZ143" s="927"/>
      <c r="BA143" s="927"/>
      <c r="BB143" s="927"/>
      <c r="BC143" s="928"/>
      <c r="BD143" s="929"/>
      <c r="BE143" s="930"/>
      <c r="BF143" s="930"/>
      <c r="BG143" s="931"/>
      <c r="BH143" s="931"/>
      <c r="BI143" s="926"/>
      <c r="BJ143" s="926"/>
      <c r="BK143" s="926"/>
      <c r="BL143" s="926"/>
      <c r="BM143" s="926"/>
      <c r="BN143" s="926"/>
      <c r="BO143" s="926"/>
      <c r="BP143" s="926"/>
      <c r="BQ143" s="926"/>
      <c r="BR143" s="926"/>
      <c r="BS143" s="926"/>
      <c r="BT143" s="926"/>
      <c r="BU143" s="926"/>
      <c r="BV143" s="926"/>
      <c r="BW143" s="926"/>
      <c r="BX143" s="926"/>
      <c r="BY143" s="932"/>
      <c r="BZ143" s="932"/>
      <c r="CA143" s="932"/>
      <c r="CB143" s="932"/>
      <c r="CC143" s="932"/>
      <c r="CD143" s="932"/>
      <c r="CE143" s="932"/>
      <c r="CF143" s="932"/>
    </row>
    <row r="144" spans="1:84" x14ac:dyDescent="0.25">
      <c r="A144" s="876">
        <v>33605</v>
      </c>
      <c r="B144" s="873" t="s">
        <v>1357</v>
      </c>
      <c r="C144" s="921">
        <v>192478058</v>
      </c>
      <c r="D144" s="924">
        <v>1.1846179999999999E-3</v>
      </c>
      <c r="E144" s="925"/>
      <c r="F144" s="926"/>
      <c r="G144" s="926"/>
      <c r="H144" s="926"/>
      <c r="I144" s="926"/>
      <c r="J144" s="926"/>
      <c r="K144" s="926"/>
      <c r="L144" s="926"/>
      <c r="M144" s="926"/>
      <c r="N144" s="926"/>
      <c r="O144" s="926"/>
      <c r="P144" s="926"/>
      <c r="Q144" s="926"/>
      <c r="R144" s="926"/>
      <c r="S144" s="926"/>
      <c r="T144" s="926"/>
      <c r="U144" s="926"/>
      <c r="V144" s="926"/>
      <c r="W144" s="926"/>
      <c r="X144" s="926"/>
      <c r="Y144" s="926"/>
      <c r="Z144" s="926"/>
      <c r="AA144" s="926"/>
      <c r="AB144" s="926"/>
      <c r="AC144" s="926"/>
      <c r="AD144" s="926"/>
      <c r="AE144" s="926"/>
      <c r="AF144" s="926"/>
      <c r="AG144" s="926"/>
      <c r="AH144" s="926"/>
      <c r="AI144" s="926"/>
      <c r="AJ144" s="926"/>
      <c r="AK144" s="926"/>
      <c r="AL144" s="926"/>
      <c r="AM144" s="926"/>
      <c r="AN144" s="926"/>
      <c r="AO144" s="926"/>
      <c r="AP144" s="926"/>
      <c r="AQ144" s="926"/>
      <c r="AR144" s="926"/>
      <c r="AS144" s="926"/>
      <c r="AT144" s="926"/>
      <c r="AU144" s="927"/>
      <c r="AV144" s="927"/>
      <c r="AW144" s="927"/>
      <c r="AX144" s="927"/>
      <c r="AY144" s="927"/>
      <c r="AZ144" s="927"/>
      <c r="BA144" s="927"/>
      <c r="BB144" s="927"/>
      <c r="BC144" s="928"/>
      <c r="BD144" s="929"/>
      <c r="BE144" s="930"/>
      <c r="BF144" s="930"/>
      <c r="BG144" s="931"/>
      <c r="BH144" s="931"/>
      <c r="BI144" s="926"/>
      <c r="BJ144" s="926"/>
      <c r="BK144" s="926"/>
      <c r="BL144" s="926"/>
      <c r="BM144" s="926"/>
      <c r="BN144" s="926"/>
      <c r="BO144" s="926"/>
      <c r="BP144" s="926"/>
      <c r="BQ144" s="926"/>
      <c r="BR144" s="926"/>
      <c r="BS144" s="926"/>
      <c r="BT144" s="926"/>
      <c r="BU144" s="926"/>
      <c r="BV144" s="926"/>
      <c r="BW144" s="926"/>
      <c r="BX144" s="926"/>
      <c r="BY144" s="932"/>
      <c r="BZ144" s="932"/>
      <c r="CA144" s="932"/>
      <c r="CB144" s="932"/>
      <c r="CC144" s="932"/>
      <c r="CD144" s="932"/>
      <c r="CE144" s="932"/>
      <c r="CF144" s="932"/>
    </row>
    <row r="145" spans="1:84" x14ac:dyDescent="0.25">
      <c r="A145" s="876">
        <v>33700</v>
      </c>
      <c r="B145" s="873" t="s">
        <v>1358</v>
      </c>
      <c r="C145" s="921">
        <v>106002427</v>
      </c>
      <c r="D145" s="924">
        <v>6.52398E-4</v>
      </c>
      <c r="E145" s="925"/>
      <c r="F145" s="926"/>
      <c r="G145" s="926"/>
      <c r="H145" s="926"/>
      <c r="I145" s="926"/>
      <c r="J145" s="926"/>
      <c r="K145" s="926"/>
      <c r="L145" s="926"/>
      <c r="M145" s="926"/>
      <c r="N145" s="926"/>
      <c r="O145" s="926"/>
      <c r="P145" s="926"/>
      <c r="Q145" s="926"/>
      <c r="R145" s="926"/>
      <c r="S145" s="926"/>
      <c r="T145" s="926"/>
      <c r="U145" s="926"/>
      <c r="V145" s="926"/>
      <c r="W145" s="926"/>
      <c r="X145" s="926"/>
      <c r="Y145" s="926"/>
      <c r="Z145" s="926"/>
      <c r="AA145" s="926"/>
      <c r="AB145" s="926"/>
      <c r="AC145" s="926"/>
      <c r="AD145" s="926"/>
      <c r="AE145" s="926"/>
      <c r="AF145" s="926"/>
      <c r="AG145" s="926"/>
      <c r="AH145" s="926"/>
      <c r="AI145" s="926"/>
      <c r="AJ145" s="926"/>
      <c r="AK145" s="926"/>
      <c r="AL145" s="926"/>
      <c r="AM145" s="926"/>
      <c r="AN145" s="926"/>
      <c r="AO145" s="926"/>
      <c r="AP145" s="926"/>
      <c r="AQ145" s="926"/>
      <c r="AR145" s="926"/>
      <c r="AS145" s="926"/>
      <c r="AT145" s="926"/>
      <c r="AU145" s="927"/>
      <c r="AV145" s="927"/>
      <c r="AW145" s="927"/>
      <c r="AX145" s="927"/>
      <c r="AY145" s="927"/>
      <c r="AZ145" s="927"/>
      <c r="BA145" s="927"/>
      <c r="BB145" s="927"/>
      <c r="BC145" s="928"/>
      <c r="BD145" s="929"/>
      <c r="BE145" s="930"/>
      <c r="BF145" s="930"/>
      <c r="BG145" s="931"/>
      <c r="BH145" s="931"/>
      <c r="BI145" s="926"/>
      <c r="BJ145" s="926"/>
      <c r="BK145" s="926"/>
      <c r="BL145" s="926"/>
      <c r="BM145" s="926"/>
      <c r="BN145" s="926"/>
      <c r="BO145" s="926"/>
      <c r="BP145" s="926"/>
      <c r="BQ145" s="926"/>
      <c r="BR145" s="926"/>
      <c r="BS145" s="926"/>
      <c r="BT145" s="926"/>
      <c r="BU145" s="926"/>
      <c r="BV145" s="926"/>
      <c r="BW145" s="926"/>
      <c r="BX145" s="926"/>
      <c r="BY145" s="932"/>
      <c r="BZ145" s="932"/>
      <c r="CA145" s="932"/>
      <c r="CB145" s="932"/>
      <c r="CC145" s="932"/>
      <c r="CD145" s="932"/>
      <c r="CE145" s="932"/>
      <c r="CF145" s="932"/>
    </row>
    <row r="146" spans="1:84" x14ac:dyDescent="0.25">
      <c r="A146" s="876">
        <v>33800</v>
      </c>
      <c r="B146" s="873" t="s">
        <v>1359</v>
      </c>
      <c r="C146" s="921">
        <v>80686926</v>
      </c>
      <c r="D146" s="924">
        <v>4.9659300000000003E-4</v>
      </c>
      <c r="E146" s="925"/>
      <c r="F146" s="926"/>
      <c r="G146" s="926"/>
      <c r="H146" s="926"/>
      <c r="I146" s="926"/>
      <c r="J146" s="926"/>
      <c r="K146" s="926"/>
      <c r="L146" s="926"/>
      <c r="M146" s="926"/>
      <c r="N146" s="926"/>
      <c r="O146" s="926"/>
      <c r="P146" s="926"/>
      <c r="Q146" s="926"/>
      <c r="R146" s="926"/>
      <c r="S146" s="926"/>
      <c r="T146" s="926"/>
      <c r="U146" s="926"/>
      <c r="V146" s="926"/>
      <c r="W146" s="926"/>
      <c r="X146" s="926"/>
      <c r="Y146" s="926"/>
      <c r="Z146" s="926"/>
      <c r="AA146" s="926"/>
      <c r="AB146" s="926"/>
      <c r="AC146" s="926"/>
      <c r="AD146" s="926"/>
      <c r="AE146" s="926"/>
      <c r="AF146" s="926"/>
      <c r="AG146" s="926"/>
      <c r="AH146" s="926"/>
      <c r="AI146" s="926"/>
      <c r="AJ146" s="926"/>
      <c r="AK146" s="926"/>
      <c r="AL146" s="926"/>
      <c r="AM146" s="926"/>
      <c r="AN146" s="926"/>
      <c r="AO146" s="926"/>
      <c r="AP146" s="926"/>
      <c r="AQ146" s="926"/>
      <c r="AR146" s="926"/>
      <c r="AS146" s="926"/>
      <c r="AT146" s="926"/>
      <c r="AU146" s="927"/>
      <c r="AV146" s="927"/>
      <c r="AW146" s="927"/>
      <c r="AX146" s="927"/>
      <c r="AY146" s="927"/>
      <c r="AZ146" s="927"/>
      <c r="BA146" s="927"/>
      <c r="BB146" s="927"/>
      <c r="BC146" s="928"/>
      <c r="BD146" s="929"/>
      <c r="BE146" s="930"/>
      <c r="BF146" s="930"/>
      <c r="BG146" s="931"/>
      <c r="BH146" s="931"/>
      <c r="BI146" s="926"/>
      <c r="BJ146" s="926"/>
      <c r="BK146" s="926"/>
      <c r="BL146" s="926"/>
      <c r="BM146" s="926"/>
      <c r="BN146" s="926"/>
      <c r="BO146" s="926"/>
      <c r="BP146" s="926"/>
      <c r="BQ146" s="926"/>
      <c r="BR146" s="926"/>
      <c r="BS146" s="926"/>
      <c r="BT146" s="926"/>
      <c r="BU146" s="926"/>
      <c r="BV146" s="926"/>
      <c r="BW146" s="926"/>
      <c r="BX146" s="926"/>
      <c r="BY146" s="932"/>
      <c r="BZ146" s="932"/>
      <c r="CA146" s="932"/>
      <c r="CB146" s="932"/>
      <c r="CC146" s="932"/>
      <c r="CD146" s="932"/>
      <c r="CE146" s="932"/>
      <c r="CF146" s="932"/>
    </row>
    <row r="147" spans="1:84" x14ac:dyDescent="0.25">
      <c r="A147" s="876">
        <v>33900</v>
      </c>
      <c r="B147" s="873" t="s">
        <v>1360</v>
      </c>
      <c r="C147" s="921">
        <v>409764309</v>
      </c>
      <c r="D147" s="924">
        <v>2.5219190000000001E-3</v>
      </c>
      <c r="E147" s="925"/>
      <c r="F147" s="926"/>
      <c r="G147" s="926"/>
      <c r="H147" s="926"/>
      <c r="I147" s="926"/>
      <c r="J147" s="926"/>
      <c r="K147" s="926"/>
      <c r="L147" s="926"/>
      <c r="M147" s="926"/>
      <c r="N147" s="926"/>
      <c r="O147" s="926"/>
      <c r="P147" s="926"/>
      <c r="Q147" s="926"/>
      <c r="R147" s="926"/>
      <c r="S147" s="926"/>
      <c r="T147" s="926"/>
      <c r="U147" s="926"/>
      <c r="V147" s="926"/>
      <c r="W147" s="926"/>
      <c r="X147" s="926"/>
      <c r="Y147" s="926"/>
      <c r="Z147" s="926"/>
      <c r="AA147" s="926"/>
      <c r="AB147" s="926"/>
      <c r="AC147" s="926"/>
      <c r="AD147" s="926"/>
      <c r="AE147" s="926"/>
      <c r="AF147" s="926"/>
      <c r="AG147" s="926"/>
      <c r="AH147" s="926"/>
      <c r="AI147" s="926"/>
      <c r="AJ147" s="926"/>
      <c r="AK147" s="926"/>
      <c r="AL147" s="926"/>
      <c r="AM147" s="926"/>
      <c r="AN147" s="926"/>
      <c r="AO147" s="926"/>
      <c r="AP147" s="926"/>
      <c r="AQ147" s="926"/>
      <c r="AR147" s="926"/>
      <c r="AS147" s="926"/>
      <c r="AT147" s="926"/>
      <c r="AU147" s="927"/>
      <c r="AV147" s="927"/>
      <c r="AW147" s="927"/>
      <c r="AX147" s="927"/>
      <c r="AY147" s="927"/>
      <c r="AZ147" s="927"/>
      <c r="BA147" s="927"/>
      <c r="BB147" s="927"/>
      <c r="BC147" s="928"/>
      <c r="BD147" s="929"/>
      <c r="BE147" s="930"/>
      <c r="BF147" s="930"/>
      <c r="BG147" s="931"/>
      <c r="BH147" s="931"/>
      <c r="BI147" s="926"/>
      <c r="BJ147" s="926"/>
      <c r="BK147" s="926"/>
      <c r="BL147" s="926"/>
      <c r="BM147" s="926"/>
      <c r="BN147" s="926"/>
      <c r="BO147" s="926"/>
      <c r="BP147" s="926"/>
      <c r="BQ147" s="926"/>
      <c r="BR147" s="926"/>
      <c r="BS147" s="926"/>
      <c r="BT147" s="926"/>
      <c r="BU147" s="926"/>
      <c r="BV147" s="926"/>
      <c r="BW147" s="926"/>
      <c r="BX147" s="926"/>
      <c r="BY147" s="932"/>
      <c r="BZ147" s="932"/>
      <c r="CA147" s="932"/>
      <c r="CB147" s="932"/>
      <c r="CC147" s="932"/>
      <c r="CD147" s="932"/>
      <c r="CE147" s="932"/>
      <c r="CF147" s="932"/>
    </row>
    <row r="148" spans="1:84" x14ac:dyDescent="0.25">
      <c r="A148" s="876">
        <v>34000</v>
      </c>
      <c r="B148" s="873" t="s">
        <v>1361</v>
      </c>
      <c r="C148" s="921">
        <v>187813025</v>
      </c>
      <c r="D148" s="924">
        <v>1.1559070000000001E-3</v>
      </c>
      <c r="E148" s="925"/>
      <c r="F148" s="926"/>
      <c r="G148" s="926"/>
      <c r="H148" s="926"/>
      <c r="I148" s="926"/>
      <c r="J148" s="926"/>
      <c r="K148" s="926"/>
      <c r="L148" s="926"/>
      <c r="M148" s="926"/>
      <c r="N148" s="926"/>
      <c r="O148" s="926"/>
      <c r="P148" s="926"/>
      <c r="Q148" s="926"/>
      <c r="R148" s="926"/>
      <c r="S148" s="926"/>
      <c r="T148" s="926"/>
      <c r="U148" s="926"/>
      <c r="V148" s="926"/>
      <c r="W148" s="926"/>
      <c r="X148" s="926"/>
      <c r="Y148" s="926"/>
      <c r="Z148" s="926"/>
      <c r="AA148" s="926"/>
      <c r="AB148" s="926"/>
      <c r="AC148" s="926"/>
      <c r="AD148" s="926"/>
      <c r="AE148" s="926"/>
      <c r="AF148" s="926"/>
      <c r="AG148" s="926"/>
      <c r="AH148" s="926"/>
      <c r="AI148" s="926"/>
      <c r="AJ148" s="926"/>
      <c r="AK148" s="926"/>
      <c r="AL148" s="926"/>
      <c r="AM148" s="926"/>
      <c r="AN148" s="926"/>
      <c r="AO148" s="926"/>
      <c r="AP148" s="926"/>
      <c r="AQ148" s="926"/>
      <c r="AR148" s="926"/>
      <c r="AS148" s="926"/>
      <c r="AT148" s="926"/>
      <c r="AU148" s="927"/>
      <c r="AV148" s="927"/>
      <c r="AW148" s="927"/>
      <c r="AX148" s="927"/>
      <c r="AY148" s="927"/>
      <c r="AZ148" s="927"/>
      <c r="BA148" s="927"/>
      <c r="BB148" s="927"/>
      <c r="BC148" s="928"/>
      <c r="BD148" s="929"/>
      <c r="BE148" s="930"/>
      <c r="BF148" s="930"/>
      <c r="BG148" s="931"/>
      <c r="BH148" s="931"/>
      <c r="BI148" s="926"/>
      <c r="BJ148" s="926"/>
      <c r="BK148" s="926"/>
      <c r="BL148" s="926"/>
      <c r="BM148" s="926"/>
      <c r="BN148" s="926"/>
      <c r="BO148" s="926"/>
      <c r="BP148" s="926"/>
      <c r="BQ148" s="926"/>
      <c r="BR148" s="926"/>
      <c r="BS148" s="926"/>
      <c r="BT148" s="926"/>
      <c r="BU148" s="926"/>
      <c r="BV148" s="926"/>
      <c r="BW148" s="926"/>
      <c r="BX148" s="926"/>
      <c r="BY148" s="932"/>
      <c r="BZ148" s="932"/>
      <c r="CA148" s="932"/>
      <c r="CB148" s="932"/>
      <c r="CC148" s="932"/>
      <c r="CD148" s="932"/>
      <c r="CE148" s="932"/>
      <c r="CF148" s="932"/>
    </row>
    <row r="149" spans="1:84" x14ac:dyDescent="0.25">
      <c r="A149" s="876">
        <v>34100</v>
      </c>
      <c r="B149" s="873" t="s">
        <v>1362</v>
      </c>
      <c r="C149" s="921">
        <v>4184534839</v>
      </c>
      <c r="D149" s="924">
        <v>2.5753972E-2</v>
      </c>
      <c r="E149" s="925"/>
      <c r="F149" s="926"/>
      <c r="G149" s="926"/>
      <c r="H149" s="926"/>
      <c r="I149" s="926"/>
      <c r="J149" s="926"/>
      <c r="K149" s="926"/>
      <c r="L149" s="926"/>
      <c r="M149" s="926"/>
      <c r="N149" s="926"/>
      <c r="O149" s="926"/>
      <c r="P149" s="926"/>
      <c r="Q149" s="926"/>
      <c r="R149" s="926"/>
      <c r="S149" s="926"/>
      <c r="T149" s="926"/>
      <c r="U149" s="926"/>
      <c r="V149" s="926"/>
      <c r="W149" s="926"/>
      <c r="X149" s="926"/>
      <c r="Y149" s="926"/>
      <c r="Z149" s="926"/>
      <c r="AA149" s="926"/>
      <c r="AB149" s="926"/>
      <c r="AC149" s="926"/>
      <c r="AD149" s="926"/>
      <c r="AE149" s="926"/>
      <c r="AF149" s="926"/>
      <c r="AG149" s="926"/>
      <c r="AH149" s="926"/>
      <c r="AI149" s="926"/>
      <c r="AJ149" s="926"/>
      <c r="AK149" s="926"/>
      <c r="AL149" s="926"/>
      <c r="AM149" s="926"/>
      <c r="AN149" s="926"/>
      <c r="AO149" s="926"/>
      <c r="AP149" s="926"/>
      <c r="AQ149" s="926"/>
      <c r="AR149" s="926"/>
      <c r="AS149" s="926"/>
      <c r="AT149" s="926"/>
      <c r="AU149" s="927"/>
      <c r="AV149" s="927"/>
      <c r="AW149" s="927"/>
      <c r="AX149" s="927"/>
      <c r="AY149" s="927"/>
      <c r="AZ149" s="927"/>
      <c r="BA149" s="927"/>
      <c r="BB149" s="927"/>
      <c r="BC149" s="928"/>
      <c r="BD149" s="929"/>
      <c r="BE149" s="930"/>
      <c r="BF149" s="930"/>
      <c r="BG149" s="931"/>
      <c r="BH149" s="931"/>
      <c r="BI149" s="926"/>
      <c r="BJ149" s="926"/>
      <c r="BK149" s="926"/>
      <c r="BL149" s="926"/>
      <c r="BM149" s="926"/>
      <c r="BN149" s="926"/>
      <c r="BO149" s="926"/>
      <c r="BP149" s="926"/>
      <c r="BQ149" s="926"/>
      <c r="BR149" s="926"/>
      <c r="BS149" s="926"/>
      <c r="BT149" s="926"/>
      <c r="BU149" s="926"/>
      <c r="BV149" s="926"/>
      <c r="BW149" s="926"/>
      <c r="BX149" s="926"/>
      <c r="BY149" s="932"/>
      <c r="BZ149" s="932"/>
      <c r="CA149" s="932"/>
      <c r="CB149" s="932"/>
      <c r="CC149" s="932"/>
      <c r="CD149" s="932"/>
      <c r="CE149" s="932"/>
      <c r="CF149" s="932"/>
    </row>
    <row r="150" spans="1:84" x14ac:dyDescent="0.25">
      <c r="A150" s="876">
        <v>34105</v>
      </c>
      <c r="B150" s="873" t="s">
        <v>1363</v>
      </c>
      <c r="C150" s="921">
        <v>332976942</v>
      </c>
      <c r="D150" s="924">
        <v>2.0493270000000001E-3</v>
      </c>
      <c r="E150" s="925"/>
      <c r="F150" s="926"/>
      <c r="G150" s="926"/>
      <c r="H150" s="926"/>
      <c r="I150" s="926"/>
      <c r="J150" s="926"/>
      <c r="K150" s="926"/>
      <c r="L150" s="926"/>
      <c r="M150" s="926"/>
      <c r="N150" s="926"/>
      <c r="O150" s="926"/>
      <c r="P150" s="926"/>
      <c r="Q150" s="926"/>
      <c r="R150" s="926"/>
      <c r="S150" s="926"/>
      <c r="T150" s="926"/>
      <c r="U150" s="926"/>
      <c r="V150" s="926"/>
      <c r="W150" s="926"/>
      <c r="X150" s="926"/>
      <c r="Y150" s="926"/>
      <c r="Z150" s="926"/>
      <c r="AA150" s="926"/>
      <c r="AB150" s="926"/>
      <c r="AC150" s="926"/>
      <c r="AD150" s="926"/>
      <c r="AE150" s="926"/>
      <c r="AF150" s="926"/>
      <c r="AG150" s="926"/>
      <c r="AH150" s="926"/>
      <c r="AI150" s="926"/>
      <c r="AJ150" s="926"/>
      <c r="AK150" s="926"/>
      <c r="AL150" s="926"/>
      <c r="AM150" s="926"/>
      <c r="AN150" s="926"/>
      <c r="AO150" s="926"/>
      <c r="AP150" s="926"/>
      <c r="AQ150" s="926"/>
      <c r="AR150" s="926"/>
      <c r="AS150" s="926"/>
      <c r="AT150" s="926"/>
      <c r="AU150" s="927"/>
      <c r="AV150" s="927"/>
      <c r="AW150" s="927"/>
      <c r="AX150" s="927"/>
      <c r="AY150" s="927"/>
      <c r="AZ150" s="927"/>
      <c r="BA150" s="927"/>
      <c r="BB150" s="927"/>
      <c r="BC150" s="928"/>
      <c r="BD150" s="929"/>
      <c r="BE150" s="930"/>
      <c r="BF150" s="930"/>
      <c r="BG150" s="931"/>
      <c r="BH150" s="931"/>
      <c r="BI150" s="926"/>
      <c r="BJ150" s="926"/>
      <c r="BK150" s="926"/>
      <c r="BL150" s="926"/>
      <c r="BM150" s="926"/>
      <c r="BN150" s="926"/>
      <c r="BO150" s="926"/>
      <c r="BP150" s="926"/>
      <c r="BQ150" s="926"/>
      <c r="BR150" s="926"/>
      <c r="BS150" s="926"/>
      <c r="BT150" s="926"/>
      <c r="BU150" s="926"/>
      <c r="BV150" s="926"/>
      <c r="BW150" s="926"/>
      <c r="BX150" s="926"/>
      <c r="BY150" s="932"/>
      <c r="BZ150" s="932"/>
      <c r="CA150" s="932"/>
      <c r="CB150" s="932"/>
      <c r="CC150" s="932"/>
      <c r="CD150" s="932"/>
      <c r="CE150" s="932"/>
      <c r="CF150" s="932"/>
    </row>
    <row r="151" spans="1:84" x14ac:dyDescent="0.25">
      <c r="A151" s="876">
        <v>34200</v>
      </c>
      <c r="B151" s="873" t="s">
        <v>1364</v>
      </c>
      <c r="C151" s="921">
        <v>135183794</v>
      </c>
      <c r="D151" s="924">
        <v>8.3199700000000001E-4</v>
      </c>
      <c r="E151" s="925"/>
      <c r="F151" s="926"/>
      <c r="G151" s="926"/>
      <c r="H151" s="926"/>
      <c r="I151" s="926"/>
      <c r="J151" s="926"/>
      <c r="K151" s="926"/>
      <c r="L151" s="926"/>
      <c r="M151" s="926"/>
      <c r="N151" s="926"/>
      <c r="O151" s="926"/>
      <c r="P151" s="926"/>
      <c r="Q151" s="926"/>
      <c r="R151" s="926"/>
      <c r="S151" s="926"/>
      <c r="T151" s="926"/>
      <c r="U151" s="926"/>
      <c r="V151" s="926"/>
      <c r="W151" s="926"/>
      <c r="X151" s="926"/>
      <c r="Y151" s="926"/>
      <c r="Z151" s="926"/>
      <c r="AA151" s="926"/>
      <c r="AB151" s="926"/>
      <c r="AC151" s="926"/>
      <c r="AD151" s="926"/>
      <c r="AE151" s="926"/>
      <c r="AF151" s="926"/>
      <c r="AG151" s="926"/>
      <c r="AH151" s="926"/>
      <c r="AI151" s="926"/>
      <c r="AJ151" s="926"/>
      <c r="AK151" s="926"/>
      <c r="AL151" s="926"/>
      <c r="AM151" s="926"/>
      <c r="AN151" s="926"/>
      <c r="AO151" s="926"/>
      <c r="AP151" s="926"/>
      <c r="AQ151" s="926"/>
      <c r="AR151" s="926"/>
      <c r="AS151" s="926"/>
      <c r="AT151" s="926"/>
      <c r="AU151" s="927"/>
      <c r="AV151" s="927"/>
      <c r="AW151" s="927"/>
      <c r="AX151" s="927"/>
      <c r="AY151" s="927"/>
      <c r="AZ151" s="927"/>
      <c r="BA151" s="927"/>
      <c r="BB151" s="927"/>
      <c r="BC151" s="928"/>
      <c r="BD151" s="929"/>
      <c r="BE151" s="930"/>
      <c r="BF151" s="930"/>
      <c r="BG151" s="931"/>
      <c r="BH151" s="931"/>
      <c r="BI151" s="926"/>
      <c r="BJ151" s="926"/>
      <c r="BK151" s="926"/>
      <c r="BL151" s="926"/>
      <c r="BM151" s="926"/>
      <c r="BN151" s="926"/>
      <c r="BO151" s="926"/>
      <c r="BP151" s="926"/>
      <c r="BQ151" s="926"/>
      <c r="BR151" s="926"/>
      <c r="BS151" s="926"/>
      <c r="BT151" s="926"/>
      <c r="BU151" s="926"/>
      <c r="BV151" s="926"/>
      <c r="BW151" s="926"/>
      <c r="BX151" s="926"/>
      <c r="BY151" s="932"/>
      <c r="BZ151" s="932"/>
      <c r="CA151" s="932"/>
      <c r="CB151" s="932"/>
      <c r="CC151" s="932"/>
      <c r="CD151" s="932"/>
      <c r="CE151" s="932"/>
      <c r="CF151" s="932"/>
    </row>
    <row r="152" spans="1:84" x14ac:dyDescent="0.25">
      <c r="A152" s="876">
        <v>34205</v>
      </c>
      <c r="B152" s="873" t="s">
        <v>1365</v>
      </c>
      <c r="C152" s="921">
        <v>60832925</v>
      </c>
      <c r="D152" s="924">
        <v>3.7439999999999999E-4</v>
      </c>
      <c r="E152" s="925"/>
      <c r="F152" s="926"/>
      <c r="G152" s="926"/>
      <c r="H152" s="926"/>
      <c r="I152" s="926"/>
      <c r="J152" s="926"/>
      <c r="K152" s="926"/>
      <c r="L152" s="926"/>
      <c r="M152" s="926"/>
      <c r="N152" s="926"/>
      <c r="O152" s="926"/>
      <c r="P152" s="926"/>
      <c r="Q152" s="926"/>
      <c r="R152" s="926"/>
      <c r="S152" s="926"/>
      <c r="T152" s="926"/>
      <c r="U152" s="926"/>
      <c r="V152" s="926"/>
      <c r="W152" s="926"/>
      <c r="X152" s="926"/>
      <c r="Y152" s="926"/>
      <c r="Z152" s="926"/>
      <c r="AA152" s="926"/>
      <c r="AB152" s="926"/>
      <c r="AC152" s="926"/>
      <c r="AD152" s="926"/>
      <c r="AE152" s="926"/>
      <c r="AF152" s="926"/>
      <c r="AG152" s="926"/>
      <c r="AH152" s="926"/>
      <c r="AI152" s="926"/>
      <c r="AJ152" s="926"/>
      <c r="AK152" s="926"/>
      <c r="AL152" s="926"/>
      <c r="AM152" s="926"/>
      <c r="AN152" s="926"/>
      <c r="AO152" s="926"/>
      <c r="AP152" s="926"/>
      <c r="AQ152" s="926"/>
      <c r="AR152" s="926"/>
      <c r="AS152" s="926"/>
      <c r="AT152" s="926"/>
      <c r="AU152" s="927"/>
      <c r="AV152" s="927"/>
      <c r="AW152" s="927"/>
      <c r="AX152" s="927"/>
      <c r="AY152" s="927"/>
      <c r="AZ152" s="927"/>
      <c r="BA152" s="927"/>
      <c r="BB152" s="927"/>
      <c r="BC152" s="928"/>
      <c r="BD152" s="929"/>
      <c r="BE152" s="930"/>
      <c r="BF152" s="930"/>
      <c r="BG152" s="931"/>
      <c r="BH152" s="931"/>
      <c r="BI152" s="926"/>
      <c r="BJ152" s="926"/>
      <c r="BK152" s="926"/>
      <c r="BL152" s="926"/>
      <c r="BM152" s="926"/>
      <c r="BN152" s="926"/>
      <c r="BO152" s="926"/>
      <c r="BP152" s="926"/>
      <c r="BQ152" s="926"/>
      <c r="BR152" s="926"/>
      <c r="BS152" s="926"/>
      <c r="BT152" s="926"/>
      <c r="BU152" s="926"/>
      <c r="BV152" s="926"/>
      <c r="BW152" s="926"/>
      <c r="BX152" s="926"/>
      <c r="BY152" s="932"/>
      <c r="BZ152" s="932"/>
      <c r="CA152" s="932"/>
      <c r="CB152" s="932"/>
      <c r="CC152" s="932"/>
      <c r="CD152" s="932"/>
      <c r="CE152" s="932"/>
      <c r="CF152" s="932"/>
    </row>
    <row r="153" spans="1:84" x14ac:dyDescent="0.25">
      <c r="A153" s="876">
        <v>34220</v>
      </c>
      <c r="B153" s="873" t="s">
        <v>1366</v>
      </c>
      <c r="C153" s="921">
        <v>163637079</v>
      </c>
      <c r="D153" s="924">
        <v>1.0071139999999999E-3</v>
      </c>
      <c r="E153" s="925"/>
      <c r="F153" s="926"/>
      <c r="G153" s="926"/>
      <c r="H153" s="926"/>
      <c r="I153" s="926"/>
      <c r="J153" s="926"/>
      <c r="K153" s="926"/>
      <c r="L153" s="926"/>
      <c r="M153" s="926"/>
      <c r="N153" s="926"/>
      <c r="O153" s="926"/>
      <c r="P153" s="926"/>
      <c r="Q153" s="926"/>
      <c r="R153" s="926"/>
      <c r="S153" s="926"/>
      <c r="T153" s="926"/>
      <c r="U153" s="926"/>
      <c r="V153" s="926"/>
      <c r="W153" s="926"/>
      <c r="X153" s="926"/>
      <c r="Y153" s="926"/>
      <c r="Z153" s="926"/>
      <c r="AA153" s="926"/>
      <c r="AB153" s="926"/>
      <c r="AC153" s="926"/>
      <c r="AD153" s="926"/>
      <c r="AE153" s="926"/>
      <c r="AF153" s="926"/>
      <c r="AG153" s="926"/>
      <c r="AH153" s="926"/>
      <c r="AI153" s="926"/>
      <c r="AJ153" s="926"/>
      <c r="AK153" s="926"/>
      <c r="AL153" s="926"/>
      <c r="AM153" s="926"/>
      <c r="AN153" s="926"/>
      <c r="AO153" s="926"/>
      <c r="AP153" s="926"/>
      <c r="AQ153" s="926"/>
      <c r="AR153" s="926"/>
      <c r="AS153" s="926"/>
      <c r="AT153" s="926"/>
      <c r="AU153" s="927"/>
      <c r="AV153" s="927"/>
      <c r="AW153" s="927"/>
      <c r="AX153" s="927"/>
      <c r="AY153" s="927"/>
      <c r="AZ153" s="927"/>
      <c r="BA153" s="927"/>
      <c r="BB153" s="927"/>
      <c r="BC153" s="928"/>
      <c r="BD153" s="929"/>
      <c r="BE153" s="930"/>
      <c r="BF153" s="930"/>
      <c r="BG153" s="931"/>
      <c r="BH153" s="931"/>
      <c r="BI153" s="926"/>
      <c r="BJ153" s="926"/>
      <c r="BK153" s="926"/>
      <c r="BL153" s="926"/>
      <c r="BM153" s="926"/>
      <c r="BN153" s="926"/>
      <c r="BO153" s="926"/>
      <c r="BP153" s="926"/>
      <c r="BQ153" s="926"/>
      <c r="BR153" s="926"/>
      <c r="BS153" s="926"/>
      <c r="BT153" s="926"/>
      <c r="BU153" s="926"/>
      <c r="BV153" s="926"/>
      <c r="BW153" s="926"/>
      <c r="BX153" s="926"/>
      <c r="BY153" s="932"/>
      <c r="BZ153" s="932"/>
      <c r="CA153" s="932"/>
      <c r="CB153" s="932"/>
      <c r="CC153" s="932"/>
      <c r="CD153" s="932"/>
      <c r="CE153" s="932"/>
      <c r="CF153" s="932"/>
    </row>
    <row r="154" spans="1:84" x14ac:dyDescent="0.25">
      <c r="A154" s="876">
        <v>34230</v>
      </c>
      <c r="B154" s="873" t="s">
        <v>1367</v>
      </c>
      <c r="C154" s="921">
        <v>59682952</v>
      </c>
      <c r="D154" s="924">
        <v>3.67322E-4</v>
      </c>
      <c r="E154" s="925"/>
      <c r="F154" s="926"/>
      <c r="G154" s="926"/>
      <c r="H154" s="926"/>
      <c r="I154" s="926"/>
      <c r="J154" s="926"/>
      <c r="K154" s="926"/>
      <c r="L154" s="926"/>
      <c r="M154" s="926"/>
      <c r="N154" s="926"/>
      <c r="O154" s="926"/>
      <c r="P154" s="926"/>
      <c r="Q154" s="926"/>
      <c r="R154" s="926"/>
      <c r="S154" s="926"/>
      <c r="T154" s="926"/>
      <c r="U154" s="926"/>
      <c r="V154" s="926"/>
      <c r="W154" s="926"/>
      <c r="X154" s="926"/>
      <c r="Y154" s="926"/>
      <c r="Z154" s="926"/>
      <c r="AA154" s="926"/>
      <c r="AB154" s="926"/>
      <c r="AC154" s="926"/>
      <c r="AD154" s="926"/>
      <c r="AE154" s="926"/>
      <c r="AF154" s="926"/>
      <c r="AG154" s="926"/>
      <c r="AH154" s="926"/>
      <c r="AI154" s="926"/>
      <c r="AJ154" s="926"/>
      <c r="AK154" s="926"/>
      <c r="AL154" s="926"/>
      <c r="AM154" s="926"/>
      <c r="AN154" s="926"/>
      <c r="AO154" s="926"/>
      <c r="AP154" s="926"/>
      <c r="AQ154" s="926"/>
      <c r="AR154" s="926"/>
      <c r="AS154" s="926"/>
      <c r="AT154" s="926"/>
      <c r="AU154" s="927"/>
      <c r="AV154" s="927"/>
      <c r="AW154" s="927"/>
      <c r="AX154" s="927"/>
      <c r="AY154" s="927"/>
      <c r="AZ154" s="927"/>
      <c r="BA154" s="927"/>
      <c r="BB154" s="927"/>
      <c r="BC154" s="928"/>
      <c r="BD154" s="929"/>
      <c r="BE154" s="930"/>
      <c r="BF154" s="930"/>
      <c r="BG154" s="931"/>
      <c r="BH154" s="931"/>
      <c r="BI154" s="926"/>
      <c r="BJ154" s="926"/>
      <c r="BK154" s="926"/>
      <c r="BL154" s="926"/>
      <c r="BM154" s="926"/>
      <c r="BN154" s="926"/>
      <c r="BO154" s="926"/>
      <c r="BP154" s="926"/>
      <c r="BQ154" s="926"/>
      <c r="BR154" s="926"/>
      <c r="BS154" s="926"/>
      <c r="BT154" s="926"/>
      <c r="BU154" s="926"/>
      <c r="BV154" s="926"/>
      <c r="BW154" s="926"/>
      <c r="BX154" s="926"/>
      <c r="BY154" s="932"/>
      <c r="BZ154" s="932"/>
      <c r="CA154" s="932"/>
      <c r="CB154" s="932"/>
      <c r="CC154" s="932"/>
      <c r="CD154" s="932"/>
      <c r="CE154" s="932"/>
      <c r="CF154" s="932"/>
    </row>
    <row r="155" spans="1:84" x14ac:dyDescent="0.25">
      <c r="A155" s="876">
        <v>34300</v>
      </c>
      <c r="B155" s="873" t="s">
        <v>1368</v>
      </c>
      <c r="C155" s="921">
        <v>1030828384</v>
      </c>
      <c r="D155" s="924">
        <v>6.3442960000000001E-3</v>
      </c>
      <c r="E155" s="925"/>
      <c r="F155" s="926"/>
      <c r="G155" s="926"/>
      <c r="H155" s="926"/>
      <c r="I155" s="926"/>
      <c r="J155" s="926"/>
      <c r="K155" s="926"/>
      <c r="L155" s="926"/>
      <c r="M155" s="926"/>
      <c r="N155" s="926"/>
      <c r="O155" s="926"/>
      <c r="P155" s="926"/>
      <c r="Q155" s="926"/>
      <c r="R155" s="926"/>
      <c r="S155" s="926"/>
      <c r="T155" s="926"/>
      <c r="U155" s="926"/>
      <c r="V155" s="926"/>
      <c r="W155" s="926"/>
      <c r="X155" s="926"/>
      <c r="Y155" s="926"/>
      <c r="Z155" s="926"/>
      <c r="AA155" s="926"/>
      <c r="AB155" s="926"/>
      <c r="AC155" s="926"/>
      <c r="AD155" s="926"/>
      <c r="AE155" s="926"/>
      <c r="AF155" s="926"/>
      <c r="AG155" s="926"/>
      <c r="AH155" s="926"/>
      <c r="AI155" s="926"/>
      <c r="AJ155" s="926"/>
      <c r="AK155" s="926"/>
      <c r="AL155" s="926"/>
      <c r="AM155" s="926"/>
      <c r="AN155" s="926"/>
      <c r="AO155" s="926"/>
      <c r="AP155" s="926"/>
      <c r="AQ155" s="926"/>
      <c r="AR155" s="926"/>
      <c r="AS155" s="926"/>
      <c r="AT155" s="926"/>
      <c r="AU155" s="927"/>
      <c r="AV155" s="927"/>
      <c r="AW155" s="927"/>
      <c r="AX155" s="927"/>
      <c r="AY155" s="927"/>
      <c r="AZ155" s="927"/>
      <c r="BA155" s="927"/>
      <c r="BB155" s="927"/>
      <c r="BC155" s="928"/>
      <c r="BD155" s="929"/>
      <c r="BE155" s="930"/>
      <c r="BF155" s="930"/>
      <c r="BG155" s="931"/>
      <c r="BH155" s="931"/>
      <c r="BI155" s="926"/>
      <c r="BJ155" s="926"/>
      <c r="BK155" s="926"/>
      <c r="BL155" s="926"/>
      <c r="BM155" s="926"/>
      <c r="BN155" s="926"/>
      <c r="BO155" s="926"/>
      <c r="BP155" s="926"/>
      <c r="BQ155" s="926"/>
      <c r="BR155" s="926"/>
      <c r="BS155" s="926"/>
      <c r="BT155" s="926"/>
      <c r="BU155" s="926"/>
      <c r="BV155" s="926"/>
      <c r="BW155" s="926"/>
      <c r="BX155" s="926"/>
      <c r="BY155" s="932"/>
      <c r="BZ155" s="932"/>
      <c r="CA155" s="932"/>
      <c r="CB155" s="932"/>
      <c r="CC155" s="932"/>
      <c r="CD155" s="932"/>
      <c r="CE155" s="932"/>
      <c r="CF155" s="932"/>
    </row>
    <row r="156" spans="1:84" x14ac:dyDescent="0.25">
      <c r="A156" s="876">
        <v>34400</v>
      </c>
      <c r="B156" s="873" t="s">
        <v>1369</v>
      </c>
      <c r="C156" s="921">
        <v>403190590</v>
      </c>
      <c r="D156" s="924">
        <v>2.4814609999999999E-3</v>
      </c>
      <c r="E156" s="925"/>
      <c r="F156" s="926"/>
      <c r="G156" s="926"/>
      <c r="H156" s="926"/>
      <c r="I156" s="926"/>
      <c r="J156" s="926"/>
      <c r="K156" s="926"/>
      <c r="L156" s="926"/>
      <c r="M156" s="926"/>
      <c r="N156" s="926"/>
      <c r="O156" s="926"/>
      <c r="P156" s="926"/>
      <c r="Q156" s="926"/>
      <c r="R156" s="926"/>
      <c r="S156" s="926"/>
      <c r="T156" s="926"/>
      <c r="U156" s="926"/>
      <c r="V156" s="926"/>
      <c r="W156" s="926"/>
      <c r="X156" s="926"/>
      <c r="Y156" s="926"/>
      <c r="Z156" s="926"/>
      <c r="AA156" s="926"/>
      <c r="AB156" s="926"/>
      <c r="AC156" s="926"/>
      <c r="AD156" s="926"/>
      <c r="AE156" s="926"/>
      <c r="AF156" s="926"/>
      <c r="AG156" s="926"/>
      <c r="AH156" s="926"/>
      <c r="AI156" s="926"/>
      <c r="AJ156" s="926"/>
      <c r="AK156" s="926"/>
      <c r="AL156" s="926"/>
      <c r="AM156" s="926"/>
      <c r="AN156" s="926"/>
      <c r="AO156" s="926"/>
      <c r="AP156" s="926"/>
      <c r="AQ156" s="926"/>
      <c r="AR156" s="926"/>
      <c r="AS156" s="926"/>
      <c r="AT156" s="926"/>
      <c r="AU156" s="927"/>
      <c r="AV156" s="927"/>
      <c r="AW156" s="927"/>
      <c r="AX156" s="927"/>
      <c r="AY156" s="927"/>
      <c r="AZ156" s="927"/>
      <c r="BA156" s="927"/>
      <c r="BB156" s="927"/>
      <c r="BC156" s="928"/>
      <c r="BD156" s="929"/>
      <c r="BE156" s="930"/>
      <c r="BF156" s="930"/>
      <c r="BG156" s="931"/>
      <c r="BH156" s="931"/>
      <c r="BI156" s="926"/>
      <c r="BJ156" s="926"/>
      <c r="BK156" s="926"/>
      <c r="BL156" s="926"/>
      <c r="BM156" s="926"/>
      <c r="BN156" s="926"/>
      <c r="BO156" s="926"/>
      <c r="BP156" s="926"/>
      <c r="BQ156" s="926"/>
      <c r="BR156" s="926"/>
      <c r="BS156" s="926"/>
      <c r="BT156" s="926"/>
      <c r="BU156" s="926"/>
      <c r="BV156" s="926"/>
      <c r="BW156" s="926"/>
      <c r="BX156" s="926"/>
      <c r="BY156" s="932"/>
      <c r="BZ156" s="932"/>
      <c r="CA156" s="932"/>
      <c r="CB156" s="932"/>
      <c r="CC156" s="932"/>
      <c r="CD156" s="932"/>
      <c r="CE156" s="932"/>
      <c r="CF156" s="932"/>
    </row>
    <row r="157" spans="1:84" x14ac:dyDescent="0.25">
      <c r="A157" s="876">
        <v>34405</v>
      </c>
      <c r="B157" s="873" t="s">
        <v>1370</v>
      </c>
      <c r="C157" s="921">
        <v>79905870</v>
      </c>
      <c r="D157" s="924">
        <v>4.9178600000000002E-4</v>
      </c>
      <c r="E157" s="925"/>
      <c r="F157" s="926"/>
      <c r="G157" s="926"/>
      <c r="H157" s="926"/>
      <c r="I157" s="926"/>
      <c r="J157" s="926"/>
      <c r="K157" s="926"/>
      <c r="L157" s="926"/>
      <c r="M157" s="926"/>
      <c r="N157" s="926"/>
      <c r="O157" s="926"/>
      <c r="P157" s="926"/>
      <c r="Q157" s="926"/>
      <c r="R157" s="926"/>
      <c r="S157" s="926"/>
      <c r="T157" s="926"/>
      <c r="U157" s="926"/>
      <c r="V157" s="926"/>
      <c r="W157" s="926"/>
      <c r="X157" s="926"/>
      <c r="Y157" s="926"/>
      <c r="Z157" s="926"/>
      <c r="AA157" s="926"/>
      <c r="AB157" s="926"/>
      <c r="AC157" s="926"/>
      <c r="AD157" s="926"/>
      <c r="AE157" s="926"/>
      <c r="AF157" s="926"/>
      <c r="AG157" s="926"/>
      <c r="AH157" s="926"/>
      <c r="AI157" s="926"/>
      <c r="AJ157" s="926"/>
      <c r="AK157" s="926"/>
      <c r="AL157" s="926"/>
      <c r="AM157" s="926"/>
      <c r="AN157" s="926"/>
      <c r="AO157" s="926"/>
      <c r="AP157" s="926"/>
      <c r="AQ157" s="926"/>
      <c r="AR157" s="926"/>
      <c r="AS157" s="926"/>
      <c r="AT157" s="926"/>
      <c r="AU157" s="927"/>
      <c r="AV157" s="927"/>
      <c r="AW157" s="927"/>
      <c r="AX157" s="927"/>
      <c r="AY157" s="927"/>
      <c r="AZ157" s="927"/>
      <c r="BA157" s="927"/>
      <c r="BB157" s="927"/>
      <c r="BC157" s="928"/>
      <c r="BD157" s="929"/>
      <c r="BE157" s="930"/>
      <c r="BF157" s="930"/>
      <c r="BG157" s="931"/>
      <c r="BH157" s="931"/>
      <c r="BI157" s="926"/>
      <c r="BJ157" s="926"/>
      <c r="BK157" s="926"/>
      <c r="BL157" s="926"/>
      <c r="BM157" s="926"/>
      <c r="BN157" s="926"/>
      <c r="BO157" s="926"/>
      <c r="BP157" s="926"/>
      <c r="BQ157" s="926"/>
      <c r="BR157" s="926"/>
      <c r="BS157" s="926"/>
      <c r="BT157" s="926"/>
      <c r="BU157" s="926"/>
      <c r="BV157" s="926"/>
      <c r="BW157" s="926"/>
      <c r="BX157" s="926"/>
      <c r="BY157" s="932"/>
      <c r="BZ157" s="932"/>
      <c r="CA157" s="932"/>
      <c r="CB157" s="932"/>
      <c r="CC157" s="932"/>
      <c r="CD157" s="932"/>
      <c r="CE157" s="932"/>
      <c r="CF157" s="932"/>
    </row>
    <row r="158" spans="1:84" x14ac:dyDescent="0.25">
      <c r="A158" s="876">
        <v>34500</v>
      </c>
      <c r="B158" s="873" t="s">
        <v>1371</v>
      </c>
      <c r="C158" s="921">
        <v>739293026</v>
      </c>
      <c r="D158" s="924">
        <v>4.5500239999999997E-3</v>
      </c>
      <c r="E158" s="925"/>
      <c r="F158" s="926"/>
      <c r="G158" s="926"/>
      <c r="H158" s="926"/>
      <c r="I158" s="926"/>
      <c r="J158" s="926"/>
      <c r="K158" s="926"/>
      <c r="L158" s="926"/>
      <c r="M158" s="926"/>
      <c r="N158" s="926"/>
      <c r="O158" s="926"/>
      <c r="P158" s="926"/>
      <c r="Q158" s="926"/>
      <c r="R158" s="926"/>
      <c r="S158" s="926"/>
      <c r="T158" s="926"/>
      <c r="U158" s="926"/>
      <c r="V158" s="926"/>
      <c r="W158" s="926"/>
      <c r="X158" s="926"/>
      <c r="Y158" s="926"/>
      <c r="Z158" s="926"/>
      <c r="AA158" s="926"/>
      <c r="AB158" s="926"/>
      <c r="AC158" s="926"/>
      <c r="AD158" s="926"/>
      <c r="AE158" s="926"/>
      <c r="AF158" s="926"/>
      <c r="AG158" s="926"/>
      <c r="AH158" s="926"/>
      <c r="AI158" s="926"/>
      <c r="AJ158" s="926"/>
      <c r="AK158" s="926"/>
      <c r="AL158" s="926"/>
      <c r="AM158" s="926"/>
      <c r="AN158" s="926"/>
      <c r="AO158" s="926"/>
      <c r="AP158" s="926"/>
      <c r="AQ158" s="926"/>
      <c r="AR158" s="926"/>
      <c r="AS158" s="926"/>
      <c r="AT158" s="926"/>
      <c r="AU158" s="927"/>
      <c r="AV158" s="927"/>
      <c r="AW158" s="927"/>
      <c r="AX158" s="927"/>
      <c r="AY158" s="927"/>
      <c r="AZ158" s="927"/>
      <c r="BA158" s="927"/>
      <c r="BB158" s="927"/>
      <c r="BC158" s="928"/>
      <c r="BD158" s="929"/>
      <c r="BE158" s="930"/>
      <c r="BF158" s="930"/>
      <c r="BG158" s="931"/>
      <c r="BH158" s="931"/>
      <c r="BI158" s="926"/>
      <c r="BJ158" s="926"/>
      <c r="BK158" s="926"/>
      <c r="BL158" s="926"/>
      <c r="BM158" s="926"/>
      <c r="BN158" s="926"/>
      <c r="BO158" s="926"/>
      <c r="BP158" s="926"/>
      <c r="BQ158" s="926"/>
      <c r="BR158" s="926"/>
      <c r="BS158" s="926"/>
      <c r="BT158" s="926"/>
      <c r="BU158" s="926"/>
      <c r="BV158" s="926"/>
      <c r="BW158" s="926"/>
      <c r="BX158" s="926"/>
      <c r="BY158" s="932"/>
      <c r="BZ158" s="932"/>
      <c r="CA158" s="932"/>
      <c r="CB158" s="932"/>
      <c r="CC158" s="932"/>
      <c r="CD158" s="932"/>
      <c r="CE158" s="932"/>
      <c r="CF158" s="932"/>
    </row>
    <row r="159" spans="1:84" x14ac:dyDescent="0.25">
      <c r="A159" s="876">
        <v>34501</v>
      </c>
      <c r="B159" s="873" t="s">
        <v>1372</v>
      </c>
      <c r="C159" s="921">
        <v>10135986</v>
      </c>
      <c r="D159" s="924">
        <v>6.2383000000000002E-5</v>
      </c>
      <c r="E159" s="925"/>
      <c r="F159" s="926"/>
      <c r="G159" s="926"/>
      <c r="H159" s="926"/>
      <c r="I159" s="926"/>
      <c r="J159" s="926"/>
      <c r="K159" s="926"/>
      <c r="L159" s="926"/>
      <c r="M159" s="926"/>
      <c r="N159" s="926"/>
      <c r="O159" s="926"/>
      <c r="P159" s="926"/>
      <c r="Q159" s="926"/>
      <c r="R159" s="926"/>
      <c r="S159" s="926"/>
      <c r="T159" s="926"/>
      <c r="U159" s="926"/>
      <c r="V159" s="926"/>
      <c r="W159" s="926"/>
      <c r="X159" s="926"/>
      <c r="Y159" s="926"/>
      <c r="Z159" s="926"/>
      <c r="AA159" s="926"/>
      <c r="AB159" s="926"/>
      <c r="AC159" s="926"/>
      <c r="AD159" s="926"/>
      <c r="AE159" s="926"/>
      <c r="AF159" s="926"/>
      <c r="AG159" s="926"/>
      <c r="AH159" s="926"/>
      <c r="AI159" s="926"/>
      <c r="AJ159" s="926"/>
      <c r="AK159" s="926"/>
      <c r="AL159" s="926"/>
      <c r="AM159" s="926"/>
      <c r="AN159" s="926"/>
      <c r="AO159" s="926"/>
      <c r="AP159" s="926"/>
      <c r="AQ159" s="926"/>
      <c r="AR159" s="926"/>
      <c r="AS159" s="926"/>
      <c r="AT159" s="926"/>
      <c r="AU159" s="927"/>
      <c r="AV159" s="927"/>
      <c r="AW159" s="927"/>
      <c r="AX159" s="927"/>
      <c r="AY159" s="927"/>
      <c r="AZ159" s="927"/>
      <c r="BA159" s="927"/>
      <c r="BB159" s="927"/>
      <c r="BC159" s="928"/>
      <c r="BD159" s="929"/>
      <c r="BE159" s="930"/>
      <c r="BF159" s="930"/>
      <c r="BG159" s="931"/>
      <c r="BH159" s="931"/>
      <c r="BI159" s="926"/>
      <c r="BJ159" s="926"/>
      <c r="BK159" s="926"/>
      <c r="BL159" s="926"/>
      <c r="BM159" s="926"/>
      <c r="BN159" s="926"/>
      <c r="BO159" s="926"/>
      <c r="BP159" s="926"/>
      <c r="BQ159" s="926"/>
      <c r="BR159" s="926"/>
      <c r="BS159" s="926"/>
      <c r="BT159" s="926"/>
      <c r="BU159" s="926"/>
      <c r="BV159" s="926"/>
      <c r="BW159" s="926"/>
      <c r="BX159" s="926"/>
      <c r="BY159" s="932"/>
      <c r="BZ159" s="932"/>
      <c r="CA159" s="932"/>
      <c r="CB159" s="932"/>
      <c r="CC159" s="932"/>
      <c r="CD159" s="932"/>
      <c r="CE159" s="932"/>
      <c r="CF159" s="932"/>
    </row>
    <row r="160" spans="1:84" x14ac:dyDescent="0.25">
      <c r="A160" s="876">
        <v>34505</v>
      </c>
      <c r="B160" s="873" t="s">
        <v>1373</v>
      </c>
      <c r="C160" s="921">
        <v>92688612</v>
      </c>
      <c r="D160" s="924">
        <v>5.7045800000000003E-4</v>
      </c>
      <c r="E160" s="925"/>
      <c r="F160" s="926"/>
      <c r="G160" s="926"/>
      <c r="H160" s="926"/>
      <c r="I160" s="926"/>
      <c r="J160" s="926"/>
      <c r="K160" s="926"/>
      <c r="L160" s="926"/>
      <c r="M160" s="926"/>
      <c r="N160" s="926"/>
      <c r="O160" s="926"/>
      <c r="P160" s="926"/>
      <c r="Q160" s="926"/>
      <c r="R160" s="926"/>
      <c r="S160" s="926"/>
      <c r="T160" s="926"/>
      <c r="U160" s="926"/>
      <c r="V160" s="926"/>
      <c r="W160" s="926"/>
      <c r="X160" s="926"/>
      <c r="Y160" s="926"/>
      <c r="Z160" s="926"/>
      <c r="AA160" s="926"/>
      <c r="AB160" s="926"/>
      <c r="AC160" s="926"/>
      <c r="AD160" s="926"/>
      <c r="AE160" s="926"/>
      <c r="AF160" s="926"/>
      <c r="AG160" s="926"/>
      <c r="AH160" s="926"/>
      <c r="AI160" s="926"/>
      <c r="AJ160" s="926"/>
      <c r="AK160" s="926"/>
      <c r="AL160" s="926"/>
      <c r="AM160" s="926"/>
      <c r="AN160" s="926"/>
      <c r="AO160" s="926"/>
      <c r="AP160" s="926"/>
      <c r="AQ160" s="926"/>
      <c r="AR160" s="926"/>
      <c r="AS160" s="926"/>
      <c r="AT160" s="926"/>
      <c r="AU160" s="927"/>
      <c r="AV160" s="927"/>
      <c r="AW160" s="927"/>
      <c r="AX160" s="927"/>
      <c r="AY160" s="927"/>
      <c r="AZ160" s="927"/>
      <c r="BA160" s="927"/>
      <c r="BB160" s="927"/>
      <c r="BC160" s="928"/>
      <c r="BD160" s="929"/>
      <c r="BE160" s="930"/>
      <c r="BF160" s="930"/>
      <c r="BG160" s="931"/>
      <c r="BH160" s="931"/>
      <c r="BI160" s="926"/>
      <c r="BJ160" s="926"/>
      <c r="BK160" s="926"/>
      <c r="BL160" s="926"/>
      <c r="BM160" s="926"/>
      <c r="BN160" s="926"/>
      <c r="BO160" s="926"/>
      <c r="BP160" s="926"/>
      <c r="BQ160" s="926"/>
      <c r="BR160" s="926"/>
      <c r="BS160" s="926"/>
      <c r="BT160" s="926"/>
      <c r="BU160" s="926"/>
      <c r="BV160" s="926"/>
      <c r="BW160" s="926"/>
      <c r="BX160" s="926"/>
      <c r="BY160" s="932"/>
      <c r="BZ160" s="932"/>
      <c r="CA160" s="932"/>
      <c r="CB160" s="932"/>
      <c r="CC160" s="932"/>
      <c r="CD160" s="932"/>
      <c r="CE160" s="932"/>
      <c r="CF160" s="932"/>
    </row>
    <row r="161" spans="1:84" x14ac:dyDescent="0.25">
      <c r="A161" s="876">
        <v>34600</v>
      </c>
      <c r="B161" s="873" t="s">
        <v>1374</v>
      </c>
      <c r="C161" s="921">
        <v>168039954</v>
      </c>
      <c r="D161" s="924">
        <v>1.0342120000000001E-3</v>
      </c>
      <c r="E161" s="925"/>
      <c r="F161" s="926"/>
      <c r="G161" s="926"/>
      <c r="H161" s="926"/>
      <c r="I161" s="926"/>
      <c r="J161" s="926"/>
      <c r="K161" s="926"/>
      <c r="L161" s="926"/>
      <c r="M161" s="926"/>
      <c r="N161" s="926"/>
      <c r="O161" s="926"/>
      <c r="P161" s="926"/>
      <c r="Q161" s="926"/>
      <c r="R161" s="926"/>
      <c r="S161" s="926"/>
      <c r="T161" s="926"/>
      <c r="U161" s="926"/>
      <c r="V161" s="926"/>
      <c r="W161" s="926"/>
      <c r="X161" s="926"/>
      <c r="Y161" s="926"/>
      <c r="Z161" s="926"/>
      <c r="AA161" s="926"/>
      <c r="AB161" s="926"/>
      <c r="AC161" s="926"/>
      <c r="AD161" s="926"/>
      <c r="AE161" s="926"/>
      <c r="AF161" s="926"/>
      <c r="AG161" s="926"/>
      <c r="AH161" s="926"/>
      <c r="AI161" s="926"/>
      <c r="AJ161" s="926"/>
      <c r="AK161" s="926"/>
      <c r="AL161" s="926"/>
      <c r="AM161" s="926"/>
      <c r="AN161" s="926"/>
      <c r="AO161" s="926"/>
      <c r="AP161" s="926"/>
      <c r="AQ161" s="926"/>
      <c r="AR161" s="926"/>
      <c r="AS161" s="926"/>
      <c r="AT161" s="926"/>
      <c r="AU161" s="927"/>
      <c r="AV161" s="927"/>
      <c r="AW161" s="927"/>
      <c r="AX161" s="927"/>
      <c r="AY161" s="927"/>
      <c r="AZ161" s="927"/>
      <c r="BA161" s="927"/>
      <c r="BB161" s="927"/>
      <c r="BC161" s="928"/>
      <c r="BD161" s="929"/>
      <c r="BE161" s="930"/>
      <c r="BF161" s="930"/>
      <c r="BG161" s="931"/>
      <c r="BH161" s="931"/>
      <c r="BI161" s="926"/>
      <c r="BJ161" s="926"/>
      <c r="BK161" s="926"/>
      <c r="BL161" s="926"/>
      <c r="BM161" s="926"/>
      <c r="BN161" s="926"/>
      <c r="BO161" s="926"/>
      <c r="BP161" s="926"/>
      <c r="BQ161" s="926"/>
      <c r="BR161" s="926"/>
      <c r="BS161" s="926"/>
      <c r="BT161" s="926"/>
      <c r="BU161" s="926"/>
      <c r="BV161" s="926"/>
      <c r="BW161" s="926"/>
      <c r="BX161" s="926"/>
      <c r="BY161" s="932"/>
      <c r="BZ161" s="932"/>
      <c r="CA161" s="932"/>
      <c r="CB161" s="932"/>
      <c r="CC161" s="932"/>
      <c r="CD161" s="932"/>
      <c r="CE161" s="932"/>
      <c r="CF161" s="932"/>
    </row>
    <row r="162" spans="1:84" x14ac:dyDescent="0.25">
      <c r="A162" s="876">
        <v>34605</v>
      </c>
      <c r="B162" s="873" t="s">
        <v>1375</v>
      </c>
      <c r="C162" s="921">
        <v>34342724</v>
      </c>
      <c r="D162" s="924">
        <v>2.1136399999999999E-4</v>
      </c>
      <c r="E162" s="925"/>
      <c r="F162" s="926"/>
      <c r="G162" s="926"/>
      <c r="H162" s="926"/>
      <c r="I162" s="926"/>
      <c r="J162" s="926"/>
      <c r="K162" s="926"/>
      <c r="L162" s="926"/>
      <c r="M162" s="926"/>
      <c r="N162" s="926"/>
      <c r="O162" s="926"/>
      <c r="P162" s="926"/>
      <c r="Q162" s="926"/>
      <c r="R162" s="926"/>
      <c r="S162" s="926"/>
      <c r="T162" s="926"/>
      <c r="U162" s="926"/>
      <c r="V162" s="926"/>
      <c r="W162" s="926"/>
      <c r="X162" s="926"/>
      <c r="Y162" s="926"/>
      <c r="Z162" s="926"/>
      <c r="AA162" s="926"/>
      <c r="AB162" s="926"/>
      <c r="AC162" s="926"/>
      <c r="AD162" s="926"/>
      <c r="AE162" s="926"/>
      <c r="AF162" s="926"/>
      <c r="AG162" s="926"/>
      <c r="AH162" s="926"/>
      <c r="AI162" s="926"/>
      <c r="AJ162" s="926"/>
      <c r="AK162" s="926"/>
      <c r="AL162" s="926"/>
      <c r="AM162" s="926"/>
      <c r="AN162" s="926"/>
      <c r="AO162" s="926"/>
      <c r="AP162" s="926"/>
      <c r="AQ162" s="926"/>
      <c r="AR162" s="926"/>
      <c r="AS162" s="926"/>
      <c r="AT162" s="926"/>
      <c r="AU162" s="927"/>
      <c r="AV162" s="927"/>
      <c r="AW162" s="927"/>
      <c r="AX162" s="927"/>
      <c r="AY162" s="927"/>
      <c r="AZ162" s="927"/>
      <c r="BA162" s="927"/>
      <c r="BB162" s="927"/>
      <c r="BC162" s="928"/>
      <c r="BD162" s="929"/>
      <c r="BE162" s="930"/>
      <c r="BF162" s="930"/>
      <c r="BG162" s="931"/>
      <c r="BH162" s="931"/>
      <c r="BI162" s="926"/>
      <c r="BJ162" s="926"/>
      <c r="BK162" s="926"/>
      <c r="BL162" s="926"/>
      <c r="BM162" s="926"/>
      <c r="BN162" s="926"/>
      <c r="BO162" s="926"/>
      <c r="BP162" s="926"/>
      <c r="BQ162" s="926"/>
      <c r="BR162" s="926"/>
      <c r="BS162" s="926"/>
      <c r="BT162" s="926"/>
      <c r="BU162" s="926"/>
      <c r="BV162" s="926"/>
      <c r="BW162" s="926"/>
      <c r="BX162" s="926"/>
      <c r="BY162" s="932"/>
      <c r="BZ162" s="932"/>
      <c r="CA162" s="932"/>
      <c r="CB162" s="932"/>
      <c r="CC162" s="932"/>
      <c r="CD162" s="932"/>
      <c r="CE162" s="932"/>
      <c r="CF162" s="932"/>
    </row>
    <row r="163" spans="1:84" x14ac:dyDescent="0.25">
      <c r="A163" s="876">
        <v>34700</v>
      </c>
      <c r="B163" s="873" t="s">
        <v>1376</v>
      </c>
      <c r="C163" s="921">
        <v>485130201</v>
      </c>
      <c r="D163" s="924">
        <v>2.9857629999999998E-3</v>
      </c>
      <c r="E163" s="925"/>
      <c r="F163" s="926"/>
      <c r="G163" s="926"/>
      <c r="H163" s="926"/>
      <c r="I163" s="926"/>
      <c r="J163" s="926"/>
      <c r="K163" s="926"/>
      <c r="L163" s="926"/>
      <c r="M163" s="926"/>
      <c r="N163" s="926"/>
      <c r="O163" s="926"/>
      <c r="P163" s="926"/>
      <c r="Q163" s="926"/>
      <c r="R163" s="926"/>
      <c r="S163" s="926"/>
      <c r="T163" s="926"/>
      <c r="U163" s="926"/>
      <c r="V163" s="926"/>
      <c r="W163" s="926"/>
      <c r="X163" s="926"/>
      <c r="Y163" s="926"/>
      <c r="Z163" s="926"/>
      <c r="AA163" s="926"/>
      <c r="AB163" s="926"/>
      <c r="AC163" s="926"/>
      <c r="AD163" s="926"/>
      <c r="AE163" s="926"/>
      <c r="AF163" s="926"/>
      <c r="AG163" s="926"/>
      <c r="AH163" s="926"/>
      <c r="AI163" s="926"/>
      <c r="AJ163" s="926"/>
      <c r="AK163" s="926"/>
      <c r="AL163" s="926"/>
      <c r="AM163" s="926"/>
      <c r="AN163" s="926"/>
      <c r="AO163" s="926"/>
      <c r="AP163" s="926"/>
      <c r="AQ163" s="926"/>
      <c r="AR163" s="926"/>
      <c r="AS163" s="926"/>
      <c r="AT163" s="926"/>
      <c r="AU163" s="927"/>
      <c r="AV163" s="927"/>
      <c r="AW163" s="927"/>
      <c r="AX163" s="927"/>
      <c r="AY163" s="927"/>
      <c r="AZ163" s="927"/>
      <c r="BA163" s="927"/>
      <c r="BB163" s="927"/>
      <c r="BC163" s="928"/>
      <c r="BD163" s="929"/>
      <c r="BE163" s="930"/>
      <c r="BF163" s="930"/>
      <c r="BG163" s="931"/>
      <c r="BH163" s="931"/>
      <c r="BI163" s="926"/>
      <c r="BJ163" s="926"/>
      <c r="BK163" s="926"/>
      <c r="BL163" s="926"/>
      <c r="BM163" s="926"/>
      <c r="BN163" s="926"/>
      <c r="BO163" s="926"/>
      <c r="BP163" s="926"/>
      <c r="BQ163" s="926"/>
      <c r="BR163" s="926"/>
      <c r="BS163" s="926"/>
      <c r="BT163" s="926"/>
      <c r="BU163" s="926"/>
      <c r="BV163" s="926"/>
      <c r="BW163" s="926"/>
      <c r="BX163" s="926"/>
      <c r="BY163" s="932"/>
      <c r="BZ163" s="932"/>
      <c r="CA163" s="932"/>
      <c r="CB163" s="932"/>
      <c r="CC163" s="932"/>
      <c r="CD163" s="932"/>
      <c r="CE163" s="932"/>
      <c r="CF163" s="932"/>
    </row>
    <row r="164" spans="1:84" x14ac:dyDescent="0.25">
      <c r="A164" s="876">
        <v>34800</v>
      </c>
      <c r="B164" s="873" t="s">
        <v>1377</v>
      </c>
      <c r="C164" s="921">
        <v>54377379</v>
      </c>
      <c r="D164" s="924">
        <v>3.34669E-4</v>
      </c>
      <c r="E164" s="925"/>
      <c r="F164" s="926"/>
      <c r="G164" s="926"/>
      <c r="H164" s="926"/>
      <c r="I164" s="926"/>
      <c r="J164" s="926"/>
      <c r="K164" s="926"/>
      <c r="L164" s="926"/>
      <c r="M164" s="926"/>
      <c r="N164" s="926"/>
      <c r="O164" s="926"/>
      <c r="P164" s="926"/>
      <c r="Q164" s="926"/>
      <c r="R164" s="926"/>
      <c r="S164" s="926"/>
      <c r="T164" s="926"/>
      <c r="U164" s="926"/>
      <c r="V164" s="926"/>
      <c r="W164" s="926"/>
      <c r="X164" s="926"/>
      <c r="Y164" s="926"/>
      <c r="Z164" s="926"/>
      <c r="AA164" s="926"/>
      <c r="AB164" s="926"/>
      <c r="AC164" s="926"/>
      <c r="AD164" s="926"/>
      <c r="AE164" s="926"/>
      <c r="AF164" s="926"/>
      <c r="AG164" s="926"/>
      <c r="AH164" s="926"/>
      <c r="AI164" s="926"/>
      <c r="AJ164" s="926"/>
      <c r="AK164" s="926"/>
      <c r="AL164" s="926"/>
      <c r="AM164" s="926"/>
      <c r="AN164" s="926"/>
      <c r="AO164" s="926"/>
      <c r="AP164" s="926"/>
      <c r="AQ164" s="926"/>
      <c r="AR164" s="926"/>
      <c r="AS164" s="926"/>
      <c r="AT164" s="926"/>
      <c r="AU164" s="927"/>
      <c r="AV164" s="927"/>
      <c r="AW164" s="927"/>
      <c r="AX164" s="927"/>
      <c r="AY164" s="927"/>
      <c r="AZ164" s="927"/>
      <c r="BA164" s="927"/>
      <c r="BB164" s="927"/>
      <c r="BC164" s="928"/>
      <c r="BD164" s="929"/>
      <c r="BE164" s="930"/>
      <c r="BF164" s="930"/>
      <c r="BG164" s="931"/>
      <c r="BH164" s="931"/>
      <c r="BI164" s="926"/>
      <c r="BJ164" s="926"/>
      <c r="BK164" s="926"/>
      <c r="BL164" s="926"/>
      <c r="BM164" s="926"/>
      <c r="BN164" s="926"/>
      <c r="BO164" s="926"/>
      <c r="BP164" s="926"/>
      <c r="BQ164" s="926"/>
      <c r="BR164" s="926"/>
      <c r="BS164" s="926"/>
      <c r="BT164" s="926"/>
      <c r="BU164" s="926"/>
      <c r="BV164" s="926"/>
      <c r="BW164" s="926"/>
      <c r="BX164" s="926"/>
      <c r="BY164" s="932"/>
      <c r="BZ164" s="932"/>
      <c r="CA164" s="932"/>
      <c r="CB164" s="932"/>
      <c r="CC164" s="932"/>
      <c r="CD164" s="932"/>
      <c r="CE164" s="932"/>
      <c r="CF164" s="932"/>
    </row>
    <row r="165" spans="1:84" x14ac:dyDescent="0.25">
      <c r="A165" s="876">
        <v>34900</v>
      </c>
      <c r="B165" s="873" t="s">
        <v>1378</v>
      </c>
      <c r="C165" s="921">
        <v>1045578858</v>
      </c>
      <c r="D165" s="924">
        <v>6.4350780000000003E-3</v>
      </c>
      <c r="E165" s="925"/>
      <c r="F165" s="926"/>
      <c r="G165" s="926"/>
      <c r="H165" s="926"/>
      <c r="I165" s="926"/>
      <c r="J165" s="926"/>
      <c r="K165" s="926"/>
      <c r="L165" s="926"/>
      <c r="M165" s="926"/>
      <c r="N165" s="926"/>
      <c r="O165" s="926"/>
      <c r="P165" s="926"/>
      <c r="Q165" s="926"/>
      <c r="R165" s="926"/>
      <c r="S165" s="926"/>
      <c r="T165" s="926"/>
      <c r="U165" s="926"/>
      <c r="V165" s="926"/>
      <c r="W165" s="926"/>
      <c r="X165" s="926"/>
      <c r="Y165" s="926"/>
      <c r="Z165" s="926"/>
      <c r="AA165" s="926"/>
      <c r="AB165" s="926"/>
      <c r="AC165" s="926"/>
      <c r="AD165" s="926"/>
      <c r="AE165" s="926"/>
      <c r="AF165" s="926"/>
      <c r="AG165" s="926"/>
      <c r="AH165" s="926"/>
      <c r="AI165" s="926"/>
      <c r="AJ165" s="926"/>
      <c r="AK165" s="926"/>
      <c r="AL165" s="926"/>
      <c r="AM165" s="926"/>
      <c r="AN165" s="926"/>
      <c r="AO165" s="926"/>
      <c r="AP165" s="926"/>
      <c r="AQ165" s="926"/>
      <c r="AR165" s="926"/>
      <c r="AS165" s="926"/>
      <c r="AT165" s="926"/>
      <c r="AU165" s="927"/>
      <c r="AV165" s="927"/>
      <c r="AW165" s="927"/>
      <c r="AX165" s="927"/>
      <c r="AY165" s="927"/>
      <c r="AZ165" s="927"/>
      <c r="BA165" s="927"/>
      <c r="BB165" s="927"/>
      <c r="BC165" s="928"/>
      <c r="BD165" s="929"/>
      <c r="BE165" s="930"/>
      <c r="BF165" s="930"/>
      <c r="BG165" s="931"/>
      <c r="BH165" s="931"/>
      <c r="BI165" s="926"/>
      <c r="BJ165" s="926"/>
      <c r="BK165" s="926"/>
      <c r="BL165" s="926"/>
      <c r="BM165" s="926"/>
      <c r="BN165" s="926"/>
      <c r="BO165" s="926"/>
      <c r="BP165" s="926"/>
      <c r="BQ165" s="926"/>
      <c r="BR165" s="926"/>
      <c r="BS165" s="926"/>
      <c r="BT165" s="926"/>
      <c r="BU165" s="926"/>
      <c r="BV165" s="926"/>
      <c r="BW165" s="926"/>
      <c r="BX165" s="926"/>
      <c r="BY165" s="932"/>
      <c r="BZ165" s="932"/>
      <c r="CA165" s="932"/>
      <c r="CB165" s="932"/>
      <c r="CC165" s="932"/>
      <c r="CD165" s="932"/>
      <c r="CE165" s="932"/>
      <c r="CF165" s="932"/>
    </row>
    <row r="166" spans="1:84" x14ac:dyDescent="0.25">
      <c r="A166" s="876">
        <v>34901</v>
      </c>
      <c r="B166" s="873" t="s">
        <v>1379</v>
      </c>
      <c r="C166" s="921">
        <v>27132100</v>
      </c>
      <c r="D166" s="924">
        <v>1.6698599999999999E-4</v>
      </c>
      <c r="E166" s="925"/>
      <c r="F166" s="926"/>
      <c r="G166" s="926"/>
      <c r="H166" s="926"/>
      <c r="I166" s="926"/>
      <c r="J166" s="926"/>
      <c r="K166" s="926"/>
      <c r="L166" s="926"/>
      <c r="M166" s="926"/>
      <c r="N166" s="926"/>
      <c r="O166" s="926"/>
      <c r="P166" s="926"/>
      <c r="Q166" s="926"/>
      <c r="R166" s="926"/>
      <c r="S166" s="926"/>
      <c r="T166" s="926"/>
      <c r="U166" s="926"/>
      <c r="V166" s="926"/>
      <c r="W166" s="926"/>
      <c r="X166" s="926"/>
      <c r="Y166" s="926"/>
      <c r="Z166" s="926"/>
      <c r="AA166" s="926"/>
      <c r="AB166" s="926"/>
      <c r="AC166" s="926"/>
      <c r="AD166" s="926"/>
      <c r="AE166" s="926"/>
      <c r="AF166" s="926"/>
      <c r="AG166" s="926"/>
      <c r="AH166" s="926"/>
      <c r="AI166" s="926"/>
      <c r="AJ166" s="926"/>
      <c r="AK166" s="926"/>
      <c r="AL166" s="926"/>
      <c r="AM166" s="926"/>
      <c r="AN166" s="926"/>
      <c r="AO166" s="926"/>
      <c r="AP166" s="926"/>
      <c r="AQ166" s="926"/>
      <c r="AR166" s="926"/>
      <c r="AS166" s="926"/>
      <c r="AT166" s="926"/>
      <c r="AU166" s="927"/>
      <c r="AV166" s="927"/>
      <c r="AW166" s="927"/>
      <c r="AX166" s="927"/>
      <c r="AY166" s="927"/>
      <c r="AZ166" s="927"/>
      <c r="BA166" s="927"/>
      <c r="BB166" s="927"/>
      <c r="BC166" s="928"/>
      <c r="BD166" s="929"/>
      <c r="BE166" s="930"/>
      <c r="BF166" s="930"/>
      <c r="BG166" s="931"/>
      <c r="BH166" s="931"/>
      <c r="BI166" s="926"/>
      <c r="BJ166" s="926"/>
      <c r="BK166" s="926"/>
      <c r="BL166" s="926"/>
      <c r="BM166" s="926"/>
      <c r="BN166" s="926"/>
      <c r="BO166" s="926"/>
      <c r="BP166" s="926"/>
      <c r="BQ166" s="926"/>
      <c r="BR166" s="926"/>
      <c r="BS166" s="926"/>
      <c r="BT166" s="926"/>
      <c r="BU166" s="926"/>
      <c r="BV166" s="926"/>
      <c r="BW166" s="926"/>
      <c r="BX166" s="926"/>
      <c r="BY166" s="932"/>
      <c r="BZ166" s="932"/>
      <c r="CA166" s="932"/>
      <c r="CB166" s="932"/>
      <c r="CC166" s="932"/>
      <c r="CD166" s="932"/>
      <c r="CE166" s="932"/>
      <c r="CF166" s="932"/>
    </row>
    <row r="167" spans="1:84" x14ac:dyDescent="0.25">
      <c r="A167" s="876">
        <v>34903</v>
      </c>
      <c r="B167" s="873" t="s">
        <v>1380</v>
      </c>
      <c r="C167" s="921">
        <v>1409518</v>
      </c>
      <c r="D167" s="924">
        <v>8.6750000000000008E-6</v>
      </c>
      <c r="E167" s="925"/>
      <c r="F167" s="926"/>
      <c r="G167" s="926"/>
      <c r="H167" s="926"/>
      <c r="I167" s="926"/>
      <c r="J167" s="926"/>
      <c r="K167" s="926"/>
      <c r="L167" s="926"/>
      <c r="M167" s="926"/>
      <c r="N167" s="926"/>
      <c r="O167" s="926"/>
      <c r="P167" s="926"/>
      <c r="Q167" s="926"/>
      <c r="R167" s="926"/>
      <c r="S167" s="926"/>
      <c r="T167" s="926"/>
      <c r="U167" s="926"/>
      <c r="V167" s="926"/>
      <c r="W167" s="926"/>
      <c r="X167" s="926"/>
      <c r="Y167" s="926"/>
      <c r="Z167" s="926"/>
      <c r="AA167" s="926"/>
      <c r="AB167" s="926"/>
      <c r="AC167" s="926"/>
      <c r="AD167" s="926"/>
      <c r="AE167" s="926"/>
      <c r="AF167" s="926"/>
      <c r="AG167" s="926"/>
      <c r="AH167" s="926"/>
      <c r="AI167" s="926"/>
      <c r="AJ167" s="926"/>
      <c r="AK167" s="926"/>
      <c r="AL167" s="926"/>
      <c r="AM167" s="926"/>
      <c r="AN167" s="926"/>
      <c r="AO167" s="926"/>
      <c r="AP167" s="926"/>
      <c r="AQ167" s="926"/>
      <c r="AR167" s="926"/>
      <c r="AS167" s="926"/>
      <c r="AT167" s="926"/>
      <c r="AU167" s="927"/>
      <c r="AV167" s="927"/>
      <c r="AW167" s="927"/>
      <c r="AX167" s="927"/>
      <c r="AY167" s="927"/>
      <c r="AZ167" s="927"/>
      <c r="BA167" s="927"/>
      <c r="BB167" s="927"/>
      <c r="BC167" s="928"/>
      <c r="BD167" s="929"/>
      <c r="BE167" s="930"/>
      <c r="BF167" s="930"/>
      <c r="BG167" s="931"/>
      <c r="BH167" s="931"/>
      <c r="BI167" s="926"/>
      <c r="BJ167" s="926"/>
      <c r="BK167" s="926"/>
      <c r="BL167" s="926"/>
      <c r="BM167" s="926"/>
      <c r="BN167" s="926"/>
      <c r="BO167" s="926"/>
      <c r="BP167" s="926"/>
      <c r="BQ167" s="926"/>
      <c r="BR167" s="926"/>
      <c r="BS167" s="926"/>
      <c r="BT167" s="926"/>
      <c r="BU167" s="926"/>
      <c r="BV167" s="926"/>
      <c r="BW167" s="926"/>
      <c r="BX167" s="926"/>
      <c r="BY167" s="932"/>
      <c r="BZ167" s="932"/>
      <c r="CA167" s="932"/>
      <c r="CB167" s="932"/>
      <c r="CC167" s="932"/>
      <c r="CD167" s="932"/>
      <c r="CE167" s="932"/>
      <c r="CF167" s="932"/>
    </row>
    <row r="168" spans="1:84" x14ac:dyDescent="0.25">
      <c r="A168" s="876">
        <v>34905</v>
      </c>
      <c r="B168" s="873" t="s">
        <v>1381</v>
      </c>
      <c r="C168" s="921">
        <v>96992674</v>
      </c>
      <c r="D168" s="924">
        <v>5.9694700000000002E-4</v>
      </c>
      <c r="E168" s="925"/>
      <c r="F168" s="926"/>
      <c r="G168" s="926"/>
      <c r="H168" s="926"/>
      <c r="I168" s="926"/>
      <c r="J168" s="926"/>
      <c r="K168" s="926"/>
      <c r="L168" s="926"/>
      <c r="M168" s="926"/>
      <c r="N168" s="926"/>
      <c r="O168" s="926"/>
      <c r="P168" s="926"/>
      <c r="Q168" s="926"/>
      <c r="R168" s="926"/>
      <c r="S168" s="926"/>
      <c r="T168" s="926"/>
      <c r="U168" s="926"/>
      <c r="V168" s="926"/>
      <c r="W168" s="926"/>
      <c r="X168" s="926"/>
      <c r="Y168" s="926"/>
      <c r="Z168" s="926"/>
      <c r="AA168" s="926"/>
      <c r="AB168" s="926"/>
      <c r="AC168" s="926"/>
      <c r="AD168" s="926"/>
      <c r="AE168" s="926"/>
      <c r="AF168" s="926"/>
      <c r="AG168" s="926"/>
      <c r="AH168" s="926"/>
      <c r="AI168" s="926"/>
      <c r="AJ168" s="926"/>
      <c r="AK168" s="926"/>
      <c r="AL168" s="926"/>
      <c r="AM168" s="926"/>
      <c r="AN168" s="926"/>
      <c r="AO168" s="926"/>
      <c r="AP168" s="926"/>
      <c r="AQ168" s="926"/>
      <c r="AR168" s="926"/>
      <c r="AS168" s="926"/>
      <c r="AT168" s="926"/>
      <c r="AU168" s="927"/>
      <c r="AV168" s="927"/>
      <c r="AW168" s="927"/>
      <c r="AX168" s="927"/>
      <c r="AY168" s="927"/>
      <c r="AZ168" s="927"/>
      <c r="BA168" s="927"/>
      <c r="BB168" s="927"/>
      <c r="BC168" s="928"/>
      <c r="BD168" s="929"/>
      <c r="BE168" s="930"/>
      <c r="BF168" s="930"/>
      <c r="BG168" s="931"/>
      <c r="BH168" s="931"/>
      <c r="BI168" s="926"/>
      <c r="BJ168" s="926"/>
      <c r="BK168" s="926"/>
      <c r="BL168" s="926"/>
      <c r="BM168" s="926"/>
      <c r="BN168" s="926"/>
      <c r="BO168" s="926"/>
      <c r="BP168" s="926"/>
      <c r="BQ168" s="926"/>
      <c r="BR168" s="926"/>
      <c r="BS168" s="926"/>
      <c r="BT168" s="926"/>
      <c r="BU168" s="926"/>
      <c r="BV168" s="926"/>
      <c r="BW168" s="926"/>
      <c r="BX168" s="926"/>
      <c r="BY168" s="932"/>
      <c r="BZ168" s="932"/>
      <c r="CA168" s="932"/>
      <c r="CB168" s="932"/>
      <c r="CC168" s="932"/>
      <c r="CD168" s="932"/>
      <c r="CE168" s="932"/>
      <c r="CF168" s="932"/>
    </row>
    <row r="169" spans="1:84" x14ac:dyDescent="0.25">
      <c r="A169" s="876">
        <v>34910</v>
      </c>
      <c r="B169" s="873" t="s">
        <v>1382</v>
      </c>
      <c r="C169" s="921">
        <v>331588019</v>
      </c>
      <c r="D169" s="924">
        <v>2.040778E-3</v>
      </c>
      <c r="E169" s="925"/>
      <c r="F169" s="926"/>
      <c r="G169" s="926"/>
      <c r="H169" s="926"/>
      <c r="I169" s="926"/>
      <c r="J169" s="926"/>
      <c r="K169" s="926"/>
      <c r="L169" s="926"/>
      <c r="M169" s="926"/>
      <c r="N169" s="926"/>
      <c r="O169" s="926"/>
      <c r="P169" s="926"/>
      <c r="Q169" s="926"/>
      <c r="R169" s="926"/>
      <c r="S169" s="926"/>
      <c r="T169" s="926"/>
      <c r="U169" s="926"/>
      <c r="V169" s="926"/>
      <c r="W169" s="926"/>
      <c r="X169" s="926"/>
      <c r="Y169" s="926"/>
      <c r="Z169" s="926"/>
      <c r="AA169" s="926"/>
      <c r="AB169" s="926"/>
      <c r="AC169" s="926"/>
      <c r="AD169" s="926"/>
      <c r="AE169" s="926"/>
      <c r="AF169" s="926"/>
      <c r="AG169" s="926"/>
      <c r="AH169" s="926"/>
      <c r="AI169" s="926"/>
      <c r="AJ169" s="926"/>
      <c r="AK169" s="926"/>
      <c r="AL169" s="926"/>
      <c r="AM169" s="926"/>
      <c r="AN169" s="926"/>
      <c r="AO169" s="926"/>
      <c r="AP169" s="926"/>
      <c r="AQ169" s="926"/>
      <c r="AR169" s="926"/>
      <c r="AS169" s="926"/>
      <c r="AT169" s="926"/>
      <c r="AU169" s="927"/>
      <c r="AV169" s="927"/>
      <c r="AW169" s="927"/>
      <c r="AX169" s="927"/>
      <c r="AY169" s="927"/>
      <c r="AZ169" s="927"/>
      <c r="BA169" s="927"/>
      <c r="BB169" s="927"/>
      <c r="BC169" s="928"/>
      <c r="BD169" s="929"/>
      <c r="BE169" s="930"/>
      <c r="BF169" s="930"/>
      <c r="BG169" s="931"/>
      <c r="BH169" s="931"/>
      <c r="BI169" s="926"/>
      <c r="BJ169" s="926"/>
      <c r="BK169" s="926"/>
      <c r="BL169" s="926"/>
      <c r="BM169" s="926"/>
      <c r="BN169" s="926"/>
      <c r="BO169" s="926"/>
      <c r="BP169" s="926"/>
      <c r="BQ169" s="926"/>
      <c r="BR169" s="926"/>
      <c r="BS169" s="926"/>
      <c r="BT169" s="926"/>
      <c r="BU169" s="926"/>
      <c r="BV169" s="926"/>
      <c r="BW169" s="926"/>
      <c r="BX169" s="926"/>
      <c r="BY169" s="932"/>
      <c r="BZ169" s="932"/>
      <c r="CA169" s="932"/>
      <c r="CB169" s="932"/>
      <c r="CC169" s="932"/>
      <c r="CD169" s="932"/>
      <c r="CE169" s="932"/>
      <c r="CF169" s="932"/>
    </row>
    <row r="170" spans="1:84" x14ac:dyDescent="0.25">
      <c r="A170" s="876">
        <v>35000</v>
      </c>
      <c r="B170" s="873" t="s">
        <v>1383</v>
      </c>
      <c r="C170" s="921">
        <v>217231876</v>
      </c>
      <c r="D170" s="924">
        <v>1.3369670000000001E-3</v>
      </c>
      <c r="E170" s="925"/>
      <c r="F170" s="926"/>
      <c r="G170" s="926"/>
      <c r="H170" s="926"/>
      <c r="I170" s="926"/>
      <c r="J170" s="926"/>
      <c r="K170" s="926"/>
      <c r="L170" s="926"/>
      <c r="M170" s="926"/>
      <c r="N170" s="926"/>
      <c r="O170" s="926"/>
      <c r="P170" s="926"/>
      <c r="Q170" s="926"/>
      <c r="R170" s="926"/>
      <c r="S170" s="926"/>
      <c r="T170" s="926"/>
      <c r="U170" s="926"/>
      <c r="V170" s="926"/>
      <c r="W170" s="926"/>
      <c r="X170" s="926"/>
      <c r="Y170" s="926"/>
      <c r="Z170" s="926"/>
      <c r="AA170" s="926"/>
      <c r="AB170" s="926"/>
      <c r="AC170" s="926"/>
      <c r="AD170" s="926"/>
      <c r="AE170" s="926"/>
      <c r="AF170" s="926"/>
      <c r="AG170" s="926"/>
      <c r="AH170" s="926"/>
      <c r="AI170" s="926"/>
      <c r="AJ170" s="926"/>
      <c r="AK170" s="926"/>
      <c r="AL170" s="926"/>
      <c r="AM170" s="926"/>
      <c r="AN170" s="926"/>
      <c r="AO170" s="926"/>
      <c r="AP170" s="926"/>
      <c r="AQ170" s="926"/>
      <c r="AR170" s="926"/>
      <c r="AS170" s="926"/>
      <c r="AT170" s="926"/>
      <c r="AU170" s="927"/>
      <c r="AV170" s="927"/>
      <c r="AW170" s="927"/>
      <c r="AX170" s="927"/>
      <c r="AY170" s="927"/>
      <c r="AZ170" s="927"/>
      <c r="BA170" s="927"/>
      <c r="BB170" s="927"/>
      <c r="BC170" s="928"/>
      <c r="BD170" s="929"/>
      <c r="BE170" s="930"/>
      <c r="BF170" s="930"/>
      <c r="BG170" s="931"/>
      <c r="BH170" s="931"/>
      <c r="BI170" s="926"/>
      <c r="BJ170" s="926"/>
      <c r="BK170" s="926"/>
      <c r="BL170" s="926"/>
      <c r="BM170" s="926"/>
      <c r="BN170" s="926"/>
      <c r="BO170" s="926"/>
      <c r="BP170" s="926"/>
      <c r="BQ170" s="926"/>
      <c r="BR170" s="926"/>
      <c r="BS170" s="926"/>
      <c r="BT170" s="926"/>
      <c r="BU170" s="926"/>
      <c r="BV170" s="926"/>
      <c r="BW170" s="926"/>
      <c r="BX170" s="926"/>
      <c r="BY170" s="932"/>
      <c r="BZ170" s="932"/>
      <c r="CA170" s="932"/>
      <c r="CB170" s="932"/>
      <c r="CC170" s="932"/>
      <c r="CD170" s="932"/>
      <c r="CE170" s="932"/>
      <c r="CF170" s="932"/>
    </row>
    <row r="171" spans="1:84" x14ac:dyDescent="0.25">
      <c r="A171" s="876">
        <v>35005</v>
      </c>
      <c r="B171" s="873" t="s">
        <v>1384</v>
      </c>
      <c r="C171" s="921">
        <v>97505638</v>
      </c>
      <c r="D171" s="924">
        <v>6.0010399999999996E-4</v>
      </c>
      <c r="E171" s="925"/>
      <c r="F171" s="926"/>
      <c r="G171" s="926"/>
      <c r="H171" s="926"/>
      <c r="I171" s="926"/>
      <c r="J171" s="926"/>
      <c r="K171" s="926"/>
      <c r="L171" s="926"/>
      <c r="M171" s="926"/>
      <c r="N171" s="926"/>
      <c r="O171" s="926"/>
      <c r="P171" s="926"/>
      <c r="Q171" s="926"/>
      <c r="R171" s="926"/>
      <c r="S171" s="926"/>
      <c r="T171" s="926"/>
      <c r="U171" s="926"/>
      <c r="V171" s="926"/>
      <c r="W171" s="926"/>
      <c r="X171" s="926"/>
      <c r="Y171" s="926"/>
      <c r="Z171" s="926"/>
      <c r="AA171" s="926"/>
      <c r="AB171" s="926"/>
      <c r="AC171" s="926"/>
      <c r="AD171" s="926"/>
      <c r="AE171" s="926"/>
      <c r="AF171" s="926"/>
      <c r="AG171" s="926"/>
      <c r="AH171" s="926"/>
      <c r="AI171" s="926"/>
      <c r="AJ171" s="926"/>
      <c r="AK171" s="926"/>
      <c r="AL171" s="926"/>
      <c r="AM171" s="926"/>
      <c r="AN171" s="926"/>
      <c r="AO171" s="926"/>
      <c r="AP171" s="926"/>
      <c r="AQ171" s="926"/>
      <c r="AR171" s="926"/>
      <c r="AS171" s="926"/>
      <c r="AT171" s="926"/>
      <c r="AU171" s="927"/>
      <c r="AV171" s="927"/>
      <c r="AW171" s="927"/>
      <c r="AX171" s="927"/>
      <c r="AY171" s="927"/>
      <c r="AZ171" s="927"/>
      <c r="BA171" s="927"/>
      <c r="BB171" s="927"/>
      <c r="BC171" s="928"/>
      <c r="BD171" s="929"/>
      <c r="BE171" s="930"/>
      <c r="BF171" s="930"/>
      <c r="BG171" s="931"/>
      <c r="BH171" s="931"/>
      <c r="BI171" s="926"/>
      <c r="BJ171" s="926"/>
      <c r="BK171" s="926"/>
      <c r="BL171" s="926"/>
      <c r="BM171" s="926"/>
      <c r="BN171" s="926"/>
      <c r="BO171" s="926"/>
      <c r="BP171" s="926"/>
      <c r="BQ171" s="926"/>
      <c r="BR171" s="926"/>
      <c r="BS171" s="926"/>
      <c r="BT171" s="926"/>
      <c r="BU171" s="926"/>
      <c r="BV171" s="926"/>
      <c r="BW171" s="926"/>
      <c r="BX171" s="926"/>
      <c r="BY171" s="932"/>
      <c r="BZ171" s="932"/>
      <c r="CA171" s="932"/>
      <c r="CB171" s="932"/>
      <c r="CC171" s="932"/>
      <c r="CD171" s="932"/>
      <c r="CE171" s="932"/>
      <c r="CF171" s="932"/>
    </row>
    <row r="172" spans="1:84" x14ac:dyDescent="0.25">
      <c r="A172" s="876">
        <v>35100</v>
      </c>
      <c r="B172" s="873" t="s">
        <v>1385</v>
      </c>
      <c r="C172" s="921">
        <v>1960326153</v>
      </c>
      <c r="D172" s="924">
        <v>1.2064946E-2</v>
      </c>
      <c r="E172" s="925"/>
      <c r="F172" s="926"/>
      <c r="G172" s="926"/>
      <c r="H172" s="926"/>
      <c r="I172" s="926"/>
      <c r="J172" s="926"/>
      <c r="K172" s="926"/>
      <c r="L172" s="926"/>
      <c r="M172" s="926"/>
      <c r="N172" s="926"/>
      <c r="O172" s="926"/>
      <c r="P172" s="926"/>
      <c r="Q172" s="926"/>
      <c r="R172" s="926"/>
      <c r="S172" s="926"/>
      <c r="T172" s="926"/>
      <c r="U172" s="926"/>
      <c r="V172" s="926"/>
      <c r="W172" s="926"/>
      <c r="X172" s="926"/>
      <c r="Y172" s="926"/>
      <c r="Z172" s="926"/>
      <c r="AA172" s="926"/>
      <c r="AB172" s="926"/>
      <c r="AC172" s="926"/>
      <c r="AD172" s="926"/>
      <c r="AE172" s="926"/>
      <c r="AF172" s="926"/>
      <c r="AG172" s="926"/>
      <c r="AH172" s="926"/>
      <c r="AI172" s="926"/>
      <c r="AJ172" s="926"/>
      <c r="AK172" s="926"/>
      <c r="AL172" s="926"/>
      <c r="AM172" s="926"/>
      <c r="AN172" s="926"/>
      <c r="AO172" s="926"/>
      <c r="AP172" s="926"/>
      <c r="AQ172" s="926"/>
      <c r="AR172" s="926"/>
      <c r="AS172" s="926"/>
      <c r="AT172" s="926"/>
      <c r="AU172" s="927"/>
      <c r="AV172" s="927"/>
      <c r="AW172" s="927"/>
      <c r="AX172" s="927"/>
      <c r="AY172" s="927"/>
      <c r="AZ172" s="927"/>
      <c r="BA172" s="927"/>
      <c r="BB172" s="927"/>
      <c r="BC172" s="928"/>
      <c r="BD172" s="929"/>
      <c r="BE172" s="930"/>
      <c r="BF172" s="930"/>
      <c r="BG172" s="931"/>
      <c r="BH172" s="931"/>
      <c r="BI172" s="926"/>
      <c r="BJ172" s="926"/>
      <c r="BK172" s="926"/>
      <c r="BL172" s="926"/>
      <c r="BM172" s="926"/>
      <c r="BN172" s="926"/>
      <c r="BO172" s="926"/>
      <c r="BP172" s="926"/>
      <c r="BQ172" s="926"/>
      <c r="BR172" s="926"/>
      <c r="BS172" s="926"/>
      <c r="BT172" s="926"/>
      <c r="BU172" s="926"/>
      <c r="BV172" s="926"/>
      <c r="BW172" s="926"/>
      <c r="BX172" s="926"/>
      <c r="BY172" s="932"/>
      <c r="BZ172" s="932"/>
      <c r="CA172" s="932"/>
      <c r="CB172" s="932"/>
      <c r="CC172" s="932"/>
      <c r="CD172" s="932"/>
      <c r="CE172" s="932"/>
      <c r="CF172" s="932"/>
    </row>
    <row r="173" spans="1:84" x14ac:dyDescent="0.25">
      <c r="A173" s="876">
        <v>35105</v>
      </c>
      <c r="B173" s="873" t="s">
        <v>1386</v>
      </c>
      <c r="C173" s="921">
        <v>164191350</v>
      </c>
      <c r="D173" s="924">
        <v>1.0105260000000001E-3</v>
      </c>
      <c r="E173" s="925"/>
      <c r="F173" s="926"/>
      <c r="G173" s="926"/>
      <c r="H173" s="926"/>
      <c r="I173" s="926"/>
      <c r="J173" s="926"/>
      <c r="K173" s="926"/>
      <c r="L173" s="926"/>
      <c r="M173" s="926"/>
      <c r="N173" s="926"/>
      <c r="O173" s="926"/>
      <c r="P173" s="926"/>
      <c r="Q173" s="926"/>
      <c r="R173" s="926"/>
      <c r="S173" s="926"/>
      <c r="T173" s="926"/>
      <c r="U173" s="926"/>
      <c r="V173" s="926"/>
      <c r="W173" s="926"/>
      <c r="X173" s="926"/>
      <c r="Y173" s="926"/>
      <c r="Z173" s="926"/>
      <c r="AA173" s="926"/>
      <c r="AB173" s="926"/>
      <c r="AC173" s="926"/>
      <c r="AD173" s="926"/>
      <c r="AE173" s="926"/>
      <c r="AF173" s="926"/>
      <c r="AG173" s="926"/>
      <c r="AH173" s="926"/>
      <c r="AI173" s="926"/>
      <c r="AJ173" s="926"/>
      <c r="AK173" s="926"/>
      <c r="AL173" s="926"/>
      <c r="AM173" s="926"/>
      <c r="AN173" s="926"/>
      <c r="AO173" s="926"/>
      <c r="AP173" s="926"/>
      <c r="AQ173" s="926"/>
      <c r="AR173" s="926"/>
      <c r="AS173" s="926"/>
      <c r="AT173" s="926"/>
      <c r="AU173" s="927"/>
      <c r="AV173" s="927"/>
      <c r="AW173" s="927"/>
      <c r="AX173" s="927"/>
      <c r="AY173" s="927"/>
      <c r="AZ173" s="927"/>
      <c r="BA173" s="927"/>
      <c r="BB173" s="927"/>
      <c r="BC173" s="928"/>
      <c r="BD173" s="929"/>
      <c r="BE173" s="930"/>
      <c r="BF173" s="930"/>
      <c r="BG173" s="931"/>
      <c r="BH173" s="931"/>
      <c r="BI173" s="926"/>
      <c r="BJ173" s="926"/>
      <c r="BK173" s="926"/>
      <c r="BL173" s="926"/>
      <c r="BM173" s="926"/>
      <c r="BN173" s="926"/>
      <c r="BO173" s="926"/>
      <c r="BP173" s="926"/>
      <c r="BQ173" s="926"/>
      <c r="BR173" s="926"/>
      <c r="BS173" s="926"/>
      <c r="BT173" s="926"/>
      <c r="BU173" s="926"/>
      <c r="BV173" s="926"/>
      <c r="BW173" s="926"/>
      <c r="BX173" s="926"/>
      <c r="BY173" s="932"/>
      <c r="BZ173" s="932"/>
      <c r="CA173" s="932"/>
      <c r="CB173" s="932"/>
      <c r="CC173" s="932"/>
      <c r="CD173" s="932"/>
      <c r="CE173" s="932"/>
      <c r="CF173" s="932"/>
    </row>
    <row r="174" spans="1:84" x14ac:dyDescent="0.25">
      <c r="A174" s="876">
        <v>35106</v>
      </c>
      <c r="B174" s="873" t="s">
        <v>1387</v>
      </c>
      <c r="C174" s="921">
        <v>42877907</v>
      </c>
      <c r="D174" s="924">
        <v>2.6389499999999999E-4</v>
      </c>
      <c r="E174" s="925"/>
      <c r="F174" s="926"/>
      <c r="G174" s="926"/>
      <c r="H174" s="926"/>
      <c r="I174" s="926"/>
      <c r="J174" s="926"/>
      <c r="K174" s="926"/>
      <c r="L174" s="926"/>
      <c r="M174" s="926"/>
      <c r="N174" s="926"/>
      <c r="O174" s="926"/>
      <c r="P174" s="926"/>
      <c r="Q174" s="926"/>
      <c r="R174" s="926"/>
      <c r="S174" s="926"/>
      <c r="T174" s="926"/>
      <c r="U174" s="926"/>
      <c r="V174" s="926"/>
      <c r="W174" s="926"/>
      <c r="X174" s="926"/>
      <c r="Y174" s="926"/>
      <c r="Z174" s="926"/>
      <c r="AA174" s="926"/>
      <c r="AB174" s="926"/>
      <c r="AC174" s="926"/>
      <c r="AD174" s="926"/>
      <c r="AE174" s="926"/>
      <c r="AF174" s="926"/>
      <c r="AG174" s="926"/>
      <c r="AH174" s="926"/>
      <c r="AI174" s="926"/>
      <c r="AJ174" s="926"/>
      <c r="AK174" s="926"/>
      <c r="AL174" s="926"/>
      <c r="AM174" s="926"/>
      <c r="AN174" s="926"/>
      <c r="AO174" s="926"/>
      <c r="AP174" s="926"/>
      <c r="AQ174" s="926"/>
      <c r="AR174" s="926"/>
      <c r="AS174" s="926"/>
      <c r="AT174" s="926"/>
      <c r="AU174" s="927"/>
      <c r="AV174" s="927"/>
      <c r="AW174" s="927"/>
      <c r="AX174" s="927"/>
      <c r="AY174" s="927"/>
      <c r="AZ174" s="927"/>
      <c r="BA174" s="927"/>
      <c r="BB174" s="927"/>
      <c r="BC174" s="928"/>
      <c r="BD174" s="929"/>
      <c r="BE174" s="930"/>
      <c r="BF174" s="930"/>
      <c r="BG174" s="931"/>
      <c r="BH174" s="931"/>
      <c r="BI174" s="926"/>
      <c r="BJ174" s="926"/>
      <c r="BK174" s="926"/>
      <c r="BL174" s="926"/>
      <c r="BM174" s="926"/>
      <c r="BN174" s="926"/>
      <c r="BO174" s="926"/>
      <c r="BP174" s="926"/>
      <c r="BQ174" s="926"/>
      <c r="BR174" s="926"/>
      <c r="BS174" s="926"/>
      <c r="BT174" s="926"/>
      <c r="BU174" s="926"/>
      <c r="BV174" s="926"/>
      <c r="BW174" s="926"/>
      <c r="BX174" s="926"/>
      <c r="BY174" s="932"/>
      <c r="BZ174" s="932"/>
      <c r="CA174" s="932"/>
      <c r="CB174" s="932"/>
      <c r="CC174" s="932"/>
      <c r="CD174" s="932"/>
      <c r="CE174" s="932"/>
      <c r="CF174" s="932"/>
    </row>
    <row r="175" spans="1:84" x14ac:dyDescent="0.25">
      <c r="A175" s="876">
        <v>35200</v>
      </c>
      <c r="B175" s="873" t="s">
        <v>1388</v>
      </c>
      <c r="C175" s="921">
        <v>80226395</v>
      </c>
      <c r="D175" s="924">
        <v>4.9375799999999996E-4</v>
      </c>
      <c r="E175" s="925"/>
      <c r="F175" s="926"/>
      <c r="G175" s="926"/>
      <c r="H175" s="926"/>
      <c r="I175" s="926"/>
      <c r="J175" s="926"/>
      <c r="K175" s="926"/>
      <c r="L175" s="926"/>
      <c r="M175" s="926"/>
      <c r="N175" s="926"/>
      <c r="O175" s="926"/>
      <c r="P175" s="926"/>
      <c r="Q175" s="926"/>
      <c r="R175" s="926"/>
      <c r="S175" s="926"/>
      <c r="T175" s="926"/>
      <c r="U175" s="926"/>
      <c r="V175" s="926"/>
      <c r="W175" s="926"/>
      <c r="X175" s="926"/>
      <c r="Y175" s="926"/>
      <c r="Z175" s="926"/>
      <c r="AA175" s="926"/>
      <c r="AB175" s="926"/>
      <c r="AC175" s="926"/>
      <c r="AD175" s="926"/>
      <c r="AE175" s="926"/>
      <c r="AF175" s="926"/>
      <c r="AG175" s="926"/>
      <c r="AH175" s="926"/>
      <c r="AI175" s="926"/>
      <c r="AJ175" s="926"/>
      <c r="AK175" s="926"/>
      <c r="AL175" s="926"/>
      <c r="AM175" s="926"/>
      <c r="AN175" s="926"/>
      <c r="AO175" s="926"/>
      <c r="AP175" s="926"/>
      <c r="AQ175" s="926"/>
      <c r="AR175" s="926"/>
      <c r="AS175" s="926"/>
      <c r="AT175" s="926"/>
      <c r="AU175" s="927"/>
      <c r="AV175" s="927"/>
      <c r="AW175" s="927"/>
      <c r="AX175" s="927"/>
      <c r="AY175" s="927"/>
      <c r="AZ175" s="927"/>
      <c r="BA175" s="927"/>
      <c r="BB175" s="927"/>
      <c r="BC175" s="928"/>
      <c r="BD175" s="929"/>
      <c r="BE175" s="930"/>
      <c r="BF175" s="930"/>
      <c r="BG175" s="931"/>
      <c r="BH175" s="931"/>
      <c r="BI175" s="926"/>
      <c r="BJ175" s="926"/>
      <c r="BK175" s="926"/>
      <c r="BL175" s="926"/>
      <c r="BM175" s="926"/>
      <c r="BN175" s="926"/>
      <c r="BO175" s="926"/>
      <c r="BP175" s="926"/>
      <c r="BQ175" s="926"/>
      <c r="BR175" s="926"/>
      <c r="BS175" s="926"/>
      <c r="BT175" s="926"/>
      <c r="BU175" s="926"/>
      <c r="BV175" s="926"/>
      <c r="BW175" s="926"/>
      <c r="BX175" s="926"/>
      <c r="BY175" s="932"/>
      <c r="BZ175" s="932"/>
      <c r="CA175" s="932"/>
      <c r="CB175" s="932"/>
      <c r="CC175" s="932"/>
      <c r="CD175" s="932"/>
      <c r="CE175" s="932"/>
      <c r="CF175" s="932"/>
    </row>
    <row r="176" spans="1:84" x14ac:dyDescent="0.25">
      <c r="A176" s="876">
        <v>35300</v>
      </c>
      <c r="B176" s="873" t="s">
        <v>1389</v>
      </c>
      <c r="C176" s="921">
        <v>603719601</v>
      </c>
      <c r="D176" s="924">
        <v>3.7156289999999998E-3</v>
      </c>
      <c r="E176" s="925"/>
      <c r="F176" s="926"/>
      <c r="G176" s="926"/>
      <c r="H176" s="926"/>
      <c r="I176" s="926"/>
      <c r="J176" s="926"/>
      <c r="K176" s="926"/>
      <c r="L176" s="926"/>
      <c r="M176" s="926"/>
      <c r="N176" s="926"/>
      <c r="O176" s="926"/>
      <c r="P176" s="926"/>
      <c r="Q176" s="926"/>
      <c r="R176" s="926"/>
      <c r="S176" s="926"/>
      <c r="T176" s="926"/>
      <c r="U176" s="926"/>
      <c r="V176" s="926"/>
      <c r="W176" s="926"/>
      <c r="X176" s="926"/>
      <c r="Y176" s="926"/>
      <c r="Z176" s="926"/>
      <c r="AA176" s="926"/>
      <c r="AB176" s="926"/>
      <c r="AC176" s="926"/>
      <c r="AD176" s="926"/>
      <c r="AE176" s="926"/>
      <c r="AF176" s="926"/>
      <c r="AG176" s="926"/>
      <c r="AH176" s="926"/>
      <c r="AI176" s="926"/>
      <c r="AJ176" s="926"/>
      <c r="AK176" s="926"/>
      <c r="AL176" s="926"/>
      <c r="AM176" s="926"/>
      <c r="AN176" s="926"/>
      <c r="AO176" s="926"/>
      <c r="AP176" s="926"/>
      <c r="AQ176" s="926"/>
      <c r="AR176" s="926"/>
      <c r="AS176" s="926"/>
      <c r="AT176" s="926"/>
      <c r="AU176" s="927"/>
      <c r="AV176" s="927"/>
      <c r="AW176" s="927"/>
      <c r="AX176" s="927"/>
      <c r="AY176" s="927"/>
      <c r="AZ176" s="927"/>
      <c r="BA176" s="927"/>
      <c r="BB176" s="927"/>
      <c r="BC176" s="928"/>
      <c r="BD176" s="929"/>
      <c r="BE176" s="930"/>
      <c r="BF176" s="930"/>
      <c r="BG176" s="931"/>
      <c r="BH176" s="931"/>
      <c r="BI176" s="926"/>
      <c r="BJ176" s="926"/>
      <c r="BK176" s="926"/>
      <c r="BL176" s="926"/>
      <c r="BM176" s="926"/>
      <c r="BN176" s="926"/>
      <c r="BO176" s="926"/>
      <c r="BP176" s="926"/>
      <c r="BQ176" s="926"/>
      <c r="BR176" s="926"/>
      <c r="BS176" s="926"/>
      <c r="BT176" s="926"/>
      <c r="BU176" s="926"/>
      <c r="BV176" s="926"/>
      <c r="BW176" s="926"/>
      <c r="BX176" s="926"/>
      <c r="BY176" s="932"/>
      <c r="BZ176" s="932"/>
      <c r="CA176" s="932"/>
      <c r="CB176" s="932"/>
      <c r="CC176" s="932"/>
      <c r="CD176" s="932"/>
      <c r="CE176" s="932"/>
      <c r="CF176" s="932"/>
    </row>
    <row r="177" spans="1:84" x14ac:dyDescent="0.25">
      <c r="A177" s="876">
        <v>35305</v>
      </c>
      <c r="B177" s="873" t="s">
        <v>1390</v>
      </c>
      <c r="C177" s="921">
        <v>204248491</v>
      </c>
      <c r="D177" s="924">
        <v>1.2570599999999999E-3</v>
      </c>
      <c r="E177" s="925"/>
      <c r="F177" s="926"/>
      <c r="G177" s="926"/>
      <c r="H177" s="926"/>
      <c r="I177" s="926"/>
      <c r="J177" s="926"/>
      <c r="K177" s="926"/>
      <c r="L177" s="926"/>
      <c r="M177" s="926"/>
      <c r="N177" s="926"/>
      <c r="O177" s="926"/>
      <c r="P177" s="926"/>
      <c r="Q177" s="926"/>
      <c r="R177" s="926"/>
      <c r="S177" s="926"/>
      <c r="T177" s="926"/>
      <c r="U177" s="926"/>
      <c r="V177" s="926"/>
      <c r="W177" s="926"/>
      <c r="X177" s="926"/>
      <c r="Y177" s="926"/>
      <c r="Z177" s="926"/>
      <c r="AA177" s="926"/>
      <c r="AB177" s="926"/>
      <c r="AC177" s="926"/>
      <c r="AD177" s="926"/>
      <c r="AE177" s="926"/>
      <c r="AF177" s="926"/>
      <c r="AG177" s="926"/>
      <c r="AH177" s="926"/>
      <c r="AI177" s="926"/>
      <c r="AJ177" s="926"/>
      <c r="AK177" s="926"/>
      <c r="AL177" s="926"/>
      <c r="AM177" s="926"/>
      <c r="AN177" s="926"/>
      <c r="AO177" s="926"/>
      <c r="AP177" s="926"/>
      <c r="AQ177" s="926"/>
      <c r="AR177" s="926"/>
      <c r="AS177" s="926"/>
      <c r="AT177" s="926"/>
      <c r="AU177" s="927"/>
      <c r="AV177" s="927"/>
      <c r="AW177" s="927"/>
      <c r="AX177" s="927"/>
      <c r="AY177" s="927"/>
      <c r="AZ177" s="927"/>
      <c r="BA177" s="927"/>
      <c r="BB177" s="927"/>
      <c r="BC177" s="928"/>
      <c r="BD177" s="929"/>
      <c r="BE177" s="930"/>
      <c r="BF177" s="930"/>
      <c r="BG177" s="931"/>
      <c r="BH177" s="931"/>
      <c r="BI177" s="926"/>
      <c r="BJ177" s="926"/>
      <c r="BK177" s="926"/>
      <c r="BL177" s="926"/>
      <c r="BM177" s="926"/>
      <c r="BN177" s="926"/>
      <c r="BO177" s="926"/>
      <c r="BP177" s="926"/>
      <c r="BQ177" s="926"/>
      <c r="BR177" s="926"/>
      <c r="BS177" s="926"/>
      <c r="BT177" s="926"/>
      <c r="BU177" s="926"/>
      <c r="BV177" s="926"/>
      <c r="BW177" s="926"/>
      <c r="BX177" s="926"/>
      <c r="BY177" s="932"/>
      <c r="BZ177" s="932"/>
      <c r="CA177" s="932"/>
      <c r="CB177" s="932"/>
      <c r="CC177" s="932"/>
      <c r="CD177" s="932"/>
      <c r="CE177" s="932"/>
      <c r="CF177" s="932"/>
    </row>
    <row r="178" spans="1:84" x14ac:dyDescent="0.25">
      <c r="A178" s="876">
        <v>35400</v>
      </c>
      <c r="B178" s="873" t="s">
        <v>1391</v>
      </c>
      <c r="C178" s="921">
        <v>428689727</v>
      </c>
      <c r="D178" s="924">
        <v>2.6383969999999998E-3</v>
      </c>
      <c r="E178" s="925"/>
      <c r="F178" s="926"/>
      <c r="G178" s="926"/>
      <c r="H178" s="926"/>
      <c r="I178" s="926"/>
      <c r="J178" s="926"/>
      <c r="K178" s="926"/>
      <c r="L178" s="926"/>
      <c r="M178" s="926"/>
      <c r="N178" s="926"/>
      <c r="O178" s="926"/>
      <c r="P178" s="926"/>
      <c r="Q178" s="926"/>
      <c r="R178" s="926"/>
      <c r="S178" s="926"/>
      <c r="T178" s="926"/>
      <c r="U178" s="926"/>
      <c r="V178" s="926"/>
      <c r="W178" s="926"/>
      <c r="X178" s="926"/>
      <c r="Y178" s="926"/>
      <c r="Z178" s="926"/>
      <c r="AA178" s="926"/>
      <c r="AB178" s="926"/>
      <c r="AC178" s="926"/>
      <c r="AD178" s="926"/>
      <c r="AE178" s="926"/>
      <c r="AF178" s="926"/>
      <c r="AG178" s="926"/>
      <c r="AH178" s="926"/>
      <c r="AI178" s="926"/>
      <c r="AJ178" s="926"/>
      <c r="AK178" s="926"/>
      <c r="AL178" s="926"/>
      <c r="AM178" s="926"/>
      <c r="AN178" s="926"/>
      <c r="AO178" s="926"/>
      <c r="AP178" s="926"/>
      <c r="AQ178" s="926"/>
      <c r="AR178" s="926"/>
      <c r="AS178" s="926"/>
      <c r="AT178" s="926"/>
      <c r="AU178" s="927"/>
      <c r="AV178" s="927"/>
      <c r="AW178" s="927"/>
      <c r="AX178" s="927"/>
      <c r="AY178" s="927"/>
      <c r="AZ178" s="927"/>
      <c r="BA178" s="927"/>
      <c r="BB178" s="927"/>
      <c r="BC178" s="928"/>
      <c r="BD178" s="929"/>
      <c r="BE178" s="930"/>
      <c r="BF178" s="930"/>
      <c r="BG178" s="931"/>
      <c r="BH178" s="931"/>
      <c r="BI178" s="926"/>
      <c r="BJ178" s="926"/>
      <c r="BK178" s="926"/>
      <c r="BL178" s="926"/>
      <c r="BM178" s="926"/>
      <c r="BN178" s="926"/>
      <c r="BO178" s="926"/>
      <c r="BP178" s="926"/>
      <c r="BQ178" s="926"/>
      <c r="BR178" s="926"/>
      <c r="BS178" s="926"/>
      <c r="BT178" s="926"/>
      <c r="BU178" s="926"/>
      <c r="BV178" s="926"/>
      <c r="BW178" s="926"/>
      <c r="BX178" s="926"/>
      <c r="BY178" s="932"/>
      <c r="BZ178" s="932"/>
      <c r="CA178" s="932"/>
      <c r="CB178" s="932"/>
      <c r="CC178" s="932"/>
      <c r="CD178" s="932"/>
      <c r="CE178" s="932"/>
      <c r="CF178" s="932"/>
    </row>
    <row r="179" spans="1:84" x14ac:dyDescent="0.25">
      <c r="A179" s="876">
        <v>35401</v>
      </c>
      <c r="B179" s="873" t="s">
        <v>1392</v>
      </c>
      <c r="C179" s="921">
        <v>4558918</v>
      </c>
      <c r="D179" s="924">
        <v>2.8058000000000001E-5</v>
      </c>
      <c r="E179" s="925"/>
      <c r="F179" s="926"/>
      <c r="G179" s="926"/>
      <c r="H179" s="926"/>
      <c r="I179" s="926"/>
      <c r="J179" s="926"/>
      <c r="K179" s="926"/>
      <c r="L179" s="926"/>
      <c r="M179" s="926"/>
      <c r="N179" s="926"/>
      <c r="O179" s="926"/>
      <c r="P179" s="926"/>
      <c r="Q179" s="926"/>
      <c r="R179" s="926"/>
      <c r="S179" s="926"/>
      <c r="T179" s="926"/>
      <c r="U179" s="926"/>
      <c r="V179" s="926"/>
      <c r="W179" s="926"/>
      <c r="X179" s="926"/>
      <c r="Y179" s="926"/>
      <c r="Z179" s="926"/>
      <c r="AA179" s="926"/>
      <c r="AB179" s="926"/>
      <c r="AC179" s="926"/>
      <c r="AD179" s="926"/>
      <c r="AE179" s="926"/>
      <c r="AF179" s="926"/>
      <c r="AG179" s="926"/>
      <c r="AH179" s="926"/>
      <c r="AI179" s="926"/>
      <c r="AJ179" s="926"/>
      <c r="AK179" s="926"/>
      <c r="AL179" s="926"/>
      <c r="AM179" s="926"/>
      <c r="AN179" s="926"/>
      <c r="AO179" s="926"/>
      <c r="AP179" s="926"/>
      <c r="AQ179" s="926"/>
      <c r="AR179" s="926"/>
      <c r="AS179" s="926"/>
      <c r="AT179" s="926"/>
      <c r="AU179" s="927"/>
      <c r="AV179" s="927"/>
      <c r="AW179" s="927"/>
      <c r="AX179" s="927"/>
      <c r="AY179" s="927"/>
      <c r="AZ179" s="927"/>
      <c r="BA179" s="927"/>
      <c r="BB179" s="927"/>
      <c r="BC179" s="928"/>
      <c r="BD179" s="929"/>
      <c r="BE179" s="930"/>
      <c r="BF179" s="930"/>
      <c r="BG179" s="931"/>
      <c r="BH179" s="931"/>
      <c r="BI179" s="926"/>
      <c r="BJ179" s="926"/>
      <c r="BK179" s="926"/>
      <c r="BL179" s="926"/>
      <c r="BM179" s="926"/>
      <c r="BN179" s="926"/>
      <c r="BO179" s="926"/>
      <c r="BP179" s="926"/>
      <c r="BQ179" s="926"/>
      <c r="BR179" s="926"/>
      <c r="BS179" s="926"/>
      <c r="BT179" s="926"/>
      <c r="BU179" s="926"/>
      <c r="BV179" s="926"/>
      <c r="BW179" s="926"/>
      <c r="BX179" s="926"/>
      <c r="BY179" s="932"/>
      <c r="BZ179" s="932"/>
      <c r="CA179" s="932"/>
      <c r="CB179" s="932"/>
      <c r="CC179" s="932"/>
      <c r="CD179" s="932"/>
      <c r="CE179" s="932"/>
      <c r="CF179" s="932"/>
    </row>
    <row r="180" spans="1:84" x14ac:dyDescent="0.25">
      <c r="A180" s="876">
        <v>35405</v>
      </c>
      <c r="B180" s="873" t="s">
        <v>1393</v>
      </c>
      <c r="C180" s="921">
        <v>141600669</v>
      </c>
      <c r="D180" s="924">
        <v>8.7149000000000005E-4</v>
      </c>
      <c r="E180" s="925"/>
      <c r="F180" s="926"/>
      <c r="G180" s="926"/>
      <c r="H180" s="926"/>
      <c r="I180" s="926"/>
      <c r="J180" s="926"/>
      <c r="K180" s="926"/>
      <c r="L180" s="926"/>
      <c r="M180" s="926"/>
      <c r="N180" s="926"/>
      <c r="O180" s="926"/>
      <c r="P180" s="926"/>
      <c r="Q180" s="926"/>
      <c r="R180" s="926"/>
      <c r="S180" s="926"/>
      <c r="T180" s="926"/>
      <c r="U180" s="926"/>
      <c r="V180" s="926"/>
      <c r="W180" s="926"/>
      <c r="X180" s="926"/>
      <c r="Y180" s="926"/>
      <c r="Z180" s="926"/>
      <c r="AA180" s="926"/>
      <c r="AB180" s="926"/>
      <c r="AC180" s="926"/>
      <c r="AD180" s="926"/>
      <c r="AE180" s="926"/>
      <c r="AF180" s="926"/>
      <c r="AG180" s="926"/>
      <c r="AH180" s="926"/>
      <c r="AI180" s="926"/>
      <c r="AJ180" s="926"/>
      <c r="AK180" s="926"/>
      <c r="AL180" s="926"/>
      <c r="AM180" s="926"/>
      <c r="AN180" s="926"/>
      <c r="AO180" s="926"/>
      <c r="AP180" s="926"/>
      <c r="AQ180" s="926"/>
      <c r="AR180" s="926"/>
      <c r="AS180" s="926"/>
      <c r="AT180" s="926"/>
      <c r="AU180" s="927"/>
      <c r="AV180" s="927"/>
      <c r="AW180" s="927"/>
      <c r="AX180" s="927"/>
      <c r="AY180" s="927"/>
      <c r="AZ180" s="927"/>
      <c r="BA180" s="927"/>
      <c r="BB180" s="927"/>
      <c r="BC180" s="928"/>
      <c r="BD180" s="929"/>
      <c r="BE180" s="930"/>
      <c r="BF180" s="930"/>
      <c r="BG180" s="931"/>
      <c r="BH180" s="931"/>
      <c r="BI180" s="926"/>
      <c r="BJ180" s="926"/>
      <c r="BK180" s="926"/>
      <c r="BL180" s="926"/>
      <c r="BM180" s="926"/>
      <c r="BN180" s="926"/>
      <c r="BO180" s="926"/>
      <c r="BP180" s="926"/>
      <c r="BQ180" s="926"/>
      <c r="BR180" s="926"/>
      <c r="BS180" s="926"/>
      <c r="BT180" s="926"/>
      <c r="BU180" s="926"/>
      <c r="BV180" s="926"/>
      <c r="BW180" s="926"/>
      <c r="BX180" s="926"/>
      <c r="BY180" s="932"/>
      <c r="BZ180" s="932"/>
      <c r="CA180" s="932"/>
      <c r="CB180" s="932"/>
      <c r="CC180" s="932"/>
      <c r="CD180" s="932"/>
      <c r="CE180" s="932"/>
      <c r="CF180" s="932"/>
    </row>
    <row r="181" spans="1:84" x14ac:dyDescent="0.25">
      <c r="A181" s="876">
        <v>35500</v>
      </c>
      <c r="B181" s="873" t="s">
        <v>1394</v>
      </c>
      <c r="C181" s="921">
        <v>595650605</v>
      </c>
      <c r="D181" s="924">
        <v>3.6659679999999999E-3</v>
      </c>
      <c r="E181" s="925"/>
      <c r="F181" s="926"/>
      <c r="G181" s="926"/>
      <c r="H181" s="926"/>
      <c r="I181" s="926"/>
      <c r="J181" s="926"/>
      <c r="K181" s="926"/>
      <c r="L181" s="926"/>
      <c r="M181" s="926"/>
      <c r="N181" s="926"/>
      <c r="O181" s="926"/>
      <c r="P181" s="926"/>
      <c r="Q181" s="926"/>
      <c r="R181" s="926"/>
      <c r="S181" s="926"/>
      <c r="T181" s="926"/>
      <c r="U181" s="926"/>
      <c r="V181" s="926"/>
      <c r="W181" s="926"/>
      <c r="X181" s="926"/>
      <c r="Y181" s="926"/>
      <c r="Z181" s="926"/>
      <c r="AA181" s="926"/>
      <c r="AB181" s="926"/>
      <c r="AC181" s="926"/>
      <c r="AD181" s="926"/>
      <c r="AE181" s="926"/>
      <c r="AF181" s="926"/>
      <c r="AG181" s="926"/>
      <c r="AH181" s="926"/>
      <c r="AI181" s="926"/>
      <c r="AJ181" s="926"/>
      <c r="AK181" s="926"/>
      <c r="AL181" s="926"/>
      <c r="AM181" s="926"/>
      <c r="AN181" s="926"/>
      <c r="AO181" s="926"/>
      <c r="AP181" s="926"/>
      <c r="AQ181" s="926"/>
      <c r="AR181" s="926"/>
      <c r="AS181" s="926"/>
      <c r="AT181" s="926"/>
      <c r="AU181" s="927"/>
      <c r="AV181" s="927"/>
      <c r="AW181" s="927"/>
      <c r="AX181" s="927"/>
      <c r="AY181" s="927"/>
      <c r="AZ181" s="927"/>
      <c r="BA181" s="927"/>
      <c r="BB181" s="927"/>
      <c r="BC181" s="928"/>
      <c r="BD181" s="929"/>
      <c r="BE181" s="930"/>
      <c r="BF181" s="930"/>
      <c r="BG181" s="931"/>
      <c r="BH181" s="931"/>
      <c r="BI181" s="926"/>
      <c r="BJ181" s="926"/>
      <c r="BK181" s="926"/>
      <c r="BL181" s="926"/>
      <c r="BM181" s="926"/>
      <c r="BN181" s="926"/>
      <c r="BO181" s="926"/>
      <c r="BP181" s="926"/>
      <c r="BQ181" s="926"/>
      <c r="BR181" s="926"/>
      <c r="BS181" s="926"/>
      <c r="BT181" s="926"/>
      <c r="BU181" s="926"/>
      <c r="BV181" s="926"/>
      <c r="BW181" s="926"/>
      <c r="BX181" s="926"/>
      <c r="BY181" s="932"/>
      <c r="BZ181" s="932"/>
      <c r="CA181" s="932"/>
      <c r="CB181" s="932"/>
      <c r="CC181" s="932"/>
      <c r="CD181" s="932"/>
      <c r="CE181" s="932"/>
      <c r="CF181" s="932"/>
    </row>
    <row r="182" spans="1:84" x14ac:dyDescent="0.25">
      <c r="A182" s="876">
        <v>35600</v>
      </c>
      <c r="B182" s="873" t="s">
        <v>1395</v>
      </c>
      <c r="C182" s="921">
        <v>251120704</v>
      </c>
      <c r="D182" s="924">
        <v>1.5455379999999999E-3</v>
      </c>
      <c r="E182" s="925"/>
      <c r="F182" s="926"/>
      <c r="G182" s="926"/>
      <c r="H182" s="926"/>
      <c r="I182" s="926"/>
      <c r="J182" s="926"/>
      <c r="K182" s="926"/>
      <c r="L182" s="926"/>
      <c r="M182" s="926"/>
      <c r="N182" s="926"/>
      <c r="O182" s="926"/>
      <c r="P182" s="926"/>
      <c r="Q182" s="926"/>
      <c r="R182" s="926"/>
      <c r="S182" s="926"/>
      <c r="T182" s="926"/>
      <c r="U182" s="926"/>
      <c r="V182" s="926"/>
      <c r="W182" s="926"/>
      <c r="X182" s="926"/>
      <c r="Y182" s="926"/>
      <c r="Z182" s="926"/>
      <c r="AA182" s="926"/>
      <c r="AB182" s="926"/>
      <c r="AC182" s="926"/>
      <c r="AD182" s="926"/>
      <c r="AE182" s="926"/>
      <c r="AF182" s="926"/>
      <c r="AG182" s="926"/>
      <c r="AH182" s="926"/>
      <c r="AI182" s="926"/>
      <c r="AJ182" s="926"/>
      <c r="AK182" s="926"/>
      <c r="AL182" s="926"/>
      <c r="AM182" s="926"/>
      <c r="AN182" s="926"/>
      <c r="AO182" s="926"/>
      <c r="AP182" s="926"/>
      <c r="AQ182" s="926"/>
      <c r="AR182" s="926"/>
      <c r="AS182" s="926"/>
      <c r="AT182" s="926"/>
      <c r="AU182" s="927"/>
      <c r="AV182" s="927"/>
      <c r="AW182" s="927"/>
      <c r="AX182" s="927"/>
      <c r="AY182" s="927"/>
      <c r="AZ182" s="927"/>
      <c r="BA182" s="927"/>
      <c r="BB182" s="927"/>
      <c r="BC182" s="928"/>
      <c r="BD182" s="929"/>
      <c r="BE182" s="930"/>
      <c r="BF182" s="930"/>
      <c r="BG182" s="931"/>
      <c r="BH182" s="931"/>
      <c r="BI182" s="926"/>
      <c r="BJ182" s="926"/>
      <c r="BK182" s="926"/>
      <c r="BL182" s="926"/>
      <c r="BM182" s="926"/>
      <c r="BN182" s="926"/>
      <c r="BO182" s="926"/>
      <c r="BP182" s="926"/>
      <c r="BQ182" s="926"/>
      <c r="BR182" s="926"/>
      <c r="BS182" s="926"/>
      <c r="BT182" s="926"/>
      <c r="BU182" s="926"/>
      <c r="BV182" s="926"/>
      <c r="BW182" s="926"/>
      <c r="BX182" s="926"/>
      <c r="BY182" s="932"/>
      <c r="BZ182" s="932"/>
      <c r="CA182" s="932"/>
      <c r="CB182" s="932"/>
      <c r="CC182" s="932"/>
      <c r="CD182" s="932"/>
      <c r="CE182" s="932"/>
      <c r="CF182" s="932"/>
    </row>
    <row r="183" spans="1:84" x14ac:dyDescent="0.25">
      <c r="A183" s="876">
        <v>35700</v>
      </c>
      <c r="B183" s="873" t="s">
        <v>1396</v>
      </c>
      <c r="C183" s="921">
        <v>134145758</v>
      </c>
      <c r="D183" s="924">
        <v>8.2560800000000003E-4</v>
      </c>
      <c r="E183" s="925"/>
      <c r="F183" s="926"/>
      <c r="G183" s="926"/>
      <c r="H183" s="926"/>
      <c r="I183" s="926"/>
      <c r="J183" s="926"/>
      <c r="K183" s="926"/>
      <c r="L183" s="926"/>
      <c r="M183" s="926"/>
      <c r="N183" s="926"/>
      <c r="O183" s="926"/>
      <c r="P183" s="926"/>
      <c r="Q183" s="926"/>
      <c r="R183" s="926"/>
      <c r="S183" s="926"/>
      <c r="T183" s="926"/>
      <c r="U183" s="926"/>
      <c r="V183" s="926"/>
      <c r="W183" s="926"/>
      <c r="X183" s="926"/>
      <c r="Y183" s="926"/>
      <c r="Z183" s="926"/>
      <c r="AA183" s="926"/>
      <c r="AB183" s="926"/>
      <c r="AC183" s="926"/>
      <c r="AD183" s="926"/>
      <c r="AE183" s="926"/>
      <c r="AF183" s="926"/>
      <c r="AG183" s="926"/>
      <c r="AH183" s="926"/>
      <c r="AI183" s="926"/>
      <c r="AJ183" s="926"/>
      <c r="AK183" s="926"/>
      <c r="AL183" s="926"/>
      <c r="AM183" s="926"/>
      <c r="AN183" s="926"/>
      <c r="AO183" s="926"/>
      <c r="AP183" s="926"/>
      <c r="AQ183" s="926"/>
      <c r="AR183" s="926"/>
      <c r="AS183" s="926"/>
      <c r="AT183" s="926"/>
      <c r="AU183" s="927"/>
      <c r="AV183" s="927"/>
      <c r="AW183" s="927"/>
      <c r="AX183" s="927"/>
      <c r="AY183" s="927"/>
      <c r="AZ183" s="927"/>
      <c r="BA183" s="927"/>
      <c r="BB183" s="927"/>
      <c r="BC183" s="928"/>
      <c r="BD183" s="929"/>
      <c r="BE183" s="930"/>
      <c r="BF183" s="930"/>
      <c r="BG183" s="931"/>
      <c r="BH183" s="931"/>
      <c r="BI183" s="926"/>
      <c r="BJ183" s="926"/>
      <c r="BK183" s="926"/>
      <c r="BL183" s="926"/>
      <c r="BM183" s="926"/>
      <c r="BN183" s="926"/>
      <c r="BO183" s="926"/>
      <c r="BP183" s="926"/>
      <c r="BQ183" s="926"/>
      <c r="BR183" s="926"/>
      <c r="BS183" s="926"/>
      <c r="BT183" s="926"/>
      <c r="BU183" s="926"/>
      <c r="BV183" s="926"/>
      <c r="BW183" s="926"/>
      <c r="BX183" s="926"/>
      <c r="BY183" s="932"/>
      <c r="BZ183" s="932"/>
      <c r="CA183" s="932"/>
      <c r="CB183" s="932"/>
      <c r="CC183" s="932"/>
      <c r="CD183" s="932"/>
      <c r="CE183" s="932"/>
      <c r="CF183" s="932"/>
    </row>
    <row r="184" spans="1:84" x14ac:dyDescent="0.25">
      <c r="A184" s="876">
        <v>35800</v>
      </c>
      <c r="B184" s="873" t="s">
        <v>1397</v>
      </c>
      <c r="C184" s="921">
        <v>181214614</v>
      </c>
      <c r="D184" s="924">
        <v>1.115296E-3</v>
      </c>
      <c r="E184" s="925"/>
      <c r="F184" s="926"/>
      <c r="G184" s="926"/>
      <c r="H184" s="926"/>
      <c r="I184" s="926"/>
      <c r="J184" s="926"/>
      <c r="K184" s="926"/>
      <c r="L184" s="926"/>
      <c r="M184" s="926"/>
      <c r="N184" s="926"/>
      <c r="O184" s="926"/>
      <c r="P184" s="926"/>
      <c r="Q184" s="926"/>
      <c r="R184" s="926"/>
      <c r="S184" s="926"/>
      <c r="T184" s="926"/>
      <c r="U184" s="926"/>
      <c r="V184" s="926"/>
      <c r="W184" s="926"/>
      <c r="X184" s="926"/>
      <c r="Y184" s="926"/>
      <c r="Z184" s="926"/>
      <c r="AA184" s="926"/>
      <c r="AB184" s="926"/>
      <c r="AC184" s="926"/>
      <c r="AD184" s="926"/>
      <c r="AE184" s="926"/>
      <c r="AF184" s="926"/>
      <c r="AG184" s="926"/>
      <c r="AH184" s="926"/>
      <c r="AI184" s="926"/>
      <c r="AJ184" s="926"/>
      <c r="AK184" s="926"/>
      <c r="AL184" s="926"/>
      <c r="AM184" s="926"/>
      <c r="AN184" s="926"/>
      <c r="AO184" s="926"/>
      <c r="AP184" s="926"/>
      <c r="AQ184" s="926"/>
      <c r="AR184" s="926"/>
      <c r="AS184" s="926"/>
      <c r="AT184" s="926"/>
      <c r="AU184" s="927"/>
      <c r="AV184" s="927"/>
      <c r="AW184" s="927"/>
      <c r="AX184" s="927"/>
      <c r="AY184" s="927"/>
      <c r="AZ184" s="927"/>
      <c r="BA184" s="927"/>
      <c r="BB184" s="927"/>
      <c r="BC184" s="928"/>
      <c r="BD184" s="929"/>
      <c r="BE184" s="930"/>
      <c r="BF184" s="930"/>
      <c r="BG184" s="931"/>
      <c r="BH184" s="931"/>
      <c r="BI184" s="926"/>
      <c r="BJ184" s="926"/>
      <c r="BK184" s="926"/>
      <c r="BL184" s="926"/>
      <c r="BM184" s="926"/>
      <c r="BN184" s="926"/>
      <c r="BO184" s="926"/>
      <c r="BP184" s="926"/>
      <c r="BQ184" s="926"/>
      <c r="BR184" s="926"/>
      <c r="BS184" s="926"/>
      <c r="BT184" s="926"/>
      <c r="BU184" s="926"/>
      <c r="BV184" s="926"/>
      <c r="BW184" s="926"/>
      <c r="BX184" s="926"/>
      <c r="BY184" s="932"/>
      <c r="BZ184" s="932"/>
      <c r="CA184" s="932"/>
      <c r="CB184" s="932"/>
      <c r="CC184" s="932"/>
      <c r="CD184" s="932"/>
      <c r="CE184" s="932"/>
      <c r="CF184" s="932"/>
    </row>
    <row r="185" spans="1:84" x14ac:dyDescent="0.25">
      <c r="A185" s="876">
        <v>35805</v>
      </c>
      <c r="B185" s="873" t="s">
        <v>1398</v>
      </c>
      <c r="C185" s="921">
        <v>34402184</v>
      </c>
      <c r="D185" s="924">
        <v>2.1173000000000001E-4</v>
      </c>
      <c r="E185" s="925"/>
      <c r="F185" s="926"/>
      <c r="G185" s="926"/>
      <c r="H185" s="926"/>
      <c r="I185" s="926"/>
      <c r="J185" s="926"/>
      <c r="K185" s="926"/>
      <c r="L185" s="926"/>
      <c r="M185" s="926"/>
      <c r="N185" s="926"/>
      <c r="O185" s="926"/>
      <c r="P185" s="926"/>
      <c r="Q185" s="926"/>
      <c r="R185" s="926"/>
      <c r="S185" s="926"/>
      <c r="T185" s="926"/>
      <c r="U185" s="926"/>
      <c r="V185" s="926"/>
      <c r="W185" s="926"/>
      <c r="X185" s="926"/>
      <c r="Y185" s="926"/>
      <c r="Z185" s="926"/>
      <c r="AA185" s="926"/>
      <c r="AB185" s="926"/>
      <c r="AC185" s="926"/>
      <c r="AD185" s="926"/>
      <c r="AE185" s="926"/>
      <c r="AF185" s="926"/>
      <c r="AG185" s="926"/>
      <c r="AH185" s="926"/>
      <c r="AI185" s="926"/>
      <c r="AJ185" s="926"/>
      <c r="AK185" s="926"/>
      <c r="AL185" s="926"/>
      <c r="AM185" s="926"/>
      <c r="AN185" s="926"/>
      <c r="AO185" s="926"/>
      <c r="AP185" s="926"/>
      <c r="AQ185" s="926"/>
      <c r="AR185" s="926"/>
      <c r="AS185" s="926"/>
      <c r="AT185" s="926"/>
      <c r="AU185" s="927"/>
      <c r="AV185" s="927"/>
      <c r="AW185" s="927"/>
      <c r="AX185" s="927"/>
      <c r="AY185" s="927"/>
      <c r="AZ185" s="927"/>
      <c r="BA185" s="927"/>
      <c r="BB185" s="927"/>
      <c r="BC185" s="928"/>
      <c r="BD185" s="929"/>
      <c r="BE185" s="930"/>
      <c r="BF185" s="930"/>
      <c r="BG185" s="931"/>
      <c r="BH185" s="931"/>
      <c r="BI185" s="926"/>
      <c r="BJ185" s="926"/>
      <c r="BK185" s="926"/>
      <c r="BL185" s="926"/>
      <c r="BM185" s="926"/>
      <c r="BN185" s="926"/>
      <c r="BO185" s="926"/>
      <c r="BP185" s="926"/>
      <c r="BQ185" s="926"/>
      <c r="BR185" s="926"/>
      <c r="BS185" s="926"/>
      <c r="BT185" s="926"/>
      <c r="BU185" s="926"/>
      <c r="BV185" s="926"/>
      <c r="BW185" s="926"/>
      <c r="BX185" s="926"/>
      <c r="BY185" s="932"/>
      <c r="BZ185" s="932"/>
      <c r="CA185" s="932"/>
      <c r="CB185" s="932"/>
      <c r="CC185" s="932"/>
      <c r="CD185" s="932"/>
      <c r="CE185" s="932"/>
      <c r="CF185" s="932"/>
    </row>
    <row r="186" spans="1:84" x14ac:dyDescent="0.25">
      <c r="A186" s="876">
        <v>35900</v>
      </c>
      <c r="B186" s="873" t="s">
        <v>1399</v>
      </c>
      <c r="C186" s="921">
        <v>355941334</v>
      </c>
      <c r="D186" s="924">
        <v>2.1906619999999999E-3</v>
      </c>
      <c r="E186" s="925"/>
      <c r="F186" s="926"/>
      <c r="G186" s="926"/>
      <c r="H186" s="926"/>
      <c r="I186" s="926"/>
      <c r="J186" s="926"/>
      <c r="K186" s="926"/>
      <c r="L186" s="926"/>
      <c r="M186" s="926"/>
      <c r="N186" s="926"/>
      <c r="O186" s="926"/>
      <c r="P186" s="926"/>
      <c r="Q186" s="926"/>
      <c r="R186" s="926"/>
      <c r="S186" s="926"/>
      <c r="T186" s="926"/>
      <c r="U186" s="926"/>
      <c r="V186" s="926"/>
      <c r="W186" s="926"/>
      <c r="X186" s="926"/>
      <c r="Y186" s="926"/>
      <c r="Z186" s="926"/>
      <c r="AA186" s="926"/>
      <c r="AB186" s="926"/>
      <c r="AC186" s="926"/>
      <c r="AD186" s="926"/>
      <c r="AE186" s="926"/>
      <c r="AF186" s="926"/>
      <c r="AG186" s="926"/>
      <c r="AH186" s="926"/>
      <c r="AI186" s="926"/>
      <c r="AJ186" s="926"/>
      <c r="AK186" s="926"/>
      <c r="AL186" s="926"/>
      <c r="AM186" s="926"/>
      <c r="AN186" s="926"/>
      <c r="AO186" s="926"/>
      <c r="AP186" s="926"/>
      <c r="AQ186" s="926"/>
      <c r="AR186" s="926"/>
      <c r="AS186" s="926"/>
      <c r="AT186" s="926"/>
      <c r="AU186" s="927"/>
      <c r="AV186" s="927"/>
      <c r="AW186" s="927"/>
      <c r="AX186" s="927"/>
      <c r="AY186" s="927"/>
      <c r="AZ186" s="927"/>
      <c r="BA186" s="927"/>
      <c r="BB186" s="927"/>
      <c r="BC186" s="928"/>
      <c r="BD186" s="929"/>
      <c r="BE186" s="930"/>
      <c r="BF186" s="930"/>
      <c r="BG186" s="931"/>
      <c r="BH186" s="931"/>
      <c r="BI186" s="926"/>
      <c r="BJ186" s="926"/>
      <c r="BK186" s="926"/>
      <c r="BL186" s="926"/>
      <c r="BM186" s="926"/>
      <c r="BN186" s="926"/>
      <c r="BO186" s="926"/>
      <c r="BP186" s="926"/>
      <c r="BQ186" s="926"/>
      <c r="BR186" s="926"/>
      <c r="BS186" s="926"/>
      <c r="BT186" s="926"/>
      <c r="BU186" s="926"/>
      <c r="BV186" s="926"/>
      <c r="BW186" s="926"/>
      <c r="BX186" s="926"/>
      <c r="BY186" s="932"/>
      <c r="BZ186" s="932"/>
      <c r="CA186" s="932"/>
      <c r="CB186" s="932"/>
      <c r="CC186" s="932"/>
      <c r="CD186" s="932"/>
      <c r="CE186" s="932"/>
      <c r="CF186" s="932"/>
    </row>
    <row r="187" spans="1:84" x14ac:dyDescent="0.25">
      <c r="A187" s="876">
        <v>35905</v>
      </c>
      <c r="B187" s="873" t="s">
        <v>1400</v>
      </c>
      <c r="C187" s="921">
        <v>43630075</v>
      </c>
      <c r="D187" s="924">
        <v>2.6852400000000002E-4</v>
      </c>
      <c r="E187" s="925"/>
      <c r="F187" s="926"/>
      <c r="G187" s="926"/>
      <c r="H187" s="926"/>
      <c r="I187" s="926"/>
      <c r="J187" s="926"/>
      <c r="K187" s="926"/>
      <c r="L187" s="926"/>
      <c r="M187" s="926"/>
      <c r="N187" s="926"/>
      <c r="O187" s="926"/>
      <c r="P187" s="926"/>
      <c r="Q187" s="926"/>
      <c r="R187" s="926"/>
      <c r="S187" s="926"/>
      <c r="T187" s="926"/>
      <c r="U187" s="926"/>
      <c r="V187" s="926"/>
      <c r="W187" s="926"/>
      <c r="X187" s="926"/>
      <c r="Y187" s="926"/>
      <c r="Z187" s="926"/>
      <c r="AA187" s="926"/>
      <c r="AB187" s="926"/>
      <c r="AC187" s="926"/>
      <c r="AD187" s="926"/>
      <c r="AE187" s="926"/>
      <c r="AF187" s="926"/>
      <c r="AG187" s="926"/>
      <c r="AH187" s="926"/>
      <c r="AI187" s="926"/>
      <c r="AJ187" s="926"/>
      <c r="AK187" s="926"/>
      <c r="AL187" s="926"/>
      <c r="AM187" s="926"/>
      <c r="AN187" s="926"/>
      <c r="AO187" s="926"/>
      <c r="AP187" s="926"/>
      <c r="AQ187" s="926"/>
      <c r="AR187" s="926"/>
      <c r="AS187" s="926"/>
      <c r="AT187" s="926"/>
      <c r="AU187" s="927"/>
      <c r="AV187" s="927"/>
      <c r="AW187" s="927"/>
      <c r="AX187" s="927"/>
      <c r="AY187" s="927"/>
      <c r="AZ187" s="927"/>
      <c r="BA187" s="927"/>
      <c r="BB187" s="927"/>
      <c r="BC187" s="928"/>
      <c r="BD187" s="929"/>
      <c r="BE187" s="930"/>
      <c r="BF187" s="930"/>
      <c r="BG187" s="931"/>
      <c r="BH187" s="931"/>
      <c r="BI187" s="926"/>
      <c r="BJ187" s="926"/>
      <c r="BK187" s="926"/>
      <c r="BL187" s="926"/>
      <c r="BM187" s="926"/>
      <c r="BN187" s="926"/>
      <c r="BO187" s="926"/>
      <c r="BP187" s="926"/>
      <c r="BQ187" s="926"/>
      <c r="BR187" s="926"/>
      <c r="BS187" s="926"/>
      <c r="BT187" s="926"/>
      <c r="BU187" s="926"/>
      <c r="BV187" s="926"/>
      <c r="BW187" s="926"/>
      <c r="BX187" s="926"/>
      <c r="BY187" s="932"/>
      <c r="BZ187" s="932"/>
      <c r="CA187" s="932"/>
      <c r="CB187" s="932"/>
      <c r="CC187" s="932"/>
      <c r="CD187" s="932"/>
      <c r="CE187" s="932"/>
      <c r="CF187" s="932"/>
    </row>
    <row r="188" spans="1:84" x14ac:dyDescent="0.25">
      <c r="A188" s="876">
        <v>36000</v>
      </c>
      <c r="B188" s="873" t="s">
        <v>1401</v>
      </c>
      <c r="C188" s="921">
        <v>8834882477</v>
      </c>
      <c r="D188" s="924">
        <v>5.4374816999999999E-2</v>
      </c>
      <c r="E188" s="925"/>
      <c r="F188" s="926"/>
      <c r="G188" s="926"/>
      <c r="H188" s="926"/>
      <c r="I188" s="926"/>
      <c r="J188" s="926"/>
      <c r="K188" s="926"/>
      <c r="L188" s="926"/>
      <c r="M188" s="926"/>
      <c r="N188" s="926"/>
      <c r="O188" s="926"/>
      <c r="P188" s="926"/>
      <c r="Q188" s="926"/>
      <c r="R188" s="926"/>
      <c r="S188" s="926"/>
      <c r="T188" s="926"/>
      <c r="U188" s="926"/>
      <c r="V188" s="926"/>
      <c r="W188" s="926"/>
      <c r="X188" s="926"/>
      <c r="Y188" s="926"/>
      <c r="Z188" s="926"/>
      <c r="AA188" s="926"/>
      <c r="AB188" s="926"/>
      <c r="AC188" s="926"/>
      <c r="AD188" s="926"/>
      <c r="AE188" s="926"/>
      <c r="AF188" s="926"/>
      <c r="AG188" s="926"/>
      <c r="AH188" s="926"/>
      <c r="AI188" s="926"/>
      <c r="AJ188" s="926"/>
      <c r="AK188" s="926"/>
      <c r="AL188" s="926"/>
      <c r="AM188" s="926"/>
      <c r="AN188" s="926"/>
      <c r="AO188" s="926"/>
      <c r="AP188" s="926"/>
      <c r="AQ188" s="926"/>
      <c r="AR188" s="926"/>
      <c r="AS188" s="926"/>
      <c r="AT188" s="926"/>
      <c r="AU188" s="927"/>
      <c r="AV188" s="927"/>
      <c r="AW188" s="927"/>
      <c r="AX188" s="927"/>
      <c r="AY188" s="927"/>
      <c r="AZ188" s="927"/>
      <c r="BA188" s="927"/>
      <c r="BB188" s="927"/>
      <c r="BC188" s="928"/>
      <c r="BD188" s="929"/>
      <c r="BE188" s="930"/>
      <c r="BF188" s="930"/>
      <c r="BG188" s="931"/>
      <c r="BH188" s="931"/>
      <c r="BI188" s="926"/>
      <c r="BJ188" s="926"/>
      <c r="BK188" s="926"/>
      <c r="BL188" s="926"/>
      <c r="BM188" s="926"/>
      <c r="BN188" s="926"/>
      <c r="BO188" s="926"/>
      <c r="BP188" s="926"/>
      <c r="BQ188" s="926"/>
      <c r="BR188" s="926"/>
      <c r="BS188" s="926"/>
      <c r="BT188" s="926"/>
      <c r="BU188" s="926"/>
      <c r="BV188" s="926"/>
      <c r="BW188" s="926"/>
      <c r="BX188" s="926"/>
      <c r="BY188" s="932"/>
      <c r="BZ188" s="932"/>
      <c r="CA188" s="932"/>
      <c r="CB188" s="932"/>
      <c r="CC188" s="932"/>
      <c r="CD188" s="932"/>
      <c r="CE188" s="932"/>
      <c r="CF188" s="932"/>
    </row>
    <row r="189" spans="1:84" x14ac:dyDescent="0.25">
      <c r="A189" s="876">
        <v>36001</v>
      </c>
      <c r="B189" s="873" t="s">
        <v>1402</v>
      </c>
      <c r="C189" s="921">
        <v>0</v>
      </c>
      <c r="D189" s="924">
        <v>0</v>
      </c>
      <c r="E189" s="925"/>
      <c r="F189" s="926"/>
      <c r="G189" s="926"/>
      <c r="H189" s="926"/>
      <c r="I189" s="926"/>
      <c r="J189" s="926"/>
      <c r="K189" s="926"/>
      <c r="L189" s="926"/>
      <c r="M189" s="926"/>
      <c r="N189" s="926"/>
      <c r="O189" s="926"/>
      <c r="P189" s="926"/>
      <c r="Q189" s="926"/>
      <c r="R189" s="926"/>
      <c r="S189" s="926"/>
      <c r="T189" s="926"/>
      <c r="U189" s="926"/>
      <c r="V189" s="926"/>
      <c r="W189" s="926"/>
      <c r="X189" s="926"/>
      <c r="Y189" s="926"/>
      <c r="Z189" s="926"/>
      <c r="AA189" s="926"/>
      <c r="AB189" s="926"/>
      <c r="AC189" s="926"/>
      <c r="AD189" s="926"/>
      <c r="AE189" s="926"/>
      <c r="AF189" s="926"/>
      <c r="AG189" s="926"/>
      <c r="AH189" s="926"/>
      <c r="AI189" s="926"/>
      <c r="AJ189" s="926"/>
      <c r="AK189" s="926"/>
      <c r="AL189" s="926"/>
      <c r="AM189" s="926"/>
      <c r="AN189" s="926"/>
      <c r="AO189" s="926"/>
      <c r="AP189" s="926"/>
      <c r="AQ189" s="926"/>
      <c r="AR189" s="926"/>
      <c r="AS189" s="926"/>
      <c r="AT189" s="926"/>
      <c r="AU189" s="927"/>
      <c r="AV189" s="927"/>
      <c r="AW189" s="927"/>
      <c r="AX189" s="927"/>
      <c r="AY189" s="927"/>
      <c r="AZ189" s="927"/>
      <c r="BA189" s="927"/>
      <c r="BB189" s="927"/>
      <c r="BC189" s="928"/>
      <c r="BD189" s="929"/>
      <c r="BE189" s="930"/>
      <c r="BF189" s="930"/>
      <c r="BG189" s="931"/>
      <c r="BH189" s="931"/>
      <c r="BI189" s="926"/>
      <c r="BJ189" s="926"/>
      <c r="BK189" s="926"/>
      <c r="BL189" s="926"/>
      <c r="BM189" s="926"/>
      <c r="BN189" s="926"/>
      <c r="BO189" s="926"/>
      <c r="BP189" s="926"/>
      <c r="BQ189" s="926"/>
      <c r="BR189" s="926"/>
      <c r="BS189" s="926"/>
      <c r="BT189" s="926"/>
      <c r="BU189" s="926"/>
      <c r="BV189" s="926"/>
      <c r="BW189" s="926"/>
      <c r="BX189" s="926"/>
      <c r="BY189" s="932"/>
      <c r="BZ189" s="932"/>
      <c r="CA189" s="932"/>
      <c r="CB189" s="932"/>
      <c r="CC189" s="932"/>
      <c r="CD189" s="932"/>
      <c r="CE189" s="932"/>
      <c r="CF189" s="932"/>
    </row>
    <row r="190" spans="1:84" x14ac:dyDescent="0.25">
      <c r="A190" s="876">
        <v>36002</v>
      </c>
      <c r="B190" s="873" t="s">
        <v>1403</v>
      </c>
      <c r="C190" s="921">
        <v>0</v>
      </c>
      <c r="D190" s="924">
        <v>0</v>
      </c>
      <c r="E190" s="925"/>
      <c r="F190" s="926"/>
      <c r="G190" s="926"/>
      <c r="H190" s="926"/>
      <c r="I190" s="926"/>
      <c r="J190" s="926"/>
      <c r="K190" s="926"/>
      <c r="L190" s="926"/>
      <c r="M190" s="926"/>
      <c r="N190" s="926"/>
      <c r="O190" s="926"/>
      <c r="P190" s="926"/>
      <c r="Q190" s="926"/>
      <c r="R190" s="926"/>
      <c r="S190" s="926"/>
      <c r="T190" s="926"/>
      <c r="U190" s="926"/>
      <c r="V190" s="926"/>
      <c r="W190" s="926"/>
      <c r="X190" s="926"/>
      <c r="Y190" s="926"/>
      <c r="Z190" s="926"/>
      <c r="AA190" s="926"/>
      <c r="AB190" s="926"/>
      <c r="AC190" s="926"/>
      <c r="AD190" s="926"/>
      <c r="AE190" s="926"/>
      <c r="AF190" s="926"/>
      <c r="AG190" s="926"/>
      <c r="AH190" s="926"/>
      <c r="AI190" s="926"/>
      <c r="AJ190" s="926"/>
      <c r="AK190" s="926"/>
      <c r="AL190" s="926"/>
      <c r="AM190" s="926"/>
      <c r="AN190" s="926"/>
      <c r="AO190" s="926"/>
      <c r="AP190" s="926"/>
      <c r="AQ190" s="926"/>
      <c r="AR190" s="926"/>
      <c r="AS190" s="926"/>
      <c r="AT190" s="926"/>
      <c r="AU190" s="927"/>
      <c r="AV190" s="927"/>
      <c r="AW190" s="927"/>
      <c r="AX190" s="927"/>
      <c r="AY190" s="927"/>
      <c r="AZ190" s="927"/>
      <c r="BA190" s="927"/>
      <c r="BB190" s="927"/>
      <c r="BC190" s="928"/>
      <c r="BD190" s="929"/>
      <c r="BE190" s="930"/>
      <c r="BF190" s="930"/>
      <c r="BG190" s="931"/>
      <c r="BH190" s="931"/>
      <c r="BI190" s="926"/>
      <c r="BJ190" s="926"/>
      <c r="BK190" s="926"/>
      <c r="BL190" s="926"/>
      <c r="BM190" s="926"/>
      <c r="BN190" s="926"/>
      <c r="BO190" s="926"/>
      <c r="BP190" s="926"/>
      <c r="BQ190" s="926"/>
      <c r="BR190" s="926"/>
      <c r="BS190" s="926"/>
      <c r="BT190" s="926"/>
      <c r="BU190" s="926"/>
      <c r="BV190" s="926"/>
      <c r="BW190" s="926"/>
      <c r="BX190" s="926"/>
      <c r="BY190" s="932"/>
      <c r="BZ190" s="932"/>
      <c r="CA190" s="932"/>
      <c r="CB190" s="932"/>
      <c r="CC190" s="932"/>
      <c r="CD190" s="932"/>
      <c r="CE190" s="932"/>
      <c r="CF190" s="932"/>
    </row>
    <row r="191" spans="1:84" x14ac:dyDescent="0.25">
      <c r="A191" s="876">
        <v>36003</v>
      </c>
      <c r="B191" s="873" t="s">
        <v>1404</v>
      </c>
      <c r="C191" s="921">
        <v>60997353</v>
      </c>
      <c r="D191" s="924">
        <v>3.7541199999999999E-4</v>
      </c>
      <c r="E191" s="925"/>
      <c r="F191" s="926"/>
      <c r="G191" s="926"/>
      <c r="H191" s="926"/>
      <c r="I191" s="926"/>
      <c r="J191" s="926"/>
      <c r="K191" s="926"/>
      <c r="L191" s="926"/>
      <c r="M191" s="926"/>
      <c r="N191" s="926"/>
      <c r="O191" s="926"/>
      <c r="P191" s="926"/>
      <c r="Q191" s="926"/>
      <c r="R191" s="926"/>
      <c r="S191" s="926"/>
      <c r="T191" s="926"/>
      <c r="U191" s="926"/>
      <c r="V191" s="926"/>
      <c r="W191" s="926"/>
      <c r="X191" s="926"/>
      <c r="Y191" s="926"/>
      <c r="Z191" s="926"/>
      <c r="AA191" s="926"/>
      <c r="AB191" s="926"/>
      <c r="AC191" s="926"/>
      <c r="AD191" s="926"/>
      <c r="AE191" s="926"/>
      <c r="AF191" s="926"/>
      <c r="AG191" s="926"/>
      <c r="AH191" s="926"/>
      <c r="AI191" s="926"/>
      <c r="AJ191" s="926"/>
      <c r="AK191" s="926"/>
      <c r="AL191" s="926"/>
      <c r="AM191" s="926"/>
      <c r="AN191" s="926"/>
      <c r="AO191" s="926"/>
      <c r="AP191" s="926"/>
      <c r="AQ191" s="926"/>
      <c r="AR191" s="926"/>
      <c r="AS191" s="926"/>
      <c r="AT191" s="926"/>
      <c r="AU191" s="927"/>
      <c r="AV191" s="927"/>
      <c r="AW191" s="927"/>
      <c r="AX191" s="927"/>
      <c r="AY191" s="927"/>
      <c r="AZ191" s="927"/>
      <c r="BA191" s="927"/>
      <c r="BB191" s="927"/>
      <c r="BC191" s="928"/>
      <c r="BD191" s="929"/>
      <c r="BE191" s="930"/>
      <c r="BF191" s="930"/>
      <c r="BG191" s="931"/>
      <c r="BH191" s="931"/>
      <c r="BI191" s="926"/>
      <c r="BJ191" s="926"/>
      <c r="BK191" s="926"/>
      <c r="BL191" s="926"/>
      <c r="BM191" s="926"/>
      <c r="BN191" s="926"/>
      <c r="BO191" s="926"/>
      <c r="BP191" s="926"/>
      <c r="BQ191" s="926"/>
      <c r="BR191" s="926"/>
      <c r="BS191" s="926"/>
      <c r="BT191" s="926"/>
      <c r="BU191" s="926"/>
      <c r="BV191" s="926"/>
      <c r="BW191" s="926"/>
      <c r="BX191" s="926"/>
      <c r="BY191" s="932"/>
      <c r="BZ191" s="932"/>
      <c r="CA191" s="932"/>
      <c r="CB191" s="932"/>
      <c r="CC191" s="932"/>
      <c r="CD191" s="932"/>
      <c r="CE191" s="932"/>
      <c r="CF191" s="932"/>
    </row>
    <row r="192" spans="1:84" x14ac:dyDescent="0.25">
      <c r="A192" s="876">
        <v>36004</v>
      </c>
      <c r="B192" s="873" t="s">
        <v>1405</v>
      </c>
      <c r="C192" s="921">
        <v>36668657</v>
      </c>
      <c r="D192" s="924">
        <v>2.2567900000000001E-4</v>
      </c>
      <c r="E192" s="925"/>
      <c r="F192" s="926"/>
      <c r="G192" s="926"/>
      <c r="H192" s="926"/>
      <c r="I192" s="926"/>
      <c r="J192" s="926"/>
      <c r="K192" s="926"/>
      <c r="L192" s="926"/>
      <c r="M192" s="926"/>
      <c r="N192" s="926"/>
      <c r="O192" s="926"/>
      <c r="P192" s="926"/>
      <c r="Q192" s="926"/>
      <c r="R192" s="926"/>
      <c r="S192" s="926"/>
      <c r="T192" s="926"/>
      <c r="U192" s="926"/>
      <c r="V192" s="926"/>
      <c r="W192" s="926"/>
      <c r="X192" s="926"/>
      <c r="Y192" s="926"/>
      <c r="Z192" s="926"/>
      <c r="AA192" s="926"/>
      <c r="AB192" s="926"/>
      <c r="AC192" s="926"/>
      <c r="AD192" s="926"/>
      <c r="AE192" s="926"/>
      <c r="AF192" s="926"/>
      <c r="AG192" s="926"/>
      <c r="AH192" s="926"/>
      <c r="AI192" s="926"/>
      <c r="AJ192" s="926"/>
      <c r="AK192" s="926"/>
      <c r="AL192" s="926"/>
      <c r="AM192" s="926"/>
      <c r="AN192" s="926"/>
      <c r="AO192" s="926"/>
      <c r="AP192" s="926"/>
      <c r="AQ192" s="926"/>
      <c r="AR192" s="926"/>
      <c r="AS192" s="926"/>
      <c r="AT192" s="926"/>
      <c r="AU192" s="927"/>
      <c r="AV192" s="927"/>
      <c r="AW192" s="927"/>
      <c r="AX192" s="927"/>
      <c r="AY192" s="927"/>
      <c r="AZ192" s="927"/>
      <c r="BA192" s="927"/>
      <c r="BB192" s="927"/>
      <c r="BC192" s="928"/>
      <c r="BD192" s="929"/>
      <c r="BE192" s="930"/>
      <c r="BF192" s="930"/>
      <c r="BG192" s="931"/>
      <c r="BH192" s="931"/>
      <c r="BI192" s="926"/>
      <c r="BJ192" s="926"/>
      <c r="BK192" s="926"/>
      <c r="BL192" s="926"/>
      <c r="BM192" s="926"/>
      <c r="BN192" s="926"/>
      <c r="BO192" s="926"/>
      <c r="BP192" s="926"/>
      <c r="BQ192" s="926"/>
      <c r="BR192" s="926"/>
      <c r="BS192" s="926"/>
      <c r="BT192" s="926"/>
      <c r="BU192" s="926"/>
      <c r="BV192" s="926"/>
      <c r="BW192" s="926"/>
      <c r="BX192" s="926"/>
      <c r="BY192" s="932"/>
      <c r="BZ192" s="932"/>
      <c r="CA192" s="932"/>
      <c r="CB192" s="932"/>
      <c r="CC192" s="932"/>
      <c r="CD192" s="932"/>
      <c r="CE192" s="932"/>
      <c r="CF192" s="932"/>
    </row>
    <row r="193" spans="1:84" x14ac:dyDescent="0.25">
      <c r="A193" s="876">
        <v>36005</v>
      </c>
      <c r="B193" s="873" t="s">
        <v>1406</v>
      </c>
      <c r="C193" s="921">
        <v>703752927</v>
      </c>
      <c r="D193" s="924">
        <v>4.3312899999999998E-3</v>
      </c>
      <c r="E193" s="925"/>
      <c r="F193" s="926"/>
      <c r="G193" s="926"/>
      <c r="H193" s="926"/>
      <c r="I193" s="926"/>
      <c r="J193" s="926"/>
      <c r="K193" s="926"/>
      <c r="L193" s="926"/>
      <c r="M193" s="926"/>
      <c r="N193" s="926"/>
      <c r="O193" s="926"/>
      <c r="P193" s="926"/>
      <c r="Q193" s="926"/>
      <c r="R193" s="926"/>
      <c r="S193" s="926"/>
      <c r="T193" s="926"/>
      <c r="U193" s="926"/>
      <c r="V193" s="926"/>
      <c r="W193" s="926"/>
      <c r="X193" s="926"/>
      <c r="Y193" s="926"/>
      <c r="Z193" s="926"/>
      <c r="AA193" s="926"/>
      <c r="AB193" s="926"/>
      <c r="AC193" s="926"/>
      <c r="AD193" s="926"/>
      <c r="AE193" s="926"/>
      <c r="AF193" s="926"/>
      <c r="AG193" s="926"/>
      <c r="AH193" s="926"/>
      <c r="AI193" s="926"/>
      <c r="AJ193" s="926"/>
      <c r="AK193" s="926"/>
      <c r="AL193" s="926"/>
      <c r="AM193" s="926"/>
      <c r="AN193" s="926"/>
      <c r="AO193" s="926"/>
      <c r="AP193" s="926"/>
      <c r="AQ193" s="926"/>
      <c r="AR193" s="926"/>
      <c r="AS193" s="926"/>
      <c r="AT193" s="926"/>
      <c r="AU193" s="927"/>
      <c r="AV193" s="927"/>
      <c r="AW193" s="927"/>
      <c r="AX193" s="927"/>
      <c r="AY193" s="927"/>
      <c r="AZ193" s="927"/>
      <c r="BA193" s="927"/>
      <c r="BB193" s="927"/>
      <c r="BC193" s="928"/>
      <c r="BD193" s="929"/>
      <c r="BE193" s="930"/>
      <c r="BF193" s="930"/>
      <c r="BG193" s="931"/>
      <c r="BH193" s="931"/>
      <c r="BI193" s="926"/>
      <c r="BJ193" s="926"/>
      <c r="BK193" s="926"/>
      <c r="BL193" s="926"/>
      <c r="BM193" s="926"/>
      <c r="BN193" s="926"/>
      <c r="BO193" s="926"/>
      <c r="BP193" s="926"/>
      <c r="BQ193" s="926"/>
      <c r="BR193" s="926"/>
      <c r="BS193" s="926"/>
      <c r="BT193" s="926"/>
      <c r="BU193" s="926"/>
      <c r="BV193" s="926"/>
      <c r="BW193" s="926"/>
      <c r="BX193" s="926"/>
      <c r="BY193" s="932"/>
      <c r="BZ193" s="932"/>
      <c r="CA193" s="932"/>
      <c r="CB193" s="932"/>
      <c r="CC193" s="932"/>
      <c r="CD193" s="932"/>
      <c r="CE193" s="932"/>
      <c r="CF193" s="932"/>
    </row>
    <row r="194" spans="1:84" x14ac:dyDescent="0.25">
      <c r="A194" s="876">
        <v>36006</v>
      </c>
      <c r="B194" s="873" t="s">
        <v>1407</v>
      </c>
      <c r="C194" s="921">
        <v>94580323</v>
      </c>
      <c r="D194" s="924">
        <v>5.821E-4</v>
      </c>
      <c r="E194" s="925"/>
      <c r="F194" s="926"/>
      <c r="G194" s="926"/>
      <c r="H194" s="926"/>
      <c r="I194" s="926"/>
      <c r="J194" s="926"/>
      <c r="K194" s="926"/>
      <c r="L194" s="926"/>
      <c r="M194" s="926"/>
      <c r="N194" s="926"/>
      <c r="O194" s="926"/>
      <c r="P194" s="926"/>
      <c r="Q194" s="926"/>
      <c r="R194" s="926"/>
      <c r="S194" s="926"/>
      <c r="T194" s="926"/>
      <c r="U194" s="926"/>
      <c r="V194" s="926"/>
      <c r="W194" s="926"/>
      <c r="X194" s="926"/>
      <c r="Y194" s="926"/>
      <c r="Z194" s="926"/>
      <c r="AA194" s="926"/>
      <c r="AB194" s="926"/>
      <c r="AC194" s="926"/>
      <c r="AD194" s="926"/>
      <c r="AE194" s="926"/>
      <c r="AF194" s="926"/>
      <c r="AG194" s="926"/>
      <c r="AH194" s="926"/>
      <c r="AI194" s="926"/>
      <c r="AJ194" s="926"/>
      <c r="AK194" s="926"/>
      <c r="AL194" s="926"/>
      <c r="AM194" s="926"/>
      <c r="AN194" s="926"/>
      <c r="AO194" s="926"/>
      <c r="AP194" s="926"/>
      <c r="AQ194" s="926"/>
      <c r="AR194" s="926"/>
      <c r="AS194" s="926"/>
      <c r="AT194" s="926"/>
      <c r="AU194" s="927"/>
      <c r="AV194" s="927"/>
      <c r="AW194" s="927"/>
      <c r="AX194" s="927"/>
      <c r="AY194" s="927"/>
      <c r="AZ194" s="927"/>
      <c r="BA194" s="927"/>
      <c r="BB194" s="927"/>
      <c r="BC194" s="928"/>
      <c r="BD194" s="929"/>
      <c r="BE194" s="930"/>
      <c r="BF194" s="930"/>
      <c r="BG194" s="931"/>
      <c r="BH194" s="931"/>
      <c r="BI194" s="926"/>
      <c r="BJ194" s="926"/>
      <c r="BK194" s="926"/>
      <c r="BL194" s="926"/>
      <c r="BM194" s="926"/>
      <c r="BN194" s="926"/>
      <c r="BO194" s="926"/>
      <c r="BP194" s="926"/>
      <c r="BQ194" s="926"/>
      <c r="BR194" s="926"/>
      <c r="BS194" s="926"/>
      <c r="BT194" s="926"/>
      <c r="BU194" s="926"/>
      <c r="BV194" s="926"/>
      <c r="BW194" s="926"/>
      <c r="BX194" s="926"/>
      <c r="BY194" s="932"/>
      <c r="BZ194" s="932"/>
      <c r="CA194" s="932"/>
      <c r="CB194" s="932"/>
      <c r="CC194" s="932"/>
      <c r="CD194" s="932"/>
      <c r="CE194" s="932"/>
      <c r="CF194" s="932"/>
    </row>
    <row r="195" spans="1:84" x14ac:dyDescent="0.25">
      <c r="A195" s="876">
        <v>36007</v>
      </c>
      <c r="B195" s="873" t="s">
        <v>1408</v>
      </c>
      <c r="C195" s="921">
        <v>29720334</v>
      </c>
      <c r="D195" s="924">
        <v>1.8291600000000001E-4</v>
      </c>
      <c r="E195" s="925"/>
      <c r="F195" s="926"/>
      <c r="G195" s="926"/>
      <c r="H195" s="926"/>
      <c r="I195" s="926"/>
      <c r="J195" s="926"/>
      <c r="K195" s="926"/>
      <c r="L195" s="926"/>
      <c r="M195" s="926"/>
      <c r="N195" s="926"/>
      <c r="O195" s="926"/>
      <c r="P195" s="926"/>
      <c r="Q195" s="926"/>
      <c r="R195" s="926"/>
      <c r="S195" s="926"/>
      <c r="T195" s="926"/>
      <c r="U195" s="926"/>
      <c r="V195" s="926"/>
      <c r="W195" s="926"/>
      <c r="X195" s="926"/>
      <c r="Y195" s="926"/>
      <c r="Z195" s="926"/>
      <c r="AA195" s="926"/>
      <c r="AB195" s="926"/>
      <c r="AC195" s="926"/>
      <c r="AD195" s="926"/>
      <c r="AE195" s="926"/>
      <c r="AF195" s="926"/>
      <c r="AG195" s="926"/>
      <c r="AH195" s="926"/>
      <c r="AI195" s="926"/>
      <c r="AJ195" s="926"/>
      <c r="AK195" s="926"/>
      <c r="AL195" s="926"/>
      <c r="AM195" s="926"/>
      <c r="AN195" s="926"/>
      <c r="AO195" s="926"/>
      <c r="AP195" s="926"/>
      <c r="AQ195" s="926"/>
      <c r="AR195" s="926"/>
      <c r="AS195" s="926"/>
      <c r="AT195" s="926"/>
      <c r="AU195" s="927"/>
      <c r="AV195" s="927"/>
      <c r="AW195" s="927"/>
      <c r="AX195" s="927"/>
      <c r="AY195" s="927"/>
      <c r="AZ195" s="927"/>
      <c r="BA195" s="927"/>
      <c r="BB195" s="927"/>
      <c r="BC195" s="928"/>
      <c r="BD195" s="929"/>
      <c r="BE195" s="930"/>
      <c r="BF195" s="930"/>
      <c r="BG195" s="931"/>
      <c r="BH195" s="931"/>
      <c r="BI195" s="926"/>
      <c r="BJ195" s="926"/>
      <c r="BK195" s="926"/>
      <c r="BL195" s="926"/>
      <c r="BM195" s="926"/>
      <c r="BN195" s="926"/>
      <c r="BO195" s="926"/>
      <c r="BP195" s="926"/>
      <c r="BQ195" s="926"/>
      <c r="BR195" s="926"/>
      <c r="BS195" s="926"/>
      <c r="BT195" s="926"/>
      <c r="BU195" s="926"/>
      <c r="BV195" s="926"/>
      <c r="BW195" s="926"/>
      <c r="BX195" s="926"/>
      <c r="BY195" s="932"/>
      <c r="BZ195" s="932"/>
      <c r="CA195" s="932"/>
      <c r="CB195" s="932"/>
      <c r="CC195" s="932"/>
      <c r="CD195" s="932"/>
      <c r="CE195" s="932"/>
      <c r="CF195" s="932"/>
    </row>
    <row r="196" spans="1:84" x14ac:dyDescent="0.25">
      <c r="A196" s="876">
        <v>36008</v>
      </c>
      <c r="B196" s="873" t="s">
        <v>1409</v>
      </c>
      <c r="C196" s="921">
        <v>87140409</v>
      </c>
      <c r="D196" s="924">
        <v>5.3631100000000004E-4</v>
      </c>
      <c r="E196" s="925"/>
      <c r="F196" s="926"/>
      <c r="G196" s="926"/>
      <c r="H196" s="926"/>
      <c r="I196" s="926"/>
      <c r="J196" s="926"/>
      <c r="K196" s="926"/>
      <c r="L196" s="926"/>
      <c r="M196" s="926"/>
      <c r="N196" s="926"/>
      <c r="O196" s="926"/>
      <c r="P196" s="926"/>
      <c r="Q196" s="926"/>
      <c r="R196" s="926"/>
      <c r="S196" s="926"/>
      <c r="T196" s="926"/>
      <c r="U196" s="926"/>
      <c r="V196" s="926"/>
      <c r="W196" s="926"/>
      <c r="X196" s="926"/>
      <c r="Y196" s="926"/>
      <c r="Z196" s="926"/>
      <c r="AA196" s="926"/>
      <c r="AB196" s="926"/>
      <c r="AC196" s="926"/>
      <c r="AD196" s="926"/>
      <c r="AE196" s="926"/>
      <c r="AF196" s="926"/>
      <c r="AG196" s="926"/>
      <c r="AH196" s="926"/>
      <c r="AI196" s="926"/>
      <c r="AJ196" s="926"/>
      <c r="AK196" s="926"/>
      <c r="AL196" s="926"/>
      <c r="AM196" s="926"/>
      <c r="AN196" s="926"/>
      <c r="AO196" s="926"/>
      <c r="AP196" s="926"/>
      <c r="AQ196" s="926"/>
      <c r="AR196" s="926"/>
      <c r="AS196" s="926"/>
      <c r="AT196" s="926"/>
      <c r="AU196" s="927"/>
      <c r="AV196" s="927"/>
      <c r="AW196" s="927"/>
      <c r="AX196" s="927"/>
      <c r="AY196" s="927"/>
      <c r="AZ196" s="927"/>
      <c r="BA196" s="927"/>
      <c r="BB196" s="927"/>
      <c r="BC196" s="928"/>
      <c r="BD196" s="929"/>
      <c r="BE196" s="930"/>
      <c r="BF196" s="930"/>
      <c r="BG196" s="931"/>
      <c r="BH196" s="931"/>
      <c r="BI196" s="926"/>
      <c r="BJ196" s="926"/>
      <c r="BK196" s="926"/>
      <c r="BL196" s="926"/>
      <c r="BM196" s="926"/>
      <c r="BN196" s="926"/>
      <c r="BO196" s="926"/>
      <c r="BP196" s="926"/>
      <c r="BQ196" s="926"/>
      <c r="BR196" s="926"/>
      <c r="BS196" s="926"/>
      <c r="BT196" s="926"/>
      <c r="BU196" s="926"/>
      <c r="BV196" s="926"/>
      <c r="BW196" s="926"/>
      <c r="BX196" s="926"/>
      <c r="BY196" s="932"/>
      <c r="BZ196" s="932"/>
      <c r="CA196" s="932"/>
      <c r="CB196" s="932"/>
      <c r="CC196" s="932"/>
      <c r="CD196" s="932"/>
      <c r="CE196" s="932"/>
      <c r="CF196" s="932"/>
    </row>
    <row r="197" spans="1:84" x14ac:dyDescent="0.25">
      <c r="A197" s="876">
        <v>36009</v>
      </c>
      <c r="B197" s="873" t="s">
        <v>1410</v>
      </c>
      <c r="C197" s="921">
        <v>20059917</v>
      </c>
      <c r="D197" s="924">
        <v>1.2345999999999999E-4</v>
      </c>
      <c r="E197" s="925"/>
      <c r="F197" s="926"/>
      <c r="G197" s="926"/>
      <c r="H197" s="926"/>
      <c r="I197" s="926"/>
      <c r="J197" s="926"/>
      <c r="K197" s="926"/>
      <c r="L197" s="926"/>
      <c r="M197" s="926"/>
      <c r="N197" s="926"/>
      <c r="O197" s="926"/>
      <c r="P197" s="926"/>
      <c r="Q197" s="926"/>
      <c r="R197" s="926"/>
      <c r="S197" s="926"/>
      <c r="T197" s="926"/>
      <c r="U197" s="926"/>
      <c r="V197" s="926"/>
      <c r="W197" s="926"/>
      <c r="X197" s="926"/>
      <c r="Y197" s="926"/>
      <c r="Z197" s="926"/>
      <c r="AA197" s="926"/>
      <c r="AB197" s="926"/>
      <c r="AC197" s="926"/>
      <c r="AD197" s="926"/>
      <c r="AE197" s="926"/>
      <c r="AF197" s="926"/>
      <c r="AG197" s="926"/>
      <c r="AH197" s="926"/>
      <c r="AI197" s="926"/>
      <c r="AJ197" s="926"/>
      <c r="AK197" s="926"/>
      <c r="AL197" s="926"/>
      <c r="AM197" s="926"/>
      <c r="AN197" s="926"/>
      <c r="AO197" s="926"/>
      <c r="AP197" s="926"/>
      <c r="AQ197" s="926"/>
      <c r="AR197" s="926"/>
      <c r="AS197" s="926"/>
      <c r="AT197" s="926"/>
      <c r="AU197" s="927"/>
      <c r="AV197" s="927"/>
      <c r="AW197" s="927"/>
      <c r="AX197" s="927"/>
      <c r="AY197" s="927"/>
      <c r="AZ197" s="927"/>
      <c r="BA197" s="927"/>
      <c r="BB197" s="927"/>
      <c r="BC197" s="928"/>
      <c r="BD197" s="929"/>
      <c r="BE197" s="930"/>
      <c r="BF197" s="930"/>
      <c r="BG197" s="931"/>
      <c r="BH197" s="931"/>
      <c r="BI197" s="926"/>
      <c r="BJ197" s="926"/>
      <c r="BK197" s="926"/>
      <c r="BL197" s="926"/>
      <c r="BM197" s="926"/>
      <c r="BN197" s="926"/>
      <c r="BO197" s="926"/>
      <c r="BP197" s="926"/>
      <c r="BQ197" s="926"/>
      <c r="BR197" s="926"/>
      <c r="BS197" s="926"/>
      <c r="BT197" s="926"/>
      <c r="BU197" s="926"/>
      <c r="BV197" s="926"/>
      <c r="BW197" s="926"/>
      <c r="BX197" s="926"/>
      <c r="BY197" s="932"/>
      <c r="BZ197" s="932"/>
      <c r="CA197" s="932"/>
      <c r="CB197" s="932"/>
      <c r="CC197" s="932"/>
      <c r="CD197" s="932"/>
      <c r="CE197" s="932"/>
      <c r="CF197" s="932"/>
    </row>
    <row r="198" spans="1:84" x14ac:dyDescent="0.25">
      <c r="A198" s="876">
        <v>36100</v>
      </c>
      <c r="B198" s="873" t="s">
        <v>1411</v>
      </c>
      <c r="C198" s="921">
        <v>105736037</v>
      </c>
      <c r="D198" s="924">
        <v>6.5075899999999999E-4</v>
      </c>
      <c r="E198" s="925"/>
      <c r="F198" s="926"/>
      <c r="G198" s="926"/>
      <c r="H198" s="926"/>
      <c r="I198" s="926"/>
      <c r="J198" s="926"/>
      <c r="K198" s="926"/>
      <c r="L198" s="926"/>
      <c r="M198" s="926"/>
      <c r="N198" s="926"/>
      <c r="O198" s="926"/>
      <c r="P198" s="926"/>
      <c r="Q198" s="926"/>
      <c r="R198" s="926"/>
      <c r="S198" s="926"/>
      <c r="T198" s="926"/>
      <c r="U198" s="926"/>
      <c r="V198" s="926"/>
      <c r="W198" s="926"/>
      <c r="X198" s="926"/>
      <c r="Y198" s="926"/>
      <c r="Z198" s="926"/>
      <c r="AA198" s="926"/>
      <c r="AB198" s="926"/>
      <c r="AC198" s="926"/>
      <c r="AD198" s="926"/>
      <c r="AE198" s="926"/>
      <c r="AF198" s="926"/>
      <c r="AG198" s="926"/>
      <c r="AH198" s="926"/>
      <c r="AI198" s="926"/>
      <c r="AJ198" s="926"/>
      <c r="AK198" s="926"/>
      <c r="AL198" s="926"/>
      <c r="AM198" s="926"/>
      <c r="AN198" s="926"/>
      <c r="AO198" s="926"/>
      <c r="AP198" s="926"/>
      <c r="AQ198" s="926"/>
      <c r="AR198" s="926"/>
      <c r="AS198" s="926"/>
      <c r="AT198" s="926"/>
      <c r="AU198" s="927"/>
      <c r="AV198" s="927"/>
      <c r="AW198" s="927"/>
      <c r="AX198" s="927"/>
      <c r="AY198" s="927"/>
      <c r="AZ198" s="927"/>
      <c r="BA198" s="927"/>
      <c r="BB198" s="927"/>
      <c r="BC198" s="928"/>
      <c r="BD198" s="929"/>
      <c r="BE198" s="930"/>
      <c r="BF198" s="930"/>
      <c r="BG198" s="931"/>
      <c r="BH198" s="931"/>
      <c r="BI198" s="926"/>
      <c r="BJ198" s="926"/>
      <c r="BK198" s="926"/>
      <c r="BL198" s="926"/>
      <c r="BM198" s="926"/>
      <c r="BN198" s="926"/>
      <c r="BO198" s="926"/>
      <c r="BP198" s="926"/>
      <c r="BQ198" s="926"/>
      <c r="BR198" s="926"/>
      <c r="BS198" s="926"/>
      <c r="BT198" s="926"/>
      <c r="BU198" s="926"/>
      <c r="BV198" s="926"/>
      <c r="BW198" s="926"/>
      <c r="BX198" s="926"/>
      <c r="BY198" s="932"/>
      <c r="BZ198" s="932"/>
      <c r="CA198" s="932"/>
      <c r="CB198" s="932"/>
      <c r="CC198" s="932"/>
      <c r="CD198" s="932"/>
      <c r="CE198" s="932"/>
      <c r="CF198" s="932"/>
    </row>
    <row r="199" spans="1:84" x14ac:dyDescent="0.25">
      <c r="A199" s="876">
        <v>36102</v>
      </c>
      <c r="B199" s="873" t="s">
        <v>1412</v>
      </c>
      <c r="C199" s="921">
        <v>39052094</v>
      </c>
      <c r="D199" s="924">
        <v>2.4034800000000001E-4</v>
      </c>
      <c r="E199" s="925"/>
      <c r="F199" s="926"/>
      <c r="G199" s="926"/>
      <c r="H199" s="926"/>
      <c r="I199" s="926"/>
      <c r="J199" s="926"/>
      <c r="K199" s="926"/>
      <c r="L199" s="926"/>
      <c r="M199" s="926"/>
      <c r="N199" s="926"/>
      <c r="O199" s="926"/>
      <c r="P199" s="926"/>
      <c r="Q199" s="926"/>
      <c r="R199" s="926"/>
      <c r="S199" s="926"/>
      <c r="T199" s="926"/>
      <c r="U199" s="926"/>
      <c r="V199" s="926"/>
      <c r="W199" s="926"/>
      <c r="X199" s="926"/>
      <c r="Y199" s="926"/>
      <c r="Z199" s="926"/>
      <c r="AA199" s="926"/>
      <c r="AB199" s="926"/>
      <c r="AC199" s="926"/>
      <c r="AD199" s="926"/>
      <c r="AE199" s="926"/>
      <c r="AF199" s="926"/>
      <c r="AG199" s="926"/>
      <c r="AH199" s="926"/>
      <c r="AI199" s="926"/>
      <c r="AJ199" s="926"/>
      <c r="AK199" s="926"/>
      <c r="AL199" s="926"/>
      <c r="AM199" s="926"/>
      <c r="AN199" s="926"/>
      <c r="AO199" s="926"/>
      <c r="AP199" s="926"/>
      <c r="AQ199" s="926"/>
      <c r="AR199" s="926"/>
      <c r="AS199" s="926"/>
      <c r="AT199" s="926"/>
      <c r="AU199" s="927"/>
      <c r="AV199" s="927"/>
      <c r="AW199" s="927"/>
      <c r="AX199" s="927"/>
      <c r="AY199" s="927"/>
      <c r="AZ199" s="927"/>
      <c r="BA199" s="927"/>
      <c r="BB199" s="927"/>
      <c r="BC199" s="928"/>
      <c r="BD199" s="929"/>
      <c r="BE199" s="930"/>
      <c r="BF199" s="930"/>
      <c r="BG199" s="931"/>
      <c r="BH199" s="931"/>
      <c r="BI199" s="926"/>
      <c r="BJ199" s="926"/>
      <c r="BK199" s="926"/>
      <c r="BL199" s="926"/>
      <c r="BM199" s="926"/>
      <c r="BN199" s="926"/>
      <c r="BO199" s="926"/>
      <c r="BP199" s="926"/>
      <c r="BQ199" s="926"/>
      <c r="BR199" s="926"/>
      <c r="BS199" s="926"/>
      <c r="BT199" s="926"/>
      <c r="BU199" s="926"/>
      <c r="BV199" s="926"/>
      <c r="BW199" s="926"/>
      <c r="BX199" s="926"/>
      <c r="BY199" s="932"/>
      <c r="BZ199" s="932"/>
      <c r="CA199" s="932"/>
      <c r="CB199" s="932"/>
      <c r="CC199" s="932"/>
      <c r="CD199" s="932"/>
      <c r="CE199" s="932"/>
      <c r="CF199" s="932"/>
    </row>
    <row r="200" spans="1:84" x14ac:dyDescent="0.25">
      <c r="A200" s="876">
        <v>36105</v>
      </c>
      <c r="B200" s="873" t="s">
        <v>1413</v>
      </c>
      <c r="C200" s="921">
        <v>56032798</v>
      </c>
      <c r="D200" s="924">
        <v>3.4485700000000001E-4</v>
      </c>
      <c r="E200" s="925"/>
      <c r="F200" s="926"/>
      <c r="G200" s="926"/>
      <c r="H200" s="926"/>
      <c r="I200" s="926"/>
      <c r="J200" s="926"/>
      <c r="K200" s="926"/>
      <c r="L200" s="926"/>
      <c r="M200" s="926"/>
      <c r="N200" s="926"/>
      <c r="O200" s="926"/>
      <c r="P200" s="926"/>
      <c r="Q200" s="926"/>
      <c r="R200" s="926"/>
      <c r="S200" s="926"/>
      <c r="T200" s="926"/>
      <c r="U200" s="926"/>
      <c r="V200" s="926"/>
      <c r="W200" s="926"/>
      <c r="X200" s="926"/>
      <c r="Y200" s="926"/>
      <c r="Z200" s="926"/>
      <c r="AA200" s="926"/>
      <c r="AB200" s="926"/>
      <c r="AC200" s="926"/>
      <c r="AD200" s="926"/>
      <c r="AE200" s="926"/>
      <c r="AF200" s="926"/>
      <c r="AG200" s="926"/>
      <c r="AH200" s="926"/>
      <c r="AI200" s="926"/>
      <c r="AJ200" s="926"/>
      <c r="AK200" s="926"/>
      <c r="AL200" s="926"/>
      <c r="AM200" s="926"/>
      <c r="AN200" s="926"/>
      <c r="AO200" s="926"/>
      <c r="AP200" s="926"/>
      <c r="AQ200" s="926"/>
      <c r="AR200" s="926"/>
      <c r="AS200" s="926"/>
      <c r="AT200" s="926"/>
      <c r="AU200" s="927"/>
      <c r="AV200" s="927"/>
      <c r="AW200" s="927"/>
      <c r="AX200" s="927"/>
      <c r="AY200" s="927"/>
      <c r="AZ200" s="927"/>
      <c r="BA200" s="927"/>
      <c r="BB200" s="927"/>
      <c r="BC200" s="928"/>
      <c r="BD200" s="929"/>
      <c r="BE200" s="930"/>
      <c r="BF200" s="930"/>
      <c r="BG200" s="931"/>
      <c r="BH200" s="931"/>
      <c r="BI200" s="926"/>
      <c r="BJ200" s="926"/>
      <c r="BK200" s="926"/>
      <c r="BL200" s="926"/>
      <c r="BM200" s="926"/>
      <c r="BN200" s="926"/>
      <c r="BO200" s="926"/>
      <c r="BP200" s="926"/>
      <c r="BQ200" s="926"/>
      <c r="BR200" s="926"/>
      <c r="BS200" s="926"/>
      <c r="BT200" s="926"/>
      <c r="BU200" s="926"/>
      <c r="BV200" s="926"/>
      <c r="BW200" s="926"/>
      <c r="BX200" s="926"/>
      <c r="BY200" s="932"/>
      <c r="BZ200" s="932"/>
      <c r="CA200" s="932"/>
      <c r="CB200" s="932"/>
      <c r="CC200" s="932"/>
      <c r="CD200" s="932"/>
      <c r="CE200" s="932"/>
      <c r="CF200" s="932"/>
    </row>
    <row r="201" spans="1:84" x14ac:dyDescent="0.25">
      <c r="A201" s="876">
        <v>36200</v>
      </c>
      <c r="B201" s="873" t="s">
        <v>1414</v>
      </c>
      <c r="C201" s="921">
        <v>222729006</v>
      </c>
      <c r="D201" s="924">
        <v>1.370799E-3</v>
      </c>
      <c r="E201" s="925"/>
      <c r="F201" s="926"/>
      <c r="G201" s="926"/>
      <c r="H201" s="926"/>
      <c r="I201" s="926"/>
      <c r="J201" s="926"/>
      <c r="K201" s="926"/>
      <c r="L201" s="926"/>
      <c r="M201" s="926"/>
      <c r="N201" s="926"/>
      <c r="O201" s="926"/>
      <c r="P201" s="926"/>
      <c r="Q201" s="926"/>
      <c r="R201" s="926"/>
      <c r="S201" s="926"/>
      <c r="T201" s="926"/>
      <c r="U201" s="926"/>
      <c r="V201" s="926"/>
      <c r="W201" s="926"/>
      <c r="X201" s="926"/>
      <c r="Y201" s="926"/>
      <c r="Z201" s="926"/>
      <c r="AA201" s="926"/>
      <c r="AB201" s="926"/>
      <c r="AC201" s="926"/>
      <c r="AD201" s="926"/>
      <c r="AE201" s="926"/>
      <c r="AF201" s="926"/>
      <c r="AG201" s="926"/>
      <c r="AH201" s="926"/>
      <c r="AI201" s="926"/>
      <c r="AJ201" s="926"/>
      <c r="AK201" s="926"/>
      <c r="AL201" s="926"/>
      <c r="AM201" s="926"/>
      <c r="AN201" s="926"/>
      <c r="AO201" s="926"/>
      <c r="AP201" s="926"/>
      <c r="AQ201" s="926"/>
      <c r="AR201" s="926"/>
      <c r="AS201" s="926"/>
      <c r="AT201" s="926"/>
      <c r="AU201" s="927"/>
      <c r="AV201" s="927"/>
      <c r="AW201" s="927"/>
      <c r="AX201" s="927"/>
      <c r="AY201" s="927"/>
      <c r="AZ201" s="927"/>
      <c r="BA201" s="927"/>
      <c r="BB201" s="927"/>
      <c r="BC201" s="928"/>
      <c r="BD201" s="929"/>
      <c r="BE201" s="930"/>
      <c r="BF201" s="930"/>
      <c r="BG201" s="931"/>
      <c r="BH201" s="931"/>
      <c r="BI201" s="926"/>
      <c r="BJ201" s="926"/>
      <c r="BK201" s="926"/>
      <c r="BL201" s="926"/>
      <c r="BM201" s="926"/>
      <c r="BN201" s="926"/>
      <c r="BO201" s="926"/>
      <c r="BP201" s="926"/>
      <c r="BQ201" s="926"/>
      <c r="BR201" s="926"/>
      <c r="BS201" s="926"/>
      <c r="BT201" s="926"/>
      <c r="BU201" s="926"/>
      <c r="BV201" s="926"/>
      <c r="BW201" s="926"/>
      <c r="BX201" s="926"/>
      <c r="BY201" s="932"/>
      <c r="BZ201" s="932"/>
      <c r="CA201" s="932"/>
      <c r="CB201" s="932"/>
      <c r="CC201" s="932"/>
      <c r="CD201" s="932"/>
      <c r="CE201" s="932"/>
      <c r="CF201" s="932"/>
    </row>
    <row r="202" spans="1:84" x14ac:dyDescent="0.25">
      <c r="A202" s="876">
        <v>36205</v>
      </c>
      <c r="B202" s="873" t="s">
        <v>1415</v>
      </c>
      <c r="C202" s="921">
        <v>40454670</v>
      </c>
      <c r="D202" s="924">
        <v>2.4898100000000001E-4</v>
      </c>
      <c r="E202" s="925"/>
      <c r="F202" s="926"/>
      <c r="G202" s="926"/>
      <c r="H202" s="926"/>
      <c r="I202" s="926"/>
      <c r="J202" s="926"/>
      <c r="K202" s="926"/>
      <c r="L202" s="926"/>
      <c r="M202" s="926"/>
      <c r="N202" s="926"/>
      <c r="O202" s="926"/>
      <c r="P202" s="926"/>
      <c r="Q202" s="926"/>
      <c r="R202" s="926"/>
      <c r="S202" s="926"/>
      <c r="T202" s="926"/>
      <c r="U202" s="926"/>
      <c r="V202" s="926"/>
      <c r="W202" s="926"/>
      <c r="X202" s="926"/>
      <c r="Y202" s="926"/>
      <c r="Z202" s="926"/>
      <c r="AA202" s="926"/>
      <c r="AB202" s="926"/>
      <c r="AC202" s="926"/>
      <c r="AD202" s="926"/>
      <c r="AE202" s="926"/>
      <c r="AF202" s="926"/>
      <c r="AG202" s="926"/>
      <c r="AH202" s="926"/>
      <c r="AI202" s="926"/>
      <c r="AJ202" s="926"/>
      <c r="AK202" s="926"/>
      <c r="AL202" s="926"/>
      <c r="AM202" s="926"/>
      <c r="AN202" s="926"/>
      <c r="AO202" s="926"/>
      <c r="AP202" s="926"/>
      <c r="AQ202" s="926"/>
      <c r="AR202" s="926"/>
      <c r="AS202" s="926"/>
      <c r="AT202" s="926"/>
      <c r="AU202" s="927"/>
      <c r="AV202" s="927"/>
      <c r="AW202" s="927"/>
      <c r="AX202" s="927"/>
      <c r="AY202" s="927"/>
      <c r="AZ202" s="927"/>
      <c r="BA202" s="927"/>
      <c r="BB202" s="927"/>
      <c r="BC202" s="928"/>
      <c r="BD202" s="929"/>
      <c r="BE202" s="930"/>
      <c r="BF202" s="930"/>
      <c r="BG202" s="931"/>
      <c r="BH202" s="931"/>
      <c r="BI202" s="926"/>
      <c r="BJ202" s="926"/>
      <c r="BK202" s="926"/>
      <c r="BL202" s="926"/>
      <c r="BM202" s="926"/>
      <c r="BN202" s="926"/>
      <c r="BO202" s="926"/>
      <c r="BP202" s="926"/>
      <c r="BQ202" s="926"/>
      <c r="BR202" s="926"/>
      <c r="BS202" s="926"/>
      <c r="BT202" s="926"/>
      <c r="BU202" s="926"/>
      <c r="BV202" s="926"/>
      <c r="BW202" s="926"/>
      <c r="BX202" s="926"/>
      <c r="BY202" s="932"/>
      <c r="BZ202" s="932"/>
      <c r="CA202" s="932"/>
      <c r="CB202" s="932"/>
      <c r="CC202" s="932"/>
      <c r="CD202" s="932"/>
      <c r="CE202" s="932"/>
      <c r="CF202" s="932"/>
    </row>
    <row r="203" spans="1:84" x14ac:dyDescent="0.25">
      <c r="A203" s="876">
        <v>36300</v>
      </c>
      <c r="B203" s="873" t="s">
        <v>1416</v>
      </c>
      <c r="C203" s="921">
        <v>720688395</v>
      </c>
      <c r="D203" s="924">
        <v>4.4355200000000001E-3</v>
      </c>
      <c r="E203" s="925"/>
      <c r="F203" s="926"/>
      <c r="G203" s="926"/>
      <c r="H203" s="926"/>
      <c r="I203" s="926"/>
      <c r="J203" s="926"/>
      <c r="K203" s="926"/>
      <c r="L203" s="926"/>
      <c r="M203" s="926"/>
      <c r="N203" s="926"/>
      <c r="O203" s="926"/>
      <c r="P203" s="926"/>
      <c r="Q203" s="926"/>
      <c r="R203" s="926"/>
      <c r="S203" s="926"/>
      <c r="T203" s="926"/>
      <c r="U203" s="926"/>
      <c r="V203" s="926"/>
      <c r="W203" s="926"/>
      <c r="X203" s="926"/>
      <c r="Y203" s="926"/>
      <c r="Z203" s="926"/>
      <c r="AA203" s="926"/>
      <c r="AB203" s="926"/>
      <c r="AC203" s="926"/>
      <c r="AD203" s="926"/>
      <c r="AE203" s="926"/>
      <c r="AF203" s="926"/>
      <c r="AG203" s="926"/>
      <c r="AH203" s="926"/>
      <c r="AI203" s="926"/>
      <c r="AJ203" s="926"/>
      <c r="AK203" s="926"/>
      <c r="AL203" s="926"/>
      <c r="AM203" s="926"/>
      <c r="AN203" s="926"/>
      <c r="AO203" s="926"/>
      <c r="AP203" s="926"/>
      <c r="AQ203" s="926"/>
      <c r="AR203" s="926"/>
      <c r="AS203" s="926"/>
      <c r="AT203" s="926"/>
      <c r="AU203" s="927"/>
      <c r="AV203" s="927"/>
      <c r="AW203" s="927"/>
      <c r="AX203" s="927"/>
      <c r="AY203" s="927"/>
      <c r="AZ203" s="927"/>
      <c r="BA203" s="927"/>
      <c r="BB203" s="927"/>
      <c r="BC203" s="928"/>
      <c r="BD203" s="929"/>
      <c r="BE203" s="930"/>
      <c r="BF203" s="930"/>
      <c r="BG203" s="931"/>
      <c r="BH203" s="931"/>
      <c r="BI203" s="926"/>
      <c r="BJ203" s="926"/>
      <c r="BK203" s="926"/>
      <c r="BL203" s="926"/>
      <c r="BM203" s="926"/>
      <c r="BN203" s="926"/>
      <c r="BO203" s="926"/>
      <c r="BP203" s="926"/>
      <c r="BQ203" s="926"/>
      <c r="BR203" s="926"/>
      <c r="BS203" s="926"/>
      <c r="BT203" s="926"/>
      <c r="BU203" s="926"/>
      <c r="BV203" s="926"/>
      <c r="BW203" s="926"/>
      <c r="BX203" s="926"/>
      <c r="BY203" s="932"/>
      <c r="BZ203" s="932"/>
      <c r="CA203" s="932"/>
      <c r="CB203" s="932"/>
      <c r="CC203" s="932"/>
      <c r="CD203" s="932"/>
      <c r="CE203" s="932"/>
      <c r="CF203" s="932"/>
    </row>
    <row r="204" spans="1:84" x14ac:dyDescent="0.25">
      <c r="A204" s="876">
        <v>36301</v>
      </c>
      <c r="B204" s="873" t="s">
        <v>1417</v>
      </c>
      <c r="C204" s="921">
        <v>12109681</v>
      </c>
      <c r="D204" s="924">
        <v>7.4530000000000006E-5</v>
      </c>
      <c r="E204" s="925"/>
      <c r="F204" s="926"/>
      <c r="G204" s="926"/>
      <c r="H204" s="926"/>
      <c r="I204" s="926"/>
      <c r="J204" s="926"/>
      <c r="K204" s="926"/>
      <c r="L204" s="926"/>
      <c r="M204" s="926"/>
      <c r="N204" s="926"/>
      <c r="O204" s="926"/>
      <c r="P204" s="926"/>
      <c r="Q204" s="926"/>
      <c r="R204" s="926"/>
      <c r="S204" s="926"/>
      <c r="T204" s="926"/>
      <c r="U204" s="926"/>
      <c r="V204" s="926"/>
      <c r="W204" s="926"/>
      <c r="X204" s="926"/>
      <c r="Y204" s="926"/>
      <c r="Z204" s="926"/>
      <c r="AA204" s="926"/>
      <c r="AB204" s="926"/>
      <c r="AC204" s="926"/>
      <c r="AD204" s="926"/>
      <c r="AE204" s="926"/>
      <c r="AF204" s="926"/>
      <c r="AG204" s="926"/>
      <c r="AH204" s="926"/>
      <c r="AI204" s="926"/>
      <c r="AJ204" s="926"/>
      <c r="AK204" s="926"/>
      <c r="AL204" s="926"/>
      <c r="AM204" s="926"/>
      <c r="AN204" s="926"/>
      <c r="AO204" s="926"/>
      <c r="AP204" s="926"/>
      <c r="AQ204" s="926"/>
      <c r="AR204" s="926"/>
      <c r="AS204" s="926"/>
      <c r="AT204" s="926"/>
      <c r="AU204" s="927"/>
      <c r="AV204" s="927"/>
      <c r="AW204" s="927"/>
      <c r="AX204" s="927"/>
      <c r="AY204" s="927"/>
      <c r="AZ204" s="927"/>
      <c r="BA204" s="927"/>
      <c r="BB204" s="927"/>
      <c r="BC204" s="928"/>
      <c r="BD204" s="929"/>
      <c r="BE204" s="930"/>
      <c r="BF204" s="930"/>
      <c r="BG204" s="931"/>
      <c r="BH204" s="931"/>
      <c r="BI204" s="926"/>
      <c r="BJ204" s="926"/>
      <c r="BK204" s="926"/>
      <c r="BL204" s="926"/>
      <c r="BM204" s="926"/>
      <c r="BN204" s="926"/>
      <c r="BO204" s="926"/>
      <c r="BP204" s="926"/>
      <c r="BQ204" s="926"/>
      <c r="BR204" s="926"/>
      <c r="BS204" s="926"/>
      <c r="BT204" s="926"/>
      <c r="BU204" s="926"/>
      <c r="BV204" s="926"/>
      <c r="BW204" s="926"/>
      <c r="BX204" s="926"/>
      <c r="BY204" s="932"/>
      <c r="BZ204" s="932"/>
      <c r="CA204" s="932"/>
      <c r="CB204" s="932"/>
      <c r="CC204" s="932"/>
      <c r="CD204" s="932"/>
      <c r="CE204" s="932"/>
      <c r="CF204" s="932"/>
    </row>
    <row r="205" spans="1:84" x14ac:dyDescent="0.25">
      <c r="A205" s="876">
        <v>36302</v>
      </c>
      <c r="B205" s="873" t="s">
        <v>1418</v>
      </c>
      <c r="C205" s="921">
        <v>18715936</v>
      </c>
      <c r="D205" s="924">
        <v>1.15188E-4</v>
      </c>
      <c r="E205" s="925"/>
      <c r="F205" s="926"/>
      <c r="G205" s="926"/>
      <c r="H205" s="926"/>
      <c r="I205" s="926"/>
      <c r="J205" s="926"/>
      <c r="K205" s="926"/>
      <c r="L205" s="926"/>
      <c r="M205" s="926"/>
      <c r="N205" s="926"/>
      <c r="O205" s="926"/>
      <c r="P205" s="926"/>
      <c r="Q205" s="926"/>
      <c r="R205" s="926"/>
      <c r="S205" s="926"/>
      <c r="T205" s="926"/>
      <c r="U205" s="926"/>
      <c r="V205" s="926"/>
      <c r="W205" s="926"/>
      <c r="X205" s="926"/>
      <c r="Y205" s="926"/>
      <c r="Z205" s="926"/>
      <c r="AA205" s="926"/>
      <c r="AB205" s="926"/>
      <c r="AC205" s="926"/>
      <c r="AD205" s="926"/>
      <c r="AE205" s="926"/>
      <c r="AF205" s="926"/>
      <c r="AG205" s="926"/>
      <c r="AH205" s="926"/>
      <c r="AI205" s="926"/>
      <c r="AJ205" s="926"/>
      <c r="AK205" s="926"/>
      <c r="AL205" s="926"/>
      <c r="AM205" s="926"/>
      <c r="AN205" s="926"/>
      <c r="AO205" s="926"/>
      <c r="AP205" s="926"/>
      <c r="AQ205" s="926"/>
      <c r="AR205" s="926"/>
      <c r="AS205" s="926"/>
      <c r="AT205" s="926"/>
      <c r="AU205" s="927"/>
      <c r="AV205" s="927"/>
      <c r="AW205" s="927"/>
      <c r="AX205" s="927"/>
      <c r="AY205" s="927"/>
      <c r="AZ205" s="927"/>
      <c r="BA205" s="927"/>
      <c r="BB205" s="927"/>
      <c r="BC205" s="928"/>
      <c r="BD205" s="929"/>
      <c r="BE205" s="930"/>
      <c r="BF205" s="930"/>
      <c r="BG205" s="931"/>
      <c r="BH205" s="931"/>
      <c r="BI205" s="926"/>
      <c r="BJ205" s="926"/>
      <c r="BK205" s="926"/>
      <c r="BL205" s="926"/>
      <c r="BM205" s="926"/>
      <c r="BN205" s="926"/>
      <c r="BO205" s="926"/>
      <c r="BP205" s="926"/>
      <c r="BQ205" s="926"/>
      <c r="BR205" s="926"/>
      <c r="BS205" s="926"/>
      <c r="BT205" s="926"/>
      <c r="BU205" s="926"/>
      <c r="BV205" s="926"/>
      <c r="BW205" s="926"/>
      <c r="BX205" s="926"/>
      <c r="BY205" s="932"/>
      <c r="BZ205" s="932"/>
      <c r="CA205" s="932"/>
      <c r="CB205" s="932"/>
      <c r="CC205" s="932"/>
      <c r="CD205" s="932"/>
      <c r="CE205" s="932"/>
      <c r="CF205" s="932"/>
    </row>
    <row r="206" spans="1:84" x14ac:dyDescent="0.25">
      <c r="A206" s="876">
        <v>36305</v>
      </c>
      <c r="B206" s="873" t="s">
        <v>1419</v>
      </c>
      <c r="C206" s="921">
        <v>130154048</v>
      </c>
      <c r="D206" s="924">
        <v>8.0104099999999995E-4</v>
      </c>
      <c r="E206" s="925"/>
      <c r="F206" s="926"/>
      <c r="G206" s="926"/>
      <c r="H206" s="926"/>
      <c r="I206" s="926"/>
      <c r="J206" s="926"/>
      <c r="K206" s="926"/>
      <c r="L206" s="926"/>
      <c r="M206" s="926"/>
      <c r="N206" s="926"/>
      <c r="O206" s="926"/>
      <c r="P206" s="926"/>
      <c r="Q206" s="926"/>
      <c r="R206" s="926"/>
      <c r="S206" s="926"/>
      <c r="T206" s="926"/>
      <c r="U206" s="926"/>
      <c r="V206" s="926"/>
      <c r="W206" s="926"/>
      <c r="X206" s="926"/>
      <c r="Y206" s="926"/>
      <c r="Z206" s="926"/>
      <c r="AA206" s="926"/>
      <c r="AB206" s="926"/>
      <c r="AC206" s="926"/>
      <c r="AD206" s="926"/>
      <c r="AE206" s="926"/>
      <c r="AF206" s="926"/>
      <c r="AG206" s="926"/>
      <c r="AH206" s="926"/>
      <c r="AI206" s="926"/>
      <c r="AJ206" s="926"/>
      <c r="AK206" s="926"/>
      <c r="AL206" s="926"/>
      <c r="AM206" s="926"/>
      <c r="AN206" s="926"/>
      <c r="AO206" s="926"/>
      <c r="AP206" s="926"/>
      <c r="AQ206" s="926"/>
      <c r="AR206" s="926"/>
      <c r="AS206" s="926"/>
      <c r="AT206" s="926"/>
      <c r="AU206" s="927"/>
      <c r="AV206" s="927"/>
      <c r="AW206" s="927"/>
      <c r="AX206" s="927"/>
      <c r="AY206" s="927"/>
      <c r="AZ206" s="927"/>
      <c r="BA206" s="927"/>
      <c r="BB206" s="927"/>
      <c r="BC206" s="928"/>
      <c r="BD206" s="929"/>
      <c r="BE206" s="930"/>
      <c r="BF206" s="930"/>
      <c r="BG206" s="931"/>
      <c r="BH206" s="931"/>
      <c r="BI206" s="926"/>
      <c r="BJ206" s="926"/>
      <c r="BK206" s="926"/>
      <c r="BL206" s="926"/>
      <c r="BM206" s="926"/>
      <c r="BN206" s="926"/>
      <c r="BO206" s="926"/>
      <c r="BP206" s="926"/>
      <c r="BQ206" s="926"/>
      <c r="BR206" s="926"/>
      <c r="BS206" s="926"/>
      <c r="BT206" s="926"/>
      <c r="BU206" s="926"/>
      <c r="BV206" s="926"/>
      <c r="BW206" s="926"/>
      <c r="BX206" s="926"/>
      <c r="BY206" s="932"/>
      <c r="BZ206" s="932"/>
      <c r="CA206" s="932"/>
      <c r="CB206" s="932"/>
      <c r="CC206" s="932"/>
      <c r="CD206" s="932"/>
      <c r="CE206" s="932"/>
      <c r="CF206" s="932"/>
    </row>
    <row r="207" spans="1:84" x14ac:dyDescent="0.25">
      <c r="A207" s="876">
        <v>36310</v>
      </c>
      <c r="B207" s="873" t="s">
        <v>1420</v>
      </c>
      <c r="C207" s="921">
        <v>0</v>
      </c>
      <c r="D207" s="924">
        <v>0</v>
      </c>
      <c r="E207" s="925"/>
      <c r="F207" s="926"/>
      <c r="G207" s="926"/>
      <c r="H207" s="926"/>
      <c r="I207" s="926"/>
      <c r="J207" s="926"/>
      <c r="K207" s="926"/>
      <c r="L207" s="926"/>
      <c r="M207" s="926"/>
      <c r="N207" s="926"/>
      <c r="O207" s="926"/>
      <c r="P207" s="926"/>
      <c r="Q207" s="926"/>
      <c r="R207" s="926"/>
      <c r="S207" s="926"/>
      <c r="T207" s="926"/>
      <c r="U207" s="926"/>
      <c r="V207" s="926"/>
      <c r="W207" s="926"/>
      <c r="X207" s="926"/>
      <c r="Y207" s="926"/>
      <c r="Z207" s="926"/>
      <c r="AA207" s="926"/>
      <c r="AB207" s="926"/>
      <c r="AC207" s="926"/>
      <c r="AD207" s="926"/>
      <c r="AE207" s="926"/>
      <c r="AF207" s="926"/>
      <c r="AG207" s="926"/>
      <c r="AH207" s="926"/>
      <c r="AI207" s="926"/>
      <c r="AJ207" s="926"/>
      <c r="AK207" s="926"/>
      <c r="AL207" s="926"/>
      <c r="AM207" s="926"/>
      <c r="AN207" s="926"/>
      <c r="AO207" s="926"/>
      <c r="AP207" s="926"/>
      <c r="AQ207" s="926"/>
      <c r="AR207" s="926"/>
      <c r="AS207" s="926"/>
      <c r="AT207" s="926"/>
      <c r="AU207" s="927"/>
      <c r="AV207" s="927"/>
      <c r="AW207" s="927"/>
      <c r="AX207" s="927"/>
      <c r="AY207" s="927"/>
      <c r="AZ207" s="927"/>
      <c r="BA207" s="927"/>
      <c r="BB207" s="927"/>
      <c r="BC207" s="928"/>
      <c r="BD207" s="929"/>
      <c r="BE207" s="930"/>
      <c r="BF207" s="930"/>
      <c r="BG207" s="931"/>
      <c r="BH207" s="931"/>
      <c r="BI207" s="926"/>
      <c r="BJ207" s="926"/>
      <c r="BK207" s="926"/>
      <c r="BL207" s="926"/>
      <c r="BM207" s="926"/>
      <c r="BN207" s="926"/>
      <c r="BO207" s="926"/>
      <c r="BP207" s="926"/>
      <c r="BQ207" s="926"/>
      <c r="BR207" s="926"/>
      <c r="BS207" s="926"/>
      <c r="BT207" s="926"/>
      <c r="BU207" s="926"/>
      <c r="BV207" s="926"/>
      <c r="BW207" s="926"/>
      <c r="BX207" s="926"/>
      <c r="BY207" s="932"/>
      <c r="BZ207" s="932"/>
      <c r="CA207" s="932"/>
      <c r="CB207" s="932"/>
      <c r="CC207" s="932"/>
      <c r="CD207" s="932"/>
      <c r="CE207" s="932"/>
      <c r="CF207" s="932"/>
    </row>
    <row r="208" spans="1:84" x14ac:dyDescent="0.25">
      <c r="A208" s="876">
        <v>36400</v>
      </c>
      <c r="B208" s="873" t="s">
        <v>1421</v>
      </c>
      <c r="C208" s="921">
        <v>791838994</v>
      </c>
      <c r="D208" s="924">
        <v>4.8734210000000002E-3</v>
      </c>
      <c r="E208" s="925"/>
      <c r="F208" s="926"/>
      <c r="G208" s="926"/>
      <c r="H208" s="926"/>
      <c r="I208" s="926"/>
      <c r="J208" s="926"/>
      <c r="K208" s="926"/>
      <c r="L208" s="926"/>
      <c r="M208" s="926"/>
      <c r="N208" s="926"/>
      <c r="O208" s="926"/>
      <c r="P208" s="926"/>
      <c r="Q208" s="926"/>
      <c r="R208" s="926"/>
      <c r="S208" s="926"/>
      <c r="T208" s="926"/>
      <c r="U208" s="926"/>
      <c r="V208" s="926"/>
      <c r="W208" s="926"/>
      <c r="X208" s="926"/>
      <c r="Y208" s="926"/>
      <c r="Z208" s="926"/>
      <c r="AA208" s="926"/>
      <c r="AB208" s="926"/>
      <c r="AC208" s="926"/>
      <c r="AD208" s="926"/>
      <c r="AE208" s="926"/>
      <c r="AF208" s="926"/>
      <c r="AG208" s="926"/>
      <c r="AH208" s="926"/>
      <c r="AI208" s="926"/>
      <c r="AJ208" s="926"/>
      <c r="AK208" s="926"/>
      <c r="AL208" s="926"/>
      <c r="AM208" s="926"/>
      <c r="AN208" s="926"/>
      <c r="AO208" s="926"/>
      <c r="AP208" s="926"/>
      <c r="AQ208" s="926"/>
      <c r="AR208" s="926"/>
      <c r="AS208" s="926"/>
      <c r="AT208" s="926"/>
      <c r="AU208" s="927"/>
      <c r="AV208" s="927"/>
      <c r="AW208" s="927"/>
      <c r="AX208" s="927"/>
      <c r="AY208" s="927"/>
      <c r="AZ208" s="927"/>
      <c r="BA208" s="927"/>
      <c r="BB208" s="927"/>
      <c r="BC208" s="928"/>
      <c r="BD208" s="929"/>
      <c r="BE208" s="930"/>
      <c r="BF208" s="930"/>
      <c r="BG208" s="931"/>
      <c r="BH208" s="931"/>
      <c r="BI208" s="926"/>
      <c r="BJ208" s="926"/>
      <c r="BK208" s="926"/>
      <c r="BL208" s="926"/>
      <c r="BM208" s="926"/>
      <c r="BN208" s="926"/>
      <c r="BO208" s="926"/>
      <c r="BP208" s="926"/>
      <c r="BQ208" s="926"/>
      <c r="BR208" s="926"/>
      <c r="BS208" s="926"/>
      <c r="BT208" s="926"/>
      <c r="BU208" s="926"/>
      <c r="BV208" s="926"/>
      <c r="BW208" s="926"/>
      <c r="BX208" s="926"/>
      <c r="BY208" s="932"/>
      <c r="BZ208" s="932"/>
      <c r="CA208" s="932"/>
      <c r="CB208" s="932"/>
      <c r="CC208" s="932"/>
      <c r="CD208" s="932"/>
      <c r="CE208" s="932"/>
      <c r="CF208" s="932"/>
    </row>
    <row r="209" spans="1:84" x14ac:dyDescent="0.25">
      <c r="A209" s="876">
        <v>36405</v>
      </c>
      <c r="B209" s="873" t="s">
        <v>1422</v>
      </c>
      <c r="C209" s="921">
        <v>131614889</v>
      </c>
      <c r="D209" s="924">
        <v>8.1003200000000003E-4</v>
      </c>
      <c r="E209" s="925"/>
      <c r="F209" s="926"/>
      <c r="G209" s="926"/>
      <c r="H209" s="926"/>
      <c r="I209" s="926"/>
      <c r="J209" s="926"/>
      <c r="K209" s="926"/>
      <c r="L209" s="926"/>
      <c r="M209" s="926"/>
      <c r="N209" s="926"/>
      <c r="O209" s="926"/>
      <c r="P209" s="926"/>
      <c r="Q209" s="926"/>
      <c r="R209" s="926"/>
      <c r="S209" s="926"/>
      <c r="T209" s="926"/>
      <c r="U209" s="926"/>
      <c r="V209" s="926"/>
      <c r="W209" s="926"/>
      <c r="X209" s="926"/>
      <c r="Y209" s="926"/>
      <c r="Z209" s="926"/>
      <c r="AA209" s="926"/>
      <c r="AB209" s="926"/>
      <c r="AC209" s="926"/>
      <c r="AD209" s="926"/>
      <c r="AE209" s="926"/>
      <c r="AF209" s="926"/>
      <c r="AG209" s="926"/>
      <c r="AH209" s="926"/>
      <c r="AI209" s="926"/>
      <c r="AJ209" s="926"/>
      <c r="AK209" s="926"/>
      <c r="AL209" s="926"/>
      <c r="AM209" s="926"/>
      <c r="AN209" s="926"/>
      <c r="AO209" s="926"/>
      <c r="AP209" s="926"/>
      <c r="AQ209" s="926"/>
      <c r="AR209" s="926"/>
      <c r="AS209" s="926"/>
      <c r="AT209" s="926"/>
      <c r="AU209" s="927"/>
      <c r="AV209" s="927"/>
      <c r="AW209" s="927"/>
      <c r="AX209" s="927"/>
      <c r="AY209" s="927"/>
      <c r="AZ209" s="927"/>
      <c r="BA209" s="927"/>
      <c r="BB209" s="927"/>
      <c r="BC209" s="928"/>
      <c r="BD209" s="929"/>
      <c r="BE209" s="930"/>
      <c r="BF209" s="930"/>
      <c r="BG209" s="931"/>
      <c r="BH209" s="931"/>
      <c r="BI209" s="926"/>
      <c r="BJ209" s="926"/>
      <c r="BK209" s="926"/>
      <c r="BL209" s="926"/>
      <c r="BM209" s="926"/>
      <c r="BN209" s="926"/>
      <c r="BO209" s="926"/>
      <c r="BP209" s="926"/>
      <c r="BQ209" s="926"/>
      <c r="BR209" s="926"/>
      <c r="BS209" s="926"/>
      <c r="BT209" s="926"/>
      <c r="BU209" s="926"/>
      <c r="BV209" s="926"/>
      <c r="BW209" s="926"/>
      <c r="BX209" s="926"/>
      <c r="BY209" s="932"/>
      <c r="BZ209" s="932"/>
      <c r="CA209" s="932"/>
      <c r="CB209" s="932"/>
      <c r="CC209" s="932"/>
      <c r="CD209" s="932"/>
      <c r="CE209" s="932"/>
      <c r="CF209" s="932"/>
    </row>
    <row r="210" spans="1:84" x14ac:dyDescent="0.25">
      <c r="A210" s="876">
        <v>36500</v>
      </c>
      <c r="B210" s="873" t="s">
        <v>1423</v>
      </c>
      <c r="C210" s="921">
        <v>1595744053</v>
      </c>
      <c r="D210" s="924">
        <v>9.8211029999999994E-3</v>
      </c>
      <c r="E210" s="925"/>
      <c r="F210" s="926"/>
      <c r="G210" s="926"/>
      <c r="H210" s="926"/>
      <c r="I210" s="926"/>
      <c r="J210" s="926"/>
      <c r="K210" s="926"/>
      <c r="L210" s="926"/>
      <c r="M210" s="926"/>
      <c r="N210" s="926"/>
      <c r="O210" s="926"/>
      <c r="P210" s="926"/>
      <c r="Q210" s="926"/>
      <c r="R210" s="926"/>
      <c r="S210" s="926"/>
      <c r="T210" s="926"/>
      <c r="U210" s="926"/>
      <c r="V210" s="926"/>
      <c r="W210" s="926"/>
      <c r="X210" s="926"/>
      <c r="Y210" s="926"/>
      <c r="Z210" s="926"/>
      <c r="AA210" s="926"/>
      <c r="AB210" s="926"/>
      <c r="AC210" s="926"/>
      <c r="AD210" s="926"/>
      <c r="AE210" s="926"/>
      <c r="AF210" s="926"/>
      <c r="AG210" s="926"/>
      <c r="AH210" s="926"/>
      <c r="AI210" s="926"/>
      <c r="AJ210" s="926"/>
      <c r="AK210" s="926"/>
      <c r="AL210" s="926"/>
      <c r="AM210" s="926"/>
      <c r="AN210" s="926"/>
      <c r="AO210" s="926"/>
      <c r="AP210" s="926"/>
      <c r="AQ210" s="926"/>
      <c r="AR210" s="926"/>
      <c r="AS210" s="926"/>
      <c r="AT210" s="926"/>
      <c r="AU210" s="927"/>
      <c r="AV210" s="927"/>
      <c r="AW210" s="927"/>
      <c r="AX210" s="927"/>
      <c r="AY210" s="927"/>
      <c r="AZ210" s="927"/>
      <c r="BA210" s="927"/>
      <c r="BB210" s="927"/>
      <c r="BC210" s="928"/>
      <c r="BD210" s="929"/>
      <c r="BE210" s="930"/>
      <c r="BF210" s="930"/>
      <c r="BG210" s="931"/>
      <c r="BH210" s="931"/>
      <c r="BI210" s="926"/>
      <c r="BJ210" s="926"/>
      <c r="BK210" s="926"/>
      <c r="BL210" s="926"/>
      <c r="BM210" s="926"/>
      <c r="BN210" s="926"/>
      <c r="BO210" s="926"/>
      <c r="BP210" s="926"/>
      <c r="BQ210" s="926"/>
      <c r="BR210" s="926"/>
      <c r="BS210" s="926"/>
      <c r="BT210" s="926"/>
      <c r="BU210" s="926"/>
      <c r="BV210" s="926"/>
      <c r="BW210" s="926"/>
      <c r="BX210" s="926"/>
      <c r="BY210" s="932"/>
      <c r="BZ210" s="932"/>
      <c r="CA210" s="932"/>
      <c r="CB210" s="932"/>
      <c r="CC210" s="932"/>
      <c r="CD210" s="932"/>
      <c r="CE210" s="932"/>
      <c r="CF210" s="932"/>
    </row>
    <row r="211" spans="1:84" x14ac:dyDescent="0.25">
      <c r="A211" s="876">
        <v>36501</v>
      </c>
      <c r="B211" s="873" t="s">
        <v>1424</v>
      </c>
      <c r="C211" s="921">
        <v>21438113</v>
      </c>
      <c r="D211" s="924">
        <v>1.3194199999999999E-4</v>
      </c>
      <c r="E211" s="925"/>
      <c r="F211" s="926"/>
      <c r="G211" s="926"/>
      <c r="H211" s="926"/>
      <c r="I211" s="926"/>
      <c r="J211" s="926"/>
      <c r="K211" s="926"/>
      <c r="L211" s="926"/>
      <c r="M211" s="926"/>
      <c r="N211" s="926"/>
      <c r="O211" s="926"/>
      <c r="P211" s="926"/>
      <c r="Q211" s="926"/>
      <c r="R211" s="926"/>
      <c r="S211" s="926"/>
      <c r="T211" s="926"/>
      <c r="U211" s="926"/>
      <c r="V211" s="926"/>
      <c r="W211" s="926"/>
      <c r="X211" s="926"/>
      <c r="Y211" s="926"/>
      <c r="Z211" s="926"/>
      <c r="AA211" s="926"/>
      <c r="AB211" s="926"/>
      <c r="AC211" s="926"/>
      <c r="AD211" s="926"/>
      <c r="AE211" s="926"/>
      <c r="AF211" s="926"/>
      <c r="AG211" s="926"/>
      <c r="AH211" s="926"/>
      <c r="AI211" s="926"/>
      <c r="AJ211" s="926"/>
      <c r="AK211" s="926"/>
      <c r="AL211" s="926"/>
      <c r="AM211" s="926"/>
      <c r="AN211" s="926"/>
      <c r="AO211" s="926"/>
      <c r="AP211" s="926"/>
      <c r="AQ211" s="926"/>
      <c r="AR211" s="926"/>
      <c r="AS211" s="926"/>
      <c r="AT211" s="926"/>
      <c r="AU211" s="927"/>
      <c r="AV211" s="927"/>
      <c r="AW211" s="927"/>
      <c r="AX211" s="927"/>
      <c r="AY211" s="927"/>
      <c r="AZ211" s="927"/>
      <c r="BA211" s="927"/>
      <c r="BB211" s="927"/>
      <c r="BC211" s="928"/>
      <c r="BD211" s="929"/>
      <c r="BE211" s="930"/>
      <c r="BF211" s="930"/>
      <c r="BG211" s="931"/>
      <c r="BH211" s="931"/>
      <c r="BI211" s="926"/>
      <c r="BJ211" s="926"/>
      <c r="BK211" s="926"/>
      <c r="BL211" s="926"/>
      <c r="BM211" s="926"/>
      <c r="BN211" s="926"/>
      <c r="BO211" s="926"/>
      <c r="BP211" s="926"/>
      <c r="BQ211" s="926"/>
      <c r="BR211" s="926"/>
      <c r="BS211" s="926"/>
      <c r="BT211" s="926"/>
      <c r="BU211" s="926"/>
      <c r="BV211" s="926"/>
      <c r="BW211" s="926"/>
      <c r="BX211" s="926"/>
      <c r="BY211" s="932"/>
      <c r="BZ211" s="932"/>
      <c r="CA211" s="932"/>
      <c r="CB211" s="932"/>
      <c r="CC211" s="932"/>
      <c r="CD211" s="932"/>
      <c r="CE211" s="932"/>
      <c r="CF211" s="932"/>
    </row>
    <row r="212" spans="1:84" x14ac:dyDescent="0.25">
      <c r="A212" s="876">
        <v>36502</v>
      </c>
      <c r="B212" s="873" t="s">
        <v>1425</v>
      </c>
      <c r="C212" s="921">
        <v>7648977</v>
      </c>
      <c r="D212" s="924">
        <v>4.7076000000000001E-5</v>
      </c>
      <c r="E212" s="925"/>
      <c r="F212" s="926"/>
      <c r="G212" s="926"/>
      <c r="H212" s="926"/>
      <c r="I212" s="926"/>
      <c r="J212" s="926"/>
      <c r="K212" s="926"/>
      <c r="L212" s="926"/>
      <c r="M212" s="926"/>
      <c r="N212" s="926"/>
      <c r="O212" s="926"/>
      <c r="P212" s="926"/>
      <c r="Q212" s="926"/>
      <c r="R212" s="926"/>
      <c r="S212" s="926"/>
      <c r="T212" s="926"/>
      <c r="U212" s="926"/>
      <c r="V212" s="926"/>
      <c r="W212" s="926"/>
      <c r="X212" s="926"/>
      <c r="Y212" s="926"/>
      <c r="Z212" s="926"/>
      <c r="AA212" s="926"/>
      <c r="AB212" s="926"/>
      <c r="AC212" s="926"/>
      <c r="AD212" s="926"/>
      <c r="AE212" s="926"/>
      <c r="AF212" s="926"/>
      <c r="AG212" s="926"/>
      <c r="AH212" s="926"/>
      <c r="AI212" s="926"/>
      <c r="AJ212" s="926"/>
      <c r="AK212" s="926"/>
      <c r="AL212" s="926"/>
      <c r="AM212" s="926"/>
      <c r="AN212" s="926"/>
      <c r="AO212" s="926"/>
      <c r="AP212" s="926"/>
      <c r="AQ212" s="926"/>
      <c r="AR212" s="926"/>
      <c r="AS212" s="926"/>
      <c r="AT212" s="926"/>
      <c r="AU212" s="927"/>
      <c r="AV212" s="927"/>
      <c r="AW212" s="927"/>
      <c r="AX212" s="927"/>
      <c r="AY212" s="927"/>
      <c r="AZ212" s="927"/>
      <c r="BA212" s="927"/>
      <c r="BB212" s="927"/>
      <c r="BC212" s="928"/>
      <c r="BD212" s="929"/>
      <c r="BE212" s="930"/>
      <c r="BF212" s="930"/>
      <c r="BG212" s="931"/>
      <c r="BH212" s="931"/>
      <c r="BI212" s="926"/>
      <c r="BJ212" s="926"/>
      <c r="BK212" s="926"/>
      <c r="BL212" s="926"/>
      <c r="BM212" s="926"/>
      <c r="BN212" s="926"/>
      <c r="BO212" s="926"/>
      <c r="BP212" s="926"/>
      <c r="BQ212" s="926"/>
      <c r="BR212" s="926"/>
      <c r="BS212" s="926"/>
      <c r="BT212" s="926"/>
      <c r="BU212" s="926"/>
      <c r="BV212" s="926"/>
      <c r="BW212" s="926"/>
      <c r="BX212" s="926"/>
      <c r="BY212" s="932"/>
      <c r="BZ212" s="932"/>
      <c r="CA212" s="932"/>
      <c r="CB212" s="932"/>
      <c r="CC212" s="932"/>
      <c r="CD212" s="932"/>
      <c r="CE212" s="932"/>
      <c r="CF212" s="932"/>
    </row>
    <row r="213" spans="1:84" x14ac:dyDescent="0.25">
      <c r="A213" s="876">
        <v>36505</v>
      </c>
      <c r="B213" s="873" t="s">
        <v>1426</v>
      </c>
      <c r="C213" s="921">
        <v>300905547</v>
      </c>
      <c r="D213" s="924">
        <v>1.851941E-3</v>
      </c>
      <c r="E213" s="925"/>
      <c r="F213" s="926"/>
      <c r="G213" s="926"/>
      <c r="H213" s="926"/>
      <c r="I213" s="926"/>
      <c r="J213" s="926"/>
      <c r="K213" s="926"/>
      <c r="L213" s="926"/>
      <c r="M213" s="926"/>
      <c r="N213" s="926"/>
      <c r="O213" s="926"/>
      <c r="P213" s="926"/>
      <c r="Q213" s="926"/>
      <c r="R213" s="926"/>
      <c r="S213" s="926"/>
      <c r="T213" s="926"/>
      <c r="U213" s="926"/>
      <c r="V213" s="926"/>
      <c r="W213" s="926"/>
      <c r="X213" s="926"/>
      <c r="Y213" s="926"/>
      <c r="Z213" s="926"/>
      <c r="AA213" s="926"/>
      <c r="AB213" s="926"/>
      <c r="AC213" s="926"/>
      <c r="AD213" s="926"/>
      <c r="AE213" s="926"/>
      <c r="AF213" s="926"/>
      <c r="AG213" s="926"/>
      <c r="AH213" s="926"/>
      <c r="AI213" s="926"/>
      <c r="AJ213" s="926"/>
      <c r="AK213" s="926"/>
      <c r="AL213" s="926"/>
      <c r="AM213" s="926"/>
      <c r="AN213" s="926"/>
      <c r="AO213" s="926"/>
      <c r="AP213" s="926"/>
      <c r="AQ213" s="926"/>
      <c r="AR213" s="926"/>
      <c r="AS213" s="926"/>
      <c r="AT213" s="926"/>
      <c r="AU213" s="927"/>
      <c r="AV213" s="927"/>
      <c r="AW213" s="927"/>
      <c r="AX213" s="927"/>
      <c r="AY213" s="927"/>
      <c r="AZ213" s="927"/>
      <c r="BA213" s="927"/>
      <c r="BB213" s="927"/>
      <c r="BC213" s="928"/>
      <c r="BD213" s="929"/>
      <c r="BE213" s="930"/>
      <c r="BF213" s="930"/>
      <c r="BG213" s="931"/>
      <c r="BH213" s="931"/>
      <c r="BI213" s="926"/>
      <c r="BJ213" s="926"/>
      <c r="BK213" s="926"/>
      <c r="BL213" s="926"/>
      <c r="BM213" s="926"/>
      <c r="BN213" s="926"/>
      <c r="BO213" s="926"/>
      <c r="BP213" s="926"/>
      <c r="BQ213" s="926"/>
      <c r="BR213" s="926"/>
      <c r="BS213" s="926"/>
      <c r="BT213" s="926"/>
      <c r="BU213" s="926"/>
      <c r="BV213" s="926"/>
      <c r="BW213" s="926"/>
      <c r="BX213" s="926"/>
      <c r="BY213" s="932"/>
      <c r="BZ213" s="932"/>
      <c r="CA213" s="932"/>
      <c r="CB213" s="932"/>
      <c r="CC213" s="932"/>
      <c r="CD213" s="932"/>
      <c r="CE213" s="932"/>
      <c r="CF213" s="932"/>
    </row>
    <row r="214" spans="1:84" x14ac:dyDescent="0.25">
      <c r="A214" s="876">
        <v>36600</v>
      </c>
      <c r="B214" s="873" t="s">
        <v>1427</v>
      </c>
      <c r="C214" s="921">
        <v>110304013</v>
      </c>
      <c r="D214" s="924">
        <v>6.7887299999999998E-4</v>
      </c>
      <c r="E214" s="925"/>
      <c r="F214" s="926"/>
      <c r="G214" s="926"/>
      <c r="H214" s="926"/>
      <c r="I214" s="926"/>
      <c r="J214" s="926"/>
      <c r="K214" s="926"/>
      <c r="L214" s="926"/>
      <c r="M214" s="926"/>
      <c r="N214" s="926"/>
      <c r="O214" s="926"/>
      <c r="P214" s="926"/>
      <c r="Q214" s="926"/>
      <c r="R214" s="926"/>
      <c r="S214" s="926"/>
      <c r="T214" s="926"/>
      <c r="U214" s="926"/>
      <c r="V214" s="926"/>
      <c r="W214" s="926"/>
      <c r="X214" s="926"/>
      <c r="Y214" s="926"/>
      <c r="Z214" s="926"/>
      <c r="AA214" s="926"/>
      <c r="AB214" s="926"/>
      <c r="AC214" s="926"/>
      <c r="AD214" s="926"/>
      <c r="AE214" s="926"/>
      <c r="AF214" s="926"/>
      <c r="AG214" s="926"/>
      <c r="AH214" s="926"/>
      <c r="AI214" s="926"/>
      <c r="AJ214" s="926"/>
      <c r="AK214" s="926"/>
      <c r="AL214" s="926"/>
      <c r="AM214" s="926"/>
      <c r="AN214" s="926"/>
      <c r="AO214" s="926"/>
      <c r="AP214" s="926"/>
      <c r="AQ214" s="926"/>
      <c r="AR214" s="926"/>
      <c r="AS214" s="926"/>
      <c r="AT214" s="926"/>
      <c r="AU214" s="927"/>
      <c r="AV214" s="927"/>
      <c r="AW214" s="927"/>
      <c r="AX214" s="927"/>
      <c r="AY214" s="927"/>
      <c r="AZ214" s="927"/>
      <c r="BA214" s="927"/>
      <c r="BB214" s="927"/>
      <c r="BC214" s="928"/>
      <c r="BD214" s="929"/>
      <c r="BE214" s="930"/>
      <c r="BF214" s="930"/>
      <c r="BG214" s="931"/>
      <c r="BH214" s="931"/>
      <c r="BI214" s="926"/>
      <c r="BJ214" s="926"/>
      <c r="BK214" s="926"/>
      <c r="BL214" s="926"/>
      <c r="BM214" s="926"/>
      <c r="BN214" s="926"/>
      <c r="BO214" s="926"/>
      <c r="BP214" s="926"/>
      <c r="BQ214" s="926"/>
      <c r="BR214" s="926"/>
      <c r="BS214" s="926"/>
      <c r="BT214" s="926"/>
      <c r="BU214" s="926"/>
      <c r="BV214" s="926"/>
      <c r="BW214" s="926"/>
      <c r="BX214" s="926"/>
      <c r="BY214" s="932"/>
      <c r="BZ214" s="932"/>
      <c r="CA214" s="932"/>
      <c r="CB214" s="932"/>
      <c r="CC214" s="932"/>
      <c r="CD214" s="932"/>
      <c r="CE214" s="932"/>
      <c r="CF214" s="932"/>
    </row>
    <row r="215" spans="1:84" x14ac:dyDescent="0.25">
      <c r="A215" s="876">
        <v>36601</v>
      </c>
      <c r="B215" s="873" t="s">
        <v>1428</v>
      </c>
      <c r="C215" s="921">
        <v>70339234</v>
      </c>
      <c r="D215" s="924">
        <v>4.3290700000000001E-4</v>
      </c>
      <c r="E215" s="925"/>
      <c r="F215" s="926"/>
      <c r="G215" s="926"/>
      <c r="H215" s="926"/>
      <c r="I215" s="926"/>
      <c r="J215" s="926"/>
      <c r="K215" s="926"/>
      <c r="L215" s="926"/>
      <c r="M215" s="926"/>
      <c r="N215" s="926"/>
      <c r="O215" s="926"/>
      <c r="P215" s="926"/>
      <c r="Q215" s="926"/>
      <c r="R215" s="926"/>
      <c r="S215" s="926"/>
      <c r="T215" s="926"/>
      <c r="U215" s="926"/>
      <c r="V215" s="926"/>
      <c r="W215" s="926"/>
      <c r="X215" s="926"/>
      <c r="Y215" s="926"/>
      <c r="Z215" s="926"/>
      <c r="AA215" s="926"/>
      <c r="AB215" s="926"/>
      <c r="AC215" s="926"/>
      <c r="AD215" s="926"/>
      <c r="AE215" s="926"/>
      <c r="AF215" s="926"/>
      <c r="AG215" s="926"/>
      <c r="AH215" s="926"/>
      <c r="AI215" s="926"/>
      <c r="AJ215" s="926"/>
      <c r="AK215" s="926"/>
      <c r="AL215" s="926"/>
      <c r="AM215" s="926"/>
      <c r="AN215" s="926"/>
      <c r="AO215" s="926"/>
      <c r="AP215" s="926"/>
      <c r="AQ215" s="926"/>
      <c r="AR215" s="926"/>
      <c r="AS215" s="926"/>
      <c r="AT215" s="926"/>
      <c r="AU215" s="927"/>
      <c r="AV215" s="927"/>
      <c r="AW215" s="927"/>
      <c r="AX215" s="927"/>
      <c r="AY215" s="927"/>
      <c r="AZ215" s="927"/>
      <c r="BA215" s="927"/>
      <c r="BB215" s="927"/>
      <c r="BC215" s="928"/>
      <c r="BD215" s="929"/>
      <c r="BE215" s="930"/>
      <c r="BF215" s="930"/>
      <c r="BG215" s="931"/>
      <c r="BH215" s="931"/>
      <c r="BI215" s="926"/>
      <c r="BJ215" s="926"/>
      <c r="BK215" s="926"/>
      <c r="BL215" s="926"/>
      <c r="BM215" s="926"/>
      <c r="BN215" s="926"/>
      <c r="BO215" s="926"/>
      <c r="BP215" s="926"/>
      <c r="BQ215" s="926"/>
      <c r="BR215" s="926"/>
      <c r="BS215" s="926"/>
      <c r="BT215" s="926"/>
      <c r="BU215" s="926"/>
      <c r="BV215" s="926"/>
      <c r="BW215" s="926"/>
      <c r="BX215" s="926"/>
      <c r="BY215" s="932"/>
      <c r="BZ215" s="932"/>
      <c r="CA215" s="932"/>
      <c r="CB215" s="932"/>
      <c r="CC215" s="932"/>
      <c r="CD215" s="932"/>
      <c r="CE215" s="932"/>
      <c r="CF215" s="932"/>
    </row>
    <row r="216" spans="1:84" x14ac:dyDescent="0.25">
      <c r="A216" s="876">
        <v>36700</v>
      </c>
      <c r="B216" s="873" t="s">
        <v>1429</v>
      </c>
      <c r="C216" s="921">
        <v>1358988941</v>
      </c>
      <c r="D216" s="924">
        <v>8.3639790000000006E-3</v>
      </c>
      <c r="E216" s="925"/>
      <c r="F216" s="926"/>
      <c r="G216" s="926"/>
      <c r="H216" s="926"/>
      <c r="I216" s="926"/>
      <c r="J216" s="926"/>
      <c r="K216" s="926"/>
      <c r="L216" s="926"/>
      <c r="M216" s="926"/>
      <c r="N216" s="926"/>
      <c r="O216" s="926"/>
      <c r="P216" s="926"/>
      <c r="Q216" s="926"/>
      <c r="R216" s="926"/>
      <c r="S216" s="926"/>
      <c r="T216" s="926"/>
      <c r="U216" s="926"/>
      <c r="V216" s="926"/>
      <c r="W216" s="926"/>
      <c r="X216" s="926"/>
      <c r="Y216" s="926"/>
      <c r="Z216" s="926"/>
      <c r="AA216" s="926"/>
      <c r="AB216" s="926"/>
      <c r="AC216" s="926"/>
      <c r="AD216" s="926"/>
      <c r="AE216" s="926"/>
      <c r="AF216" s="926"/>
      <c r="AG216" s="926"/>
      <c r="AH216" s="926"/>
      <c r="AI216" s="926"/>
      <c r="AJ216" s="926"/>
      <c r="AK216" s="926"/>
      <c r="AL216" s="926"/>
      <c r="AM216" s="926"/>
      <c r="AN216" s="926"/>
      <c r="AO216" s="926"/>
      <c r="AP216" s="926"/>
      <c r="AQ216" s="926"/>
      <c r="AR216" s="926"/>
      <c r="AS216" s="926"/>
      <c r="AT216" s="926"/>
      <c r="AU216" s="927"/>
      <c r="AV216" s="927"/>
      <c r="AW216" s="927"/>
      <c r="AX216" s="927"/>
      <c r="AY216" s="927"/>
      <c r="AZ216" s="927"/>
      <c r="BA216" s="927"/>
      <c r="BB216" s="927"/>
      <c r="BC216" s="928"/>
      <c r="BD216" s="929"/>
      <c r="BE216" s="930"/>
      <c r="BF216" s="930"/>
      <c r="BG216" s="931"/>
      <c r="BH216" s="931"/>
      <c r="BI216" s="926"/>
      <c r="BJ216" s="926"/>
      <c r="BK216" s="926"/>
      <c r="BL216" s="926"/>
      <c r="BM216" s="926"/>
      <c r="BN216" s="926"/>
      <c r="BO216" s="926"/>
      <c r="BP216" s="926"/>
      <c r="BQ216" s="926"/>
      <c r="BR216" s="926"/>
      <c r="BS216" s="926"/>
      <c r="BT216" s="926"/>
      <c r="BU216" s="926"/>
      <c r="BV216" s="926"/>
      <c r="BW216" s="926"/>
      <c r="BX216" s="926"/>
      <c r="BY216" s="932"/>
      <c r="BZ216" s="932"/>
      <c r="CA216" s="932"/>
      <c r="CB216" s="932"/>
      <c r="CC216" s="932"/>
      <c r="CD216" s="932"/>
      <c r="CE216" s="932"/>
      <c r="CF216" s="932"/>
    </row>
    <row r="217" spans="1:84" x14ac:dyDescent="0.25">
      <c r="A217" s="876">
        <v>36701</v>
      </c>
      <c r="B217" s="873" t="s">
        <v>1430</v>
      </c>
      <c r="C217" s="921">
        <v>4699026</v>
      </c>
      <c r="D217" s="924">
        <v>2.8920000000000001E-5</v>
      </c>
      <c r="E217" s="925"/>
      <c r="F217" s="926"/>
      <c r="G217" s="926"/>
      <c r="H217" s="926"/>
      <c r="I217" s="926"/>
      <c r="J217" s="926"/>
      <c r="K217" s="926"/>
      <c r="L217" s="926"/>
      <c r="M217" s="926"/>
      <c r="N217" s="926"/>
      <c r="O217" s="926"/>
      <c r="P217" s="926"/>
      <c r="Q217" s="926"/>
      <c r="R217" s="926"/>
      <c r="S217" s="926"/>
      <c r="T217" s="926"/>
      <c r="U217" s="926"/>
      <c r="V217" s="926"/>
      <c r="W217" s="926"/>
      <c r="X217" s="926"/>
      <c r="Y217" s="926"/>
      <c r="Z217" s="926"/>
      <c r="AA217" s="926"/>
      <c r="AB217" s="926"/>
      <c r="AC217" s="926"/>
      <c r="AD217" s="926"/>
      <c r="AE217" s="926"/>
      <c r="AF217" s="926"/>
      <c r="AG217" s="926"/>
      <c r="AH217" s="926"/>
      <c r="AI217" s="926"/>
      <c r="AJ217" s="926"/>
      <c r="AK217" s="926"/>
      <c r="AL217" s="926"/>
      <c r="AM217" s="926"/>
      <c r="AN217" s="926"/>
      <c r="AO217" s="926"/>
      <c r="AP217" s="926"/>
      <c r="AQ217" s="926"/>
      <c r="AR217" s="926"/>
      <c r="AS217" s="926"/>
      <c r="AT217" s="926"/>
      <c r="AU217" s="927"/>
      <c r="AV217" s="927"/>
      <c r="AW217" s="927"/>
      <c r="AX217" s="927"/>
      <c r="AY217" s="927"/>
      <c r="AZ217" s="927"/>
      <c r="BA217" s="927"/>
      <c r="BB217" s="927"/>
      <c r="BC217" s="928"/>
      <c r="BD217" s="929"/>
      <c r="BE217" s="930"/>
      <c r="BF217" s="930"/>
      <c r="BG217" s="931"/>
      <c r="BH217" s="931"/>
      <c r="BI217" s="926"/>
      <c r="BJ217" s="926"/>
      <c r="BK217" s="926"/>
      <c r="BL217" s="926"/>
      <c r="BM217" s="926"/>
      <c r="BN217" s="926"/>
      <c r="BO217" s="926"/>
      <c r="BP217" s="926"/>
      <c r="BQ217" s="926"/>
      <c r="BR217" s="926"/>
      <c r="BS217" s="926"/>
      <c r="BT217" s="926"/>
      <c r="BU217" s="926"/>
      <c r="BV217" s="926"/>
      <c r="BW217" s="926"/>
      <c r="BX217" s="926"/>
      <c r="BY217" s="932"/>
      <c r="BZ217" s="932"/>
      <c r="CA217" s="932"/>
      <c r="CB217" s="932"/>
      <c r="CC217" s="932"/>
      <c r="CD217" s="932"/>
      <c r="CE217" s="932"/>
      <c r="CF217" s="932"/>
    </row>
    <row r="218" spans="1:84" x14ac:dyDescent="0.25">
      <c r="A218" s="876">
        <v>36705</v>
      </c>
      <c r="B218" s="873" t="s">
        <v>1431</v>
      </c>
      <c r="C218" s="921">
        <v>158647860</v>
      </c>
      <c r="D218" s="924">
        <v>9.7640800000000001E-4</v>
      </c>
      <c r="E218" s="925"/>
      <c r="F218" s="926"/>
      <c r="G218" s="926"/>
      <c r="H218" s="926"/>
      <c r="I218" s="926"/>
      <c r="J218" s="926"/>
      <c r="K218" s="926"/>
      <c r="L218" s="926"/>
      <c r="M218" s="926"/>
      <c r="N218" s="926"/>
      <c r="O218" s="926"/>
      <c r="P218" s="926"/>
      <c r="Q218" s="926"/>
      <c r="R218" s="926"/>
      <c r="S218" s="926"/>
      <c r="T218" s="926"/>
      <c r="U218" s="926"/>
      <c r="V218" s="926"/>
      <c r="W218" s="926"/>
      <c r="X218" s="926"/>
      <c r="Y218" s="926"/>
      <c r="Z218" s="926"/>
      <c r="AA218" s="926"/>
      <c r="AB218" s="926"/>
      <c r="AC218" s="926"/>
      <c r="AD218" s="926"/>
      <c r="AE218" s="926"/>
      <c r="AF218" s="926"/>
      <c r="AG218" s="926"/>
      <c r="AH218" s="926"/>
      <c r="AI218" s="926"/>
      <c r="AJ218" s="926"/>
      <c r="AK218" s="926"/>
      <c r="AL218" s="926"/>
      <c r="AM218" s="926"/>
      <c r="AN218" s="926"/>
      <c r="AO218" s="926"/>
      <c r="AP218" s="926"/>
      <c r="AQ218" s="926"/>
      <c r="AR218" s="926"/>
      <c r="AS218" s="926"/>
      <c r="AT218" s="926"/>
      <c r="AU218" s="927"/>
      <c r="AV218" s="927"/>
      <c r="AW218" s="927"/>
      <c r="AX218" s="927"/>
      <c r="AY218" s="927"/>
      <c r="AZ218" s="927"/>
      <c r="BA218" s="927"/>
      <c r="BB218" s="927"/>
      <c r="BC218" s="928"/>
      <c r="BD218" s="929"/>
      <c r="BE218" s="930"/>
      <c r="BF218" s="930"/>
      <c r="BG218" s="931"/>
      <c r="BH218" s="931"/>
      <c r="BI218" s="926"/>
      <c r="BJ218" s="926"/>
      <c r="BK218" s="926"/>
      <c r="BL218" s="926"/>
      <c r="BM218" s="926"/>
      <c r="BN218" s="926"/>
      <c r="BO218" s="926"/>
      <c r="BP218" s="926"/>
      <c r="BQ218" s="926"/>
      <c r="BR218" s="926"/>
      <c r="BS218" s="926"/>
      <c r="BT218" s="926"/>
      <c r="BU218" s="926"/>
      <c r="BV218" s="926"/>
      <c r="BW218" s="926"/>
      <c r="BX218" s="926"/>
      <c r="BY218" s="932"/>
      <c r="BZ218" s="932"/>
      <c r="CA218" s="932"/>
      <c r="CB218" s="932"/>
      <c r="CC218" s="932"/>
      <c r="CD218" s="932"/>
      <c r="CE218" s="932"/>
      <c r="CF218" s="932"/>
    </row>
    <row r="219" spans="1:84" x14ac:dyDescent="0.25">
      <c r="A219" s="876">
        <v>36800</v>
      </c>
      <c r="B219" s="873" t="s">
        <v>1432</v>
      </c>
      <c r="C219" s="921">
        <v>518161552</v>
      </c>
      <c r="D219" s="924">
        <v>3.1890569999999999E-3</v>
      </c>
      <c r="E219" s="925"/>
      <c r="F219" s="926"/>
      <c r="G219" s="926"/>
      <c r="H219" s="926"/>
      <c r="I219" s="926"/>
      <c r="J219" s="926"/>
      <c r="K219" s="926"/>
      <c r="L219" s="926"/>
      <c r="M219" s="926"/>
      <c r="N219" s="926"/>
      <c r="O219" s="926"/>
      <c r="P219" s="926"/>
      <c r="Q219" s="926"/>
      <c r="R219" s="926"/>
      <c r="S219" s="926"/>
      <c r="T219" s="926"/>
      <c r="U219" s="926"/>
      <c r="V219" s="926"/>
      <c r="W219" s="926"/>
      <c r="X219" s="926"/>
      <c r="Y219" s="926"/>
      <c r="Z219" s="926"/>
      <c r="AA219" s="926"/>
      <c r="AB219" s="926"/>
      <c r="AC219" s="926"/>
      <c r="AD219" s="926"/>
      <c r="AE219" s="926"/>
      <c r="AF219" s="926"/>
      <c r="AG219" s="926"/>
      <c r="AH219" s="926"/>
      <c r="AI219" s="926"/>
      <c r="AJ219" s="926"/>
      <c r="AK219" s="926"/>
      <c r="AL219" s="926"/>
      <c r="AM219" s="926"/>
      <c r="AN219" s="926"/>
      <c r="AO219" s="926"/>
      <c r="AP219" s="926"/>
      <c r="AQ219" s="926"/>
      <c r="AR219" s="926"/>
      <c r="AS219" s="926"/>
      <c r="AT219" s="926"/>
      <c r="AU219" s="927"/>
      <c r="AV219" s="927"/>
      <c r="AW219" s="927"/>
      <c r="AX219" s="927"/>
      <c r="AY219" s="927"/>
      <c r="AZ219" s="927"/>
      <c r="BA219" s="927"/>
      <c r="BB219" s="927"/>
      <c r="BC219" s="928"/>
      <c r="BD219" s="929"/>
      <c r="BE219" s="930"/>
      <c r="BF219" s="930"/>
      <c r="BG219" s="931"/>
      <c r="BH219" s="931"/>
      <c r="BI219" s="926"/>
      <c r="BJ219" s="926"/>
      <c r="BK219" s="926"/>
      <c r="BL219" s="926"/>
      <c r="BM219" s="926"/>
      <c r="BN219" s="926"/>
      <c r="BO219" s="926"/>
      <c r="BP219" s="926"/>
      <c r="BQ219" s="926"/>
      <c r="BR219" s="926"/>
      <c r="BS219" s="926"/>
      <c r="BT219" s="926"/>
      <c r="BU219" s="926"/>
      <c r="BV219" s="926"/>
      <c r="BW219" s="926"/>
      <c r="BX219" s="926"/>
      <c r="BY219" s="932"/>
      <c r="BZ219" s="932"/>
      <c r="CA219" s="932"/>
      <c r="CB219" s="932"/>
      <c r="CC219" s="932"/>
      <c r="CD219" s="932"/>
      <c r="CE219" s="932"/>
      <c r="CF219" s="932"/>
    </row>
    <row r="220" spans="1:84" x14ac:dyDescent="0.25">
      <c r="A220" s="876">
        <v>36802</v>
      </c>
      <c r="B220" s="873" t="s">
        <v>1433</v>
      </c>
      <c r="C220" s="921">
        <v>27691437</v>
      </c>
      <c r="D220" s="924">
        <v>1.7042899999999999E-4</v>
      </c>
      <c r="E220" s="925"/>
      <c r="F220" s="926"/>
      <c r="G220" s="926"/>
      <c r="H220" s="926"/>
      <c r="I220" s="926"/>
      <c r="J220" s="926"/>
      <c r="K220" s="926"/>
      <c r="L220" s="926"/>
      <c r="M220" s="926"/>
      <c r="N220" s="926"/>
      <c r="O220" s="926"/>
      <c r="P220" s="926"/>
      <c r="Q220" s="926"/>
      <c r="R220" s="926"/>
      <c r="S220" s="926"/>
      <c r="T220" s="926"/>
      <c r="U220" s="926"/>
      <c r="V220" s="926"/>
      <c r="W220" s="926"/>
      <c r="X220" s="926"/>
      <c r="Y220" s="926"/>
      <c r="Z220" s="926"/>
      <c r="AA220" s="926"/>
      <c r="AB220" s="926"/>
      <c r="AC220" s="926"/>
      <c r="AD220" s="926"/>
      <c r="AE220" s="926"/>
      <c r="AF220" s="926"/>
      <c r="AG220" s="926"/>
      <c r="AH220" s="926"/>
      <c r="AI220" s="926"/>
      <c r="AJ220" s="926"/>
      <c r="AK220" s="926"/>
      <c r="AL220" s="926"/>
      <c r="AM220" s="926"/>
      <c r="AN220" s="926"/>
      <c r="AO220" s="926"/>
      <c r="AP220" s="926"/>
      <c r="AQ220" s="926"/>
      <c r="AR220" s="926"/>
      <c r="AS220" s="926"/>
      <c r="AT220" s="926"/>
      <c r="AU220" s="927"/>
      <c r="AV220" s="927"/>
      <c r="AW220" s="927"/>
      <c r="AX220" s="927"/>
      <c r="AY220" s="927"/>
      <c r="AZ220" s="927"/>
      <c r="BA220" s="927"/>
      <c r="BB220" s="927"/>
      <c r="BC220" s="928"/>
      <c r="BD220" s="929"/>
      <c r="BE220" s="930"/>
      <c r="BF220" s="930"/>
      <c r="BG220" s="931"/>
      <c r="BH220" s="931"/>
      <c r="BI220" s="926"/>
      <c r="BJ220" s="926"/>
      <c r="BK220" s="926"/>
      <c r="BL220" s="926"/>
      <c r="BM220" s="926"/>
      <c r="BN220" s="926"/>
      <c r="BO220" s="926"/>
      <c r="BP220" s="926"/>
      <c r="BQ220" s="926"/>
      <c r="BR220" s="926"/>
      <c r="BS220" s="926"/>
      <c r="BT220" s="926"/>
      <c r="BU220" s="926"/>
      <c r="BV220" s="926"/>
      <c r="BW220" s="926"/>
      <c r="BX220" s="926"/>
      <c r="BY220" s="932"/>
      <c r="BZ220" s="932"/>
      <c r="CA220" s="932"/>
      <c r="CB220" s="932"/>
      <c r="CC220" s="932"/>
      <c r="CD220" s="932"/>
      <c r="CE220" s="932"/>
      <c r="CF220" s="932"/>
    </row>
    <row r="221" spans="1:84" x14ac:dyDescent="0.25">
      <c r="A221" s="876">
        <v>36810</v>
      </c>
      <c r="B221" s="873" t="s">
        <v>1434</v>
      </c>
      <c r="C221" s="921">
        <v>978171192</v>
      </c>
      <c r="D221" s="924">
        <v>6.0202140000000003E-3</v>
      </c>
      <c r="E221" s="925"/>
      <c r="F221" s="926"/>
      <c r="G221" s="926"/>
      <c r="H221" s="926"/>
      <c r="I221" s="926"/>
      <c r="J221" s="926"/>
      <c r="K221" s="926"/>
      <c r="L221" s="926"/>
      <c r="M221" s="926"/>
      <c r="N221" s="926"/>
      <c r="O221" s="926"/>
      <c r="P221" s="926"/>
      <c r="Q221" s="926"/>
      <c r="R221" s="926"/>
      <c r="S221" s="926"/>
      <c r="T221" s="926"/>
      <c r="U221" s="926"/>
      <c r="V221" s="926"/>
      <c r="W221" s="926"/>
      <c r="X221" s="926"/>
      <c r="Y221" s="926"/>
      <c r="Z221" s="926"/>
      <c r="AA221" s="926"/>
      <c r="AB221" s="926"/>
      <c r="AC221" s="926"/>
      <c r="AD221" s="926"/>
      <c r="AE221" s="926"/>
      <c r="AF221" s="926"/>
      <c r="AG221" s="926"/>
      <c r="AH221" s="926"/>
      <c r="AI221" s="926"/>
      <c r="AJ221" s="926"/>
      <c r="AK221" s="926"/>
      <c r="AL221" s="926"/>
      <c r="AM221" s="926"/>
      <c r="AN221" s="926"/>
      <c r="AO221" s="926"/>
      <c r="AP221" s="926"/>
      <c r="AQ221" s="926"/>
      <c r="AR221" s="926"/>
      <c r="AS221" s="926"/>
      <c r="AT221" s="926"/>
      <c r="AU221" s="927"/>
      <c r="AV221" s="927"/>
      <c r="AW221" s="927"/>
      <c r="AX221" s="927"/>
      <c r="AY221" s="927"/>
      <c r="AZ221" s="927"/>
      <c r="BA221" s="927"/>
      <c r="BB221" s="927"/>
      <c r="BC221" s="928"/>
      <c r="BD221" s="929"/>
      <c r="BE221" s="930"/>
      <c r="BF221" s="930"/>
      <c r="BG221" s="931"/>
      <c r="BH221" s="931"/>
      <c r="BI221" s="926"/>
      <c r="BJ221" s="926"/>
      <c r="BK221" s="926"/>
      <c r="BL221" s="926"/>
      <c r="BM221" s="926"/>
      <c r="BN221" s="926"/>
      <c r="BO221" s="926"/>
      <c r="BP221" s="926"/>
      <c r="BQ221" s="926"/>
      <c r="BR221" s="926"/>
      <c r="BS221" s="926"/>
      <c r="BT221" s="926"/>
      <c r="BU221" s="926"/>
      <c r="BV221" s="926"/>
      <c r="BW221" s="926"/>
      <c r="BX221" s="926"/>
      <c r="BY221" s="932"/>
      <c r="BZ221" s="932"/>
      <c r="CA221" s="932"/>
      <c r="CB221" s="932"/>
      <c r="CC221" s="932"/>
      <c r="CD221" s="932"/>
      <c r="CE221" s="932"/>
      <c r="CF221" s="932"/>
    </row>
    <row r="222" spans="1:84" x14ac:dyDescent="0.25">
      <c r="A222" s="876">
        <v>36900</v>
      </c>
      <c r="B222" s="873" t="s">
        <v>1435</v>
      </c>
      <c r="C222" s="921">
        <v>91932026</v>
      </c>
      <c r="D222" s="924">
        <v>5.65801E-4</v>
      </c>
      <c r="E222" s="925"/>
      <c r="F222" s="926"/>
      <c r="G222" s="926"/>
      <c r="H222" s="926"/>
      <c r="I222" s="926"/>
      <c r="J222" s="926"/>
      <c r="K222" s="926"/>
      <c r="L222" s="926"/>
      <c r="M222" s="926"/>
      <c r="N222" s="926"/>
      <c r="O222" s="926"/>
      <c r="P222" s="926"/>
      <c r="Q222" s="926"/>
      <c r="R222" s="926"/>
      <c r="S222" s="926"/>
      <c r="T222" s="926"/>
      <c r="U222" s="926"/>
      <c r="V222" s="926"/>
      <c r="W222" s="926"/>
      <c r="X222" s="926"/>
      <c r="Y222" s="926"/>
      <c r="Z222" s="926"/>
      <c r="AA222" s="926"/>
      <c r="AB222" s="926"/>
      <c r="AC222" s="926"/>
      <c r="AD222" s="926"/>
      <c r="AE222" s="926"/>
      <c r="AF222" s="926"/>
      <c r="AG222" s="926"/>
      <c r="AH222" s="926"/>
      <c r="AI222" s="926"/>
      <c r="AJ222" s="926"/>
      <c r="AK222" s="926"/>
      <c r="AL222" s="926"/>
      <c r="AM222" s="926"/>
      <c r="AN222" s="926"/>
      <c r="AO222" s="926"/>
      <c r="AP222" s="926"/>
      <c r="AQ222" s="926"/>
      <c r="AR222" s="926"/>
      <c r="AS222" s="926"/>
      <c r="AT222" s="926"/>
      <c r="AU222" s="927"/>
      <c r="AV222" s="927"/>
      <c r="AW222" s="927"/>
      <c r="AX222" s="927"/>
      <c r="AY222" s="927"/>
      <c r="AZ222" s="927"/>
      <c r="BA222" s="927"/>
      <c r="BB222" s="927"/>
      <c r="BC222" s="928"/>
      <c r="BD222" s="929"/>
      <c r="BE222" s="930"/>
      <c r="BF222" s="930"/>
      <c r="BG222" s="931"/>
      <c r="BH222" s="931"/>
      <c r="BI222" s="926"/>
      <c r="BJ222" s="926"/>
      <c r="BK222" s="926"/>
      <c r="BL222" s="926"/>
      <c r="BM222" s="926"/>
      <c r="BN222" s="926"/>
      <c r="BO222" s="926"/>
      <c r="BP222" s="926"/>
      <c r="BQ222" s="926"/>
      <c r="BR222" s="926"/>
      <c r="BS222" s="926"/>
      <c r="BT222" s="926"/>
      <c r="BU222" s="926"/>
      <c r="BV222" s="926"/>
      <c r="BW222" s="926"/>
      <c r="BX222" s="926"/>
      <c r="BY222" s="932"/>
      <c r="BZ222" s="932"/>
      <c r="CA222" s="932"/>
      <c r="CB222" s="932"/>
      <c r="CC222" s="932"/>
      <c r="CD222" s="932"/>
      <c r="CE222" s="932"/>
      <c r="CF222" s="932"/>
    </row>
    <row r="223" spans="1:84" x14ac:dyDescent="0.25">
      <c r="A223" s="876">
        <v>36901</v>
      </c>
      <c r="B223" s="873" t="s">
        <v>1436</v>
      </c>
      <c r="C223" s="921">
        <v>33721204</v>
      </c>
      <c r="D223" s="924">
        <v>2.0753899999999999E-4</v>
      </c>
      <c r="E223" s="925"/>
      <c r="F223" s="926"/>
      <c r="G223" s="926"/>
      <c r="H223" s="926"/>
      <c r="I223" s="926"/>
      <c r="J223" s="926"/>
      <c r="K223" s="926"/>
      <c r="L223" s="926"/>
      <c r="M223" s="926"/>
      <c r="N223" s="926"/>
      <c r="O223" s="926"/>
      <c r="P223" s="926"/>
      <c r="Q223" s="926"/>
      <c r="R223" s="926"/>
      <c r="S223" s="926"/>
      <c r="T223" s="926"/>
      <c r="U223" s="926"/>
      <c r="V223" s="926"/>
      <c r="W223" s="926"/>
      <c r="X223" s="926"/>
      <c r="Y223" s="926"/>
      <c r="Z223" s="926"/>
      <c r="AA223" s="926"/>
      <c r="AB223" s="926"/>
      <c r="AC223" s="926"/>
      <c r="AD223" s="926"/>
      <c r="AE223" s="926"/>
      <c r="AF223" s="926"/>
      <c r="AG223" s="926"/>
      <c r="AH223" s="926"/>
      <c r="AI223" s="926"/>
      <c r="AJ223" s="926"/>
      <c r="AK223" s="926"/>
      <c r="AL223" s="926"/>
      <c r="AM223" s="926"/>
      <c r="AN223" s="926"/>
      <c r="AO223" s="926"/>
      <c r="AP223" s="926"/>
      <c r="AQ223" s="926"/>
      <c r="AR223" s="926"/>
      <c r="AS223" s="926"/>
      <c r="AT223" s="926"/>
      <c r="AU223" s="927"/>
      <c r="AV223" s="927"/>
      <c r="AW223" s="927"/>
      <c r="AX223" s="927"/>
      <c r="AY223" s="927"/>
      <c r="AZ223" s="927"/>
      <c r="BA223" s="927"/>
      <c r="BB223" s="927"/>
      <c r="BC223" s="928"/>
      <c r="BD223" s="929"/>
      <c r="BE223" s="930"/>
      <c r="BF223" s="930"/>
      <c r="BG223" s="931"/>
      <c r="BH223" s="931"/>
      <c r="BI223" s="926"/>
      <c r="BJ223" s="926"/>
      <c r="BK223" s="926"/>
      <c r="BL223" s="926"/>
      <c r="BM223" s="926"/>
      <c r="BN223" s="926"/>
      <c r="BO223" s="926"/>
      <c r="BP223" s="926"/>
      <c r="BQ223" s="926"/>
      <c r="BR223" s="926"/>
      <c r="BS223" s="926"/>
      <c r="BT223" s="926"/>
      <c r="BU223" s="926"/>
      <c r="BV223" s="926"/>
      <c r="BW223" s="926"/>
      <c r="BX223" s="926"/>
      <c r="BY223" s="932"/>
      <c r="BZ223" s="932"/>
      <c r="CA223" s="932"/>
      <c r="CB223" s="932"/>
      <c r="CC223" s="932"/>
      <c r="CD223" s="932"/>
      <c r="CE223" s="932"/>
      <c r="CF223" s="932"/>
    </row>
    <row r="224" spans="1:84" x14ac:dyDescent="0.25">
      <c r="A224" s="876">
        <v>36905</v>
      </c>
      <c r="B224" s="873" t="s">
        <v>1437</v>
      </c>
      <c r="C224" s="921">
        <v>31006780</v>
      </c>
      <c r="D224" s="924">
        <v>1.9083300000000001E-4</v>
      </c>
      <c r="E224" s="925"/>
      <c r="F224" s="926"/>
      <c r="G224" s="926"/>
      <c r="H224" s="926"/>
      <c r="I224" s="926"/>
      <c r="J224" s="926"/>
      <c r="K224" s="926"/>
      <c r="L224" s="926"/>
      <c r="M224" s="926"/>
      <c r="N224" s="926"/>
      <c r="O224" s="926"/>
      <c r="P224" s="926"/>
      <c r="Q224" s="926"/>
      <c r="R224" s="926"/>
      <c r="S224" s="926"/>
      <c r="T224" s="926"/>
      <c r="U224" s="926"/>
      <c r="V224" s="926"/>
      <c r="W224" s="926"/>
      <c r="X224" s="926"/>
      <c r="Y224" s="926"/>
      <c r="Z224" s="926"/>
      <c r="AA224" s="926"/>
      <c r="AB224" s="926"/>
      <c r="AC224" s="926"/>
      <c r="AD224" s="926"/>
      <c r="AE224" s="926"/>
      <c r="AF224" s="926"/>
      <c r="AG224" s="926"/>
      <c r="AH224" s="926"/>
      <c r="AI224" s="926"/>
      <c r="AJ224" s="926"/>
      <c r="AK224" s="926"/>
      <c r="AL224" s="926"/>
      <c r="AM224" s="926"/>
      <c r="AN224" s="926"/>
      <c r="AO224" s="926"/>
      <c r="AP224" s="926"/>
      <c r="AQ224" s="926"/>
      <c r="AR224" s="926"/>
      <c r="AS224" s="926"/>
      <c r="AT224" s="926"/>
      <c r="AU224" s="927"/>
      <c r="AV224" s="927"/>
      <c r="AW224" s="927"/>
      <c r="AX224" s="927"/>
      <c r="AY224" s="927"/>
      <c r="AZ224" s="927"/>
      <c r="BA224" s="927"/>
      <c r="BB224" s="927"/>
      <c r="BC224" s="928"/>
      <c r="BD224" s="929"/>
      <c r="BE224" s="930"/>
      <c r="BF224" s="930"/>
      <c r="BG224" s="931"/>
      <c r="BH224" s="931"/>
      <c r="BI224" s="926"/>
      <c r="BJ224" s="926"/>
      <c r="BK224" s="926"/>
      <c r="BL224" s="926"/>
      <c r="BM224" s="926"/>
      <c r="BN224" s="926"/>
      <c r="BO224" s="926"/>
      <c r="BP224" s="926"/>
      <c r="BQ224" s="926"/>
      <c r="BR224" s="926"/>
      <c r="BS224" s="926"/>
      <c r="BT224" s="926"/>
      <c r="BU224" s="926"/>
      <c r="BV224" s="926"/>
      <c r="BW224" s="926"/>
      <c r="BX224" s="926"/>
      <c r="BY224" s="932"/>
      <c r="BZ224" s="932"/>
      <c r="CA224" s="932"/>
      <c r="CB224" s="932"/>
      <c r="CC224" s="932"/>
      <c r="CD224" s="932"/>
      <c r="CE224" s="932"/>
      <c r="CF224" s="932"/>
    </row>
    <row r="225" spans="1:84" x14ac:dyDescent="0.25">
      <c r="A225" s="876">
        <v>37000</v>
      </c>
      <c r="B225" s="873" t="s">
        <v>1438</v>
      </c>
      <c r="C225" s="921">
        <v>307457276</v>
      </c>
      <c r="D225" s="924">
        <v>1.8922640000000001E-3</v>
      </c>
      <c r="E225" s="925"/>
      <c r="F225" s="926"/>
      <c r="G225" s="926"/>
      <c r="H225" s="926"/>
      <c r="I225" s="926"/>
      <c r="J225" s="926"/>
      <c r="K225" s="926"/>
      <c r="L225" s="926"/>
      <c r="M225" s="926"/>
      <c r="N225" s="926"/>
      <c r="O225" s="926"/>
      <c r="P225" s="926"/>
      <c r="Q225" s="926"/>
      <c r="R225" s="926"/>
      <c r="S225" s="926"/>
      <c r="T225" s="926"/>
      <c r="U225" s="926"/>
      <c r="V225" s="926"/>
      <c r="W225" s="926"/>
      <c r="X225" s="926"/>
      <c r="Y225" s="926"/>
      <c r="Z225" s="926"/>
      <c r="AA225" s="926"/>
      <c r="AB225" s="926"/>
      <c r="AC225" s="926"/>
      <c r="AD225" s="926"/>
      <c r="AE225" s="926"/>
      <c r="AF225" s="926"/>
      <c r="AG225" s="926"/>
      <c r="AH225" s="926"/>
      <c r="AI225" s="926"/>
      <c r="AJ225" s="926"/>
      <c r="AK225" s="926"/>
      <c r="AL225" s="926"/>
      <c r="AM225" s="926"/>
      <c r="AN225" s="926"/>
      <c r="AO225" s="926"/>
      <c r="AP225" s="926"/>
      <c r="AQ225" s="926"/>
      <c r="AR225" s="926"/>
      <c r="AS225" s="926"/>
      <c r="AT225" s="926"/>
      <c r="AU225" s="927"/>
      <c r="AV225" s="927"/>
      <c r="AW225" s="927"/>
      <c r="AX225" s="927"/>
      <c r="AY225" s="927"/>
      <c r="AZ225" s="927"/>
      <c r="BA225" s="927"/>
      <c r="BB225" s="927"/>
      <c r="BC225" s="928"/>
      <c r="BD225" s="929"/>
      <c r="BE225" s="930"/>
      <c r="BF225" s="930"/>
      <c r="BG225" s="931"/>
      <c r="BH225" s="931"/>
      <c r="BI225" s="926"/>
      <c r="BJ225" s="926"/>
      <c r="BK225" s="926"/>
      <c r="BL225" s="926"/>
      <c r="BM225" s="926"/>
      <c r="BN225" s="926"/>
      <c r="BO225" s="926"/>
      <c r="BP225" s="926"/>
      <c r="BQ225" s="926"/>
      <c r="BR225" s="926"/>
      <c r="BS225" s="926"/>
      <c r="BT225" s="926"/>
      <c r="BU225" s="926"/>
      <c r="BV225" s="926"/>
      <c r="BW225" s="926"/>
      <c r="BX225" s="926"/>
      <c r="BY225" s="932"/>
      <c r="BZ225" s="932"/>
      <c r="CA225" s="932"/>
      <c r="CB225" s="932"/>
      <c r="CC225" s="932"/>
      <c r="CD225" s="932"/>
      <c r="CE225" s="932"/>
      <c r="CF225" s="932"/>
    </row>
    <row r="226" spans="1:84" x14ac:dyDescent="0.25">
      <c r="A226" s="876">
        <v>37001</v>
      </c>
      <c r="B226" s="873" t="s">
        <v>1168</v>
      </c>
      <c r="C226" s="921">
        <v>16618864</v>
      </c>
      <c r="D226" s="924">
        <v>1.0228199999999999E-4</v>
      </c>
      <c r="E226" s="925"/>
      <c r="F226" s="926"/>
      <c r="G226" s="926"/>
      <c r="H226" s="926"/>
      <c r="I226" s="926"/>
      <c r="J226" s="926"/>
      <c r="K226" s="926"/>
      <c r="L226" s="926"/>
      <c r="M226" s="926"/>
      <c r="N226" s="926"/>
      <c r="O226" s="926"/>
      <c r="P226" s="926"/>
      <c r="Q226" s="926"/>
      <c r="R226" s="926"/>
      <c r="S226" s="926"/>
      <c r="T226" s="926"/>
      <c r="U226" s="926"/>
      <c r="V226" s="926"/>
      <c r="W226" s="926"/>
      <c r="X226" s="926"/>
      <c r="Y226" s="926"/>
      <c r="Z226" s="926"/>
      <c r="AA226" s="926"/>
      <c r="AB226" s="926"/>
      <c r="AC226" s="926"/>
      <c r="AD226" s="926"/>
      <c r="AE226" s="926"/>
      <c r="AF226" s="926"/>
      <c r="AG226" s="926"/>
      <c r="AH226" s="926"/>
      <c r="AI226" s="926"/>
      <c r="AJ226" s="926"/>
      <c r="AK226" s="926"/>
      <c r="AL226" s="926"/>
      <c r="AM226" s="926"/>
      <c r="AN226" s="926"/>
      <c r="AO226" s="926"/>
      <c r="AP226" s="926"/>
      <c r="AQ226" s="926"/>
      <c r="AR226" s="926"/>
      <c r="AS226" s="926"/>
      <c r="AT226" s="926"/>
      <c r="AU226" s="927"/>
      <c r="AV226" s="927"/>
      <c r="AW226" s="927"/>
      <c r="AX226" s="927"/>
      <c r="AY226" s="927"/>
      <c r="AZ226" s="927"/>
      <c r="BA226" s="927"/>
      <c r="BB226" s="927"/>
      <c r="BC226" s="928"/>
      <c r="BD226" s="929"/>
      <c r="BE226" s="930"/>
      <c r="BF226" s="930"/>
      <c r="BG226" s="931"/>
      <c r="BH226" s="931"/>
      <c r="BI226" s="926"/>
      <c r="BJ226" s="926"/>
      <c r="BK226" s="926"/>
      <c r="BL226" s="926"/>
      <c r="BM226" s="926"/>
      <c r="BN226" s="926"/>
      <c r="BO226" s="926"/>
      <c r="BP226" s="926"/>
      <c r="BQ226" s="926"/>
      <c r="BR226" s="926"/>
      <c r="BS226" s="926"/>
      <c r="BT226" s="926"/>
      <c r="BU226" s="926"/>
      <c r="BV226" s="926"/>
      <c r="BW226" s="926"/>
      <c r="BX226" s="926"/>
      <c r="BY226" s="932"/>
      <c r="BZ226" s="932"/>
      <c r="CA226" s="932"/>
      <c r="CB226" s="932"/>
      <c r="CC226" s="932"/>
      <c r="CD226" s="932"/>
      <c r="CE226" s="932"/>
      <c r="CF226" s="932"/>
    </row>
    <row r="227" spans="1:84" x14ac:dyDescent="0.25">
      <c r="A227" s="876">
        <v>37005</v>
      </c>
      <c r="B227" s="873" t="s">
        <v>1439</v>
      </c>
      <c r="C227" s="921">
        <v>72209738</v>
      </c>
      <c r="D227" s="924">
        <v>4.4441899999999999E-4</v>
      </c>
      <c r="E227" s="925"/>
      <c r="F227" s="926"/>
      <c r="G227" s="926"/>
      <c r="H227" s="926"/>
      <c r="I227" s="926"/>
      <c r="J227" s="926"/>
      <c r="K227" s="926"/>
      <c r="L227" s="926"/>
      <c r="M227" s="926"/>
      <c r="N227" s="926"/>
      <c r="O227" s="926"/>
      <c r="P227" s="926"/>
      <c r="Q227" s="926"/>
      <c r="R227" s="926"/>
      <c r="S227" s="926"/>
      <c r="T227" s="926"/>
      <c r="U227" s="926"/>
      <c r="V227" s="926"/>
      <c r="W227" s="926"/>
      <c r="X227" s="926"/>
      <c r="Y227" s="926"/>
      <c r="Z227" s="926"/>
      <c r="AA227" s="926"/>
      <c r="AB227" s="926"/>
      <c r="AC227" s="926"/>
      <c r="AD227" s="926"/>
      <c r="AE227" s="926"/>
      <c r="AF227" s="926"/>
      <c r="AG227" s="926"/>
      <c r="AH227" s="926"/>
      <c r="AI227" s="926"/>
      <c r="AJ227" s="926"/>
      <c r="AK227" s="926"/>
      <c r="AL227" s="926"/>
      <c r="AM227" s="926"/>
      <c r="AN227" s="926"/>
      <c r="AO227" s="926"/>
      <c r="AP227" s="926"/>
      <c r="AQ227" s="926"/>
      <c r="AR227" s="926"/>
      <c r="AS227" s="926"/>
      <c r="AT227" s="926"/>
      <c r="AU227" s="927"/>
      <c r="AV227" s="927"/>
      <c r="AW227" s="927"/>
      <c r="AX227" s="927"/>
      <c r="AY227" s="927"/>
      <c r="AZ227" s="927"/>
      <c r="BA227" s="927"/>
      <c r="BB227" s="927"/>
      <c r="BC227" s="928"/>
      <c r="BD227" s="929"/>
      <c r="BE227" s="930"/>
      <c r="BF227" s="930"/>
      <c r="BG227" s="931"/>
      <c r="BH227" s="931"/>
      <c r="BI227" s="926"/>
      <c r="BJ227" s="926"/>
      <c r="BK227" s="926"/>
      <c r="BL227" s="926"/>
      <c r="BM227" s="926"/>
      <c r="BN227" s="926"/>
      <c r="BO227" s="926"/>
      <c r="BP227" s="926"/>
      <c r="BQ227" s="926"/>
      <c r="BR227" s="926"/>
      <c r="BS227" s="926"/>
      <c r="BT227" s="926"/>
      <c r="BU227" s="926"/>
      <c r="BV227" s="926"/>
      <c r="BW227" s="926"/>
      <c r="BX227" s="926"/>
      <c r="BY227" s="932"/>
      <c r="BZ227" s="932"/>
      <c r="CA227" s="932"/>
      <c r="CB227" s="932"/>
      <c r="CC227" s="932"/>
      <c r="CD227" s="932"/>
      <c r="CE227" s="932"/>
      <c r="CF227" s="932"/>
    </row>
    <row r="228" spans="1:84" x14ac:dyDescent="0.25">
      <c r="A228" s="876">
        <v>37100</v>
      </c>
      <c r="B228" s="873" t="s">
        <v>1440</v>
      </c>
      <c r="C228" s="921">
        <v>473140743</v>
      </c>
      <c r="D228" s="924">
        <v>2.911973E-3</v>
      </c>
      <c r="E228" s="925"/>
      <c r="F228" s="926"/>
      <c r="G228" s="926"/>
      <c r="H228" s="926"/>
      <c r="I228" s="926"/>
      <c r="J228" s="926"/>
      <c r="K228" s="926"/>
      <c r="L228" s="926"/>
      <c r="M228" s="926"/>
      <c r="N228" s="926"/>
      <c r="O228" s="926"/>
      <c r="P228" s="926"/>
      <c r="Q228" s="926"/>
      <c r="R228" s="926"/>
      <c r="S228" s="926"/>
      <c r="T228" s="926"/>
      <c r="U228" s="926"/>
      <c r="V228" s="926"/>
      <c r="W228" s="926"/>
      <c r="X228" s="926"/>
      <c r="Y228" s="926"/>
      <c r="Z228" s="926"/>
      <c r="AA228" s="926"/>
      <c r="AB228" s="926"/>
      <c r="AC228" s="926"/>
      <c r="AD228" s="926"/>
      <c r="AE228" s="926"/>
      <c r="AF228" s="926"/>
      <c r="AG228" s="926"/>
      <c r="AH228" s="926"/>
      <c r="AI228" s="926"/>
      <c r="AJ228" s="926"/>
      <c r="AK228" s="926"/>
      <c r="AL228" s="926"/>
      <c r="AM228" s="926"/>
      <c r="AN228" s="926"/>
      <c r="AO228" s="926"/>
      <c r="AP228" s="926"/>
      <c r="AQ228" s="926"/>
      <c r="AR228" s="926"/>
      <c r="AS228" s="926"/>
      <c r="AT228" s="926"/>
      <c r="AU228" s="927"/>
      <c r="AV228" s="927"/>
      <c r="AW228" s="927"/>
      <c r="AX228" s="927"/>
      <c r="AY228" s="927"/>
      <c r="AZ228" s="927"/>
      <c r="BA228" s="927"/>
      <c r="BB228" s="927"/>
      <c r="BC228" s="928"/>
      <c r="BD228" s="929"/>
      <c r="BE228" s="930"/>
      <c r="BF228" s="930"/>
      <c r="BG228" s="931"/>
      <c r="BH228" s="931"/>
      <c r="BI228" s="926"/>
      <c r="BJ228" s="926"/>
      <c r="BK228" s="926"/>
      <c r="BL228" s="926"/>
      <c r="BM228" s="926"/>
      <c r="BN228" s="926"/>
      <c r="BO228" s="926"/>
      <c r="BP228" s="926"/>
      <c r="BQ228" s="926"/>
      <c r="BR228" s="926"/>
      <c r="BS228" s="926"/>
      <c r="BT228" s="926"/>
      <c r="BU228" s="926"/>
      <c r="BV228" s="926"/>
      <c r="BW228" s="926"/>
      <c r="BX228" s="926"/>
      <c r="BY228" s="932"/>
      <c r="BZ228" s="932"/>
      <c r="CA228" s="932"/>
      <c r="CB228" s="932"/>
      <c r="CC228" s="932"/>
      <c r="CD228" s="932"/>
      <c r="CE228" s="932"/>
      <c r="CF228" s="932"/>
    </row>
    <row r="229" spans="1:84" x14ac:dyDescent="0.25">
      <c r="A229" s="876">
        <v>37200</v>
      </c>
      <c r="B229" s="873" t="s">
        <v>1441</v>
      </c>
      <c r="C229" s="921">
        <v>102885380</v>
      </c>
      <c r="D229" s="924">
        <v>6.33214E-4</v>
      </c>
      <c r="E229" s="925"/>
      <c r="F229" s="926"/>
      <c r="G229" s="926"/>
      <c r="H229" s="926"/>
      <c r="I229" s="926"/>
      <c r="J229" s="926"/>
      <c r="K229" s="926"/>
      <c r="L229" s="926"/>
      <c r="M229" s="926"/>
      <c r="N229" s="926"/>
      <c r="O229" s="926"/>
      <c r="P229" s="926"/>
      <c r="Q229" s="926"/>
      <c r="R229" s="926"/>
      <c r="S229" s="926"/>
      <c r="T229" s="926"/>
      <c r="U229" s="926"/>
      <c r="V229" s="926"/>
      <c r="W229" s="926"/>
      <c r="X229" s="926"/>
      <c r="Y229" s="926"/>
      <c r="Z229" s="926"/>
      <c r="AA229" s="926"/>
      <c r="AB229" s="926"/>
      <c r="AC229" s="926"/>
      <c r="AD229" s="926"/>
      <c r="AE229" s="926"/>
      <c r="AF229" s="926"/>
      <c r="AG229" s="926"/>
      <c r="AH229" s="926"/>
      <c r="AI229" s="926"/>
      <c r="AJ229" s="926"/>
      <c r="AK229" s="926"/>
      <c r="AL229" s="926"/>
      <c r="AM229" s="926"/>
      <c r="AN229" s="926"/>
      <c r="AO229" s="926"/>
      <c r="AP229" s="926"/>
      <c r="AQ229" s="926"/>
      <c r="AR229" s="926"/>
      <c r="AS229" s="926"/>
      <c r="AT229" s="926"/>
      <c r="AU229" s="927"/>
      <c r="AV229" s="927"/>
      <c r="AW229" s="927"/>
      <c r="AX229" s="927"/>
      <c r="AY229" s="927"/>
      <c r="AZ229" s="927"/>
      <c r="BA229" s="927"/>
      <c r="BB229" s="927"/>
      <c r="BC229" s="928"/>
      <c r="BD229" s="929"/>
      <c r="BE229" s="930"/>
      <c r="BF229" s="930"/>
      <c r="BG229" s="931"/>
      <c r="BH229" s="931"/>
      <c r="BI229" s="926"/>
      <c r="BJ229" s="926"/>
      <c r="BK229" s="926"/>
      <c r="BL229" s="926"/>
      <c r="BM229" s="926"/>
      <c r="BN229" s="926"/>
      <c r="BO229" s="926"/>
      <c r="BP229" s="926"/>
      <c r="BQ229" s="926"/>
      <c r="BR229" s="926"/>
      <c r="BS229" s="926"/>
      <c r="BT229" s="926"/>
      <c r="BU229" s="926"/>
      <c r="BV229" s="926"/>
      <c r="BW229" s="926"/>
      <c r="BX229" s="926"/>
      <c r="BY229" s="932"/>
      <c r="BZ229" s="932"/>
      <c r="CA229" s="932"/>
      <c r="CB229" s="932"/>
      <c r="CC229" s="932"/>
      <c r="CD229" s="932"/>
      <c r="CE229" s="932"/>
      <c r="CF229" s="932"/>
    </row>
    <row r="230" spans="1:84" x14ac:dyDescent="0.25">
      <c r="A230" s="876">
        <v>37300</v>
      </c>
      <c r="B230" s="873" t="s">
        <v>1442</v>
      </c>
      <c r="C230" s="921">
        <v>280426993</v>
      </c>
      <c r="D230" s="924">
        <v>1.725905E-3</v>
      </c>
      <c r="E230" s="925"/>
      <c r="F230" s="926"/>
      <c r="G230" s="926"/>
      <c r="H230" s="926"/>
      <c r="I230" s="926"/>
      <c r="J230" s="926"/>
      <c r="K230" s="926"/>
      <c r="L230" s="926"/>
      <c r="M230" s="926"/>
      <c r="N230" s="926"/>
      <c r="O230" s="926"/>
      <c r="P230" s="926"/>
      <c r="Q230" s="926"/>
      <c r="R230" s="926"/>
      <c r="S230" s="926"/>
      <c r="T230" s="926"/>
      <c r="U230" s="926"/>
      <c r="V230" s="926"/>
      <c r="W230" s="926"/>
      <c r="X230" s="926"/>
      <c r="Y230" s="926"/>
      <c r="Z230" s="926"/>
      <c r="AA230" s="926"/>
      <c r="AB230" s="926"/>
      <c r="AC230" s="926"/>
      <c r="AD230" s="926"/>
      <c r="AE230" s="926"/>
      <c r="AF230" s="926"/>
      <c r="AG230" s="926"/>
      <c r="AH230" s="926"/>
      <c r="AI230" s="926"/>
      <c r="AJ230" s="926"/>
      <c r="AK230" s="926"/>
      <c r="AL230" s="926"/>
      <c r="AM230" s="926"/>
      <c r="AN230" s="926"/>
      <c r="AO230" s="926"/>
      <c r="AP230" s="926"/>
      <c r="AQ230" s="926"/>
      <c r="AR230" s="926"/>
      <c r="AS230" s="926"/>
      <c r="AT230" s="926"/>
      <c r="AU230" s="927"/>
      <c r="AV230" s="927"/>
      <c r="AW230" s="927"/>
      <c r="AX230" s="927"/>
      <c r="AY230" s="927"/>
      <c r="AZ230" s="927"/>
      <c r="BA230" s="927"/>
      <c r="BB230" s="927"/>
      <c r="BC230" s="928"/>
      <c r="BD230" s="929"/>
      <c r="BE230" s="930"/>
      <c r="BF230" s="930"/>
      <c r="BG230" s="931"/>
      <c r="BH230" s="931"/>
      <c r="BI230" s="926"/>
      <c r="BJ230" s="926"/>
      <c r="BK230" s="926"/>
      <c r="BL230" s="926"/>
      <c r="BM230" s="926"/>
      <c r="BN230" s="926"/>
      <c r="BO230" s="926"/>
      <c r="BP230" s="926"/>
      <c r="BQ230" s="926"/>
      <c r="BR230" s="926"/>
      <c r="BS230" s="926"/>
      <c r="BT230" s="926"/>
      <c r="BU230" s="926"/>
      <c r="BV230" s="926"/>
      <c r="BW230" s="926"/>
      <c r="BX230" s="926"/>
      <c r="BY230" s="932"/>
      <c r="BZ230" s="932"/>
      <c r="CA230" s="932"/>
      <c r="CB230" s="932"/>
      <c r="CC230" s="932"/>
      <c r="CD230" s="932"/>
      <c r="CE230" s="932"/>
      <c r="CF230" s="932"/>
    </row>
    <row r="231" spans="1:84" x14ac:dyDescent="0.25">
      <c r="A231" s="876">
        <v>37301</v>
      </c>
      <c r="B231" s="873" t="s">
        <v>1443</v>
      </c>
      <c r="C231" s="921">
        <v>30964445</v>
      </c>
      <c r="D231" s="924">
        <v>1.9057300000000001E-4</v>
      </c>
      <c r="E231" s="925"/>
      <c r="F231" s="926"/>
      <c r="G231" s="926"/>
      <c r="H231" s="926"/>
      <c r="I231" s="926"/>
      <c r="J231" s="926"/>
      <c r="K231" s="926"/>
      <c r="L231" s="926"/>
      <c r="M231" s="926"/>
      <c r="N231" s="926"/>
      <c r="O231" s="926"/>
      <c r="P231" s="926"/>
      <c r="Q231" s="926"/>
      <c r="R231" s="926"/>
      <c r="S231" s="926"/>
      <c r="T231" s="926"/>
      <c r="U231" s="926"/>
      <c r="V231" s="926"/>
      <c r="W231" s="926"/>
      <c r="X231" s="926"/>
      <c r="Y231" s="926"/>
      <c r="Z231" s="926"/>
      <c r="AA231" s="926"/>
      <c r="AB231" s="926"/>
      <c r="AC231" s="926"/>
      <c r="AD231" s="926"/>
      <c r="AE231" s="926"/>
      <c r="AF231" s="926"/>
      <c r="AG231" s="926"/>
      <c r="AH231" s="926"/>
      <c r="AI231" s="926"/>
      <c r="AJ231" s="926"/>
      <c r="AK231" s="926"/>
      <c r="AL231" s="926"/>
      <c r="AM231" s="926"/>
      <c r="AN231" s="926"/>
      <c r="AO231" s="926"/>
      <c r="AP231" s="926"/>
      <c r="AQ231" s="926"/>
      <c r="AR231" s="926"/>
      <c r="AS231" s="926"/>
      <c r="AT231" s="926"/>
      <c r="AU231" s="927"/>
      <c r="AV231" s="927"/>
      <c r="AW231" s="927"/>
      <c r="AX231" s="927"/>
      <c r="AY231" s="927"/>
      <c r="AZ231" s="927"/>
      <c r="BA231" s="927"/>
      <c r="BB231" s="927"/>
      <c r="BC231" s="928"/>
      <c r="BD231" s="929"/>
      <c r="BE231" s="930"/>
      <c r="BF231" s="930"/>
      <c r="BG231" s="931"/>
      <c r="BH231" s="931"/>
      <c r="BI231" s="926"/>
      <c r="BJ231" s="926"/>
      <c r="BK231" s="926"/>
      <c r="BL231" s="926"/>
      <c r="BM231" s="926"/>
      <c r="BN231" s="926"/>
      <c r="BO231" s="926"/>
      <c r="BP231" s="926"/>
      <c r="BQ231" s="926"/>
      <c r="BR231" s="926"/>
      <c r="BS231" s="926"/>
      <c r="BT231" s="926"/>
      <c r="BU231" s="926"/>
      <c r="BV231" s="926"/>
      <c r="BW231" s="926"/>
      <c r="BX231" s="926"/>
      <c r="BY231" s="932"/>
      <c r="BZ231" s="932"/>
      <c r="CA231" s="932"/>
      <c r="CB231" s="932"/>
      <c r="CC231" s="932"/>
      <c r="CD231" s="932"/>
      <c r="CE231" s="932"/>
      <c r="CF231" s="932"/>
    </row>
    <row r="232" spans="1:84" x14ac:dyDescent="0.25">
      <c r="A232" s="876">
        <v>37305</v>
      </c>
      <c r="B232" s="873" t="s">
        <v>1444</v>
      </c>
      <c r="C232" s="921">
        <v>66294126</v>
      </c>
      <c r="D232" s="924">
        <v>4.0801100000000001E-4</v>
      </c>
      <c r="E232" s="925"/>
      <c r="F232" s="926"/>
      <c r="G232" s="926"/>
      <c r="H232" s="926"/>
      <c r="I232" s="926"/>
      <c r="J232" s="926"/>
      <c r="K232" s="926"/>
      <c r="L232" s="926"/>
      <c r="M232" s="926"/>
      <c r="N232" s="926"/>
      <c r="O232" s="926"/>
      <c r="P232" s="926"/>
      <c r="Q232" s="926"/>
      <c r="R232" s="926"/>
      <c r="S232" s="926"/>
      <c r="T232" s="926"/>
      <c r="U232" s="926"/>
      <c r="V232" s="926"/>
      <c r="W232" s="926"/>
      <c r="X232" s="926"/>
      <c r="Y232" s="926"/>
      <c r="Z232" s="926"/>
      <c r="AA232" s="926"/>
      <c r="AB232" s="926"/>
      <c r="AC232" s="926"/>
      <c r="AD232" s="926"/>
      <c r="AE232" s="926"/>
      <c r="AF232" s="926"/>
      <c r="AG232" s="926"/>
      <c r="AH232" s="926"/>
      <c r="AI232" s="926"/>
      <c r="AJ232" s="926"/>
      <c r="AK232" s="926"/>
      <c r="AL232" s="926"/>
      <c r="AM232" s="926"/>
      <c r="AN232" s="926"/>
      <c r="AO232" s="926"/>
      <c r="AP232" s="926"/>
      <c r="AQ232" s="926"/>
      <c r="AR232" s="926"/>
      <c r="AS232" s="926"/>
      <c r="AT232" s="926"/>
      <c r="AU232" s="927"/>
      <c r="AV232" s="927"/>
      <c r="AW232" s="927"/>
      <c r="AX232" s="927"/>
      <c r="AY232" s="927"/>
      <c r="AZ232" s="927"/>
      <c r="BA232" s="927"/>
      <c r="BB232" s="927"/>
      <c r="BC232" s="928"/>
      <c r="BD232" s="929"/>
      <c r="BE232" s="930"/>
      <c r="BF232" s="930"/>
      <c r="BG232" s="931"/>
      <c r="BH232" s="931"/>
      <c r="BI232" s="926"/>
      <c r="BJ232" s="926"/>
      <c r="BK232" s="926"/>
      <c r="BL232" s="926"/>
      <c r="BM232" s="926"/>
      <c r="BN232" s="926"/>
      <c r="BO232" s="926"/>
      <c r="BP232" s="926"/>
      <c r="BQ232" s="926"/>
      <c r="BR232" s="926"/>
      <c r="BS232" s="926"/>
      <c r="BT232" s="926"/>
      <c r="BU232" s="926"/>
      <c r="BV232" s="926"/>
      <c r="BW232" s="926"/>
      <c r="BX232" s="926"/>
      <c r="BY232" s="932"/>
      <c r="BZ232" s="932"/>
      <c r="CA232" s="932"/>
      <c r="CB232" s="932"/>
      <c r="CC232" s="932"/>
      <c r="CD232" s="932"/>
      <c r="CE232" s="932"/>
      <c r="CF232" s="932"/>
    </row>
    <row r="233" spans="1:84" x14ac:dyDescent="0.25">
      <c r="A233" s="876">
        <v>37400</v>
      </c>
      <c r="B233" s="873" t="s">
        <v>1445</v>
      </c>
      <c r="C233" s="921">
        <v>1312265884</v>
      </c>
      <c r="D233" s="924">
        <v>8.0764200000000008E-3</v>
      </c>
      <c r="E233" s="925"/>
      <c r="F233" s="926"/>
      <c r="G233" s="926"/>
      <c r="H233" s="926"/>
      <c r="I233" s="926"/>
      <c r="J233" s="926"/>
      <c r="K233" s="926"/>
      <c r="L233" s="926"/>
      <c r="M233" s="926"/>
      <c r="N233" s="926"/>
      <c r="O233" s="926"/>
      <c r="P233" s="926"/>
      <c r="Q233" s="926"/>
      <c r="R233" s="926"/>
      <c r="S233" s="926"/>
      <c r="T233" s="926"/>
      <c r="U233" s="926"/>
      <c r="V233" s="926"/>
      <c r="W233" s="926"/>
      <c r="X233" s="926"/>
      <c r="Y233" s="926"/>
      <c r="Z233" s="926"/>
      <c r="AA233" s="926"/>
      <c r="AB233" s="926"/>
      <c r="AC233" s="926"/>
      <c r="AD233" s="926"/>
      <c r="AE233" s="926"/>
      <c r="AF233" s="926"/>
      <c r="AG233" s="926"/>
      <c r="AH233" s="926"/>
      <c r="AI233" s="926"/>
      <c r="AJ233" s="926"/>
      <c r="AK233" s="926"/>
      <c r="AL233" s="926"/>
      <c r="AM233" s="926"/>
      <c r="AN233" s="926"/>
      <c r="AO233" s="926"/>
      <c r="AP233" s="926"/>
      <c r="AQ233" s="926"/>
      <c r="AR233" s="926"/>
      <c r="AS233" s="926"/>
      <c r="AT233" s="926"/>
      <c r="AU233" s="927"/>
      <c r="AV233" s="927"/>
      <c r="AW233" s="927"/>
      <c r="AX233" s="927"/>
      <c r="AY233" s="927"/>
      <c r="AZ233" s="927"/>
      <c r="BA233" s="927"/>
      <c r="BB233" s="927"/>
      <c r="BC233" s="928"/>
      <c r="BD233" s="929"/>
      <c r="BE233" s="930"/>
      <c r="BF233" s="930"/>
      <c r="BG233" s="931"/>
      <c r="BH233" s="931"/>
      <c r="BI233" s="926"/>
      <c r="BJ233" s="926"/>
      <c r="BK233" s="926"/>
      <c r="BL233" s="926"/>
      <c r="BM233" s="926"/>
      <c r="BN233" s="926"/>
      <c r="BO233" s="926"/>
      <c r="BP233" s="926"/>
      <c r="BQ233" s="926"/>
      <c r="BR233" s="926"/>
      <c r="BS233" s="926"/>
      <c r="BT233" s="926"/>
      <c r="BU233" s="926"/>
      <c r="BV233" s="926"/>
      <c r="BW233" s="926"/>
      <c r="BX233" s="926"/>
      <c r="BY233" s="932"/>
      <c r="BZ233" s="932"/>
      <c r="CA233" s="932"/>
      <c r="CB233" s="932"/>
      <c r="CC233" s="932"/>
      <c r="CD233" s="932"/>
      <c r="CE233" s="932"/>
      <c r="CF233" s="932"/>
    </row>
    <row r="234" spans="1:84" x14ac:dyDescent="0.25">
      <c r="A234" s="876">
        <v>37405</v>
      </c>
      <c r="B234" s="873" t="s">
        <v>1446</v>
      </c>
      <c r="C234" s="921">
        <v>289265590</v>
      </c>
      <c r="D234" s="924">
        <v>1.780303E-3</v>
      </c>
      <c r="E234" s="925"/>
      <c r="F234" s="926"/>
      <c r="G234" s="926"/>
      <c r="H234" s="926"/>
      <c r="I234" s="926"/>
      <c r="J234" s="926"/>
      <c r="K234" s="926"/>
      <c r="L234" s="926"/>
      <c r="M234" s="926"/>
      <c r="N234" s="926"/>
      <c r="O234" s="926"/>
      <c r="P234" s="926"/>
      <c r="Q234" s="926"/>
      <c r="R234" s="926"/>
      <c r="S234" s="926"/>
      <c r="T234" s="926"/>
      <c r="U234" s="926"/>
      <c r="V234" s="926"/>
      <c r="W234" s="926"/>
      <c r="X234" s="926"/>
      <c r="Y234" s="926"/>
      <c r="Z234" s="926"/>
      <c r="AA234" s="926"/>
      <c r="AB234" s="926"/>
      <c r="AC234" s="926"/>
      <c r="AD234" s="926"/>
      <c r="AE234" s="926"/>
      <c r="AF234" s="926"/>
      <c r="AG234" s="926"/>
      <c r="AH234" s="926"/>
      <c r="AI234" s="926"/>
      <c r="AJ234" s="926"/>
      <c r="AK234" s="926"/>
      <c r="AL234" s="926"/>
      <c r="AM234" s="926"/>
      <c r="AN234" s="926"/>
      <c r="AO234" s="926"/>
      <c r="AP234" s="926"/>
      <c r="AQ234" s="926"/>
      <c r="AR234" s="926"/>
      <c r="AS234" s="926"/>
      <c r="AT234" s="926"/>
      <c r="AU234" s="927"/>
      <c r="AV234" s="927"/>
      <c r="AW234" s="927"/>
      <c r="AX234" s="927"/>
      <c r="AY234" s="927"/>
      <c r="AZ234" s="927"/>
      <c r="BA234" s="927"/>
      <c r="BB234" s="927"/>
      <c r="BC234" s="928"/>
      <c r="BD234" s="929"/>
      <c r="BE234" s="930"/>
      <c r="BF234" s="930"/>
      <c r="BG234" s="931"/>
      <c r="BH234" s="931"/>
      <c r="BI234" s="926"/>
      <c r="BJ234" s="926"/>
      <c r="BK234" s="926"/>
      <c r="BL234" s="926"/>
      <c r="BM234" s="926"/>
      <c r="BN234" s="926"/>
      <c r="BO234" s="926"/>
      <c r="BP234" s="926"/>
      <c r="BQ234" s="926"/>
      <c r="BR234" s="926"/>
      <c r="BS234" s="926"/>
      <c r="BT234" s="926"/>
      <c r="BU234" s="926"/>
      <c r="BV234" s="926"/>
      <c r="BW234" s="926"/>
      <c r="BX234" s="926"/>
      <c r="BY234" s="932"/>
      <c r="BZ234" s="932"/>
      <c r="CA234" s="932"/>
      <c r="CB234" s="932"/>
      <c r="CC234" s="932"/>
      <c r="CD234" s="932"/>
      <c r="CE234" s="932"/>
      <c r="CF234" s="932"/>
    </row>
    <row r="235" spans="1:84" x14ac:dyDescent="0.25">
      <c r="A235" s="876">
        <v>37500</v>
      </c>
      <c r="B235" s="873" t="s">
        <v>1447</v>
      </c>
      <c r="C235" s="921">
        <v>144105630</v>
      </c>
      <c r="D235" s="924">
        <v>8.8690700000000004E-4</v>
      </c>
      <c r="E235" s="925"/>
      <c r="F235" s="926"/>
      <c r="G235" s="926"/>
      <c r="H235" s="926"/>
      <c r="I235" s="926"/>
      <c r="J235" s="926"/>
      <c r="K235" s="926"/>
      <c r="L235" s="926"/>
      <c r="M235" s="926"/>
      <c r="N235" s="926"/>
      <c r="O235" s="926"/>
      <c r="P235" s="926"/>
      <c r="Q235" s="926"/>
      <c r="R235" s="926"/>
      <c r="S235" s="926"/>
      <c r="T235" s="926"/>
      <c r="U235" s="926"/>
      <c r="V235" s="926"/>
      <c r="W235" s="926"/>
      <c r="X235" s="926"/>
      <c r="Y235" s="926"/>
      <c r="Z235" s="926"/>
      <c r="AA235" s="926"/>
      <c r="AB235" s="926"/>
      <c r="AC235" s="926"/>
      <c r="AD235" s="926"/>
      <c r="AE235" s="926"/>
      <c r="AF235" s="926"/>
      <c r="AG235" s="926"/>
      <c r="AH235" s="926"/>
      <c r="AI235" s="926"/>
      <c r="AJ235" s="926"/>
      <c r="AK235" s="926"/>
      <c r="AL235" s="926"/>
      <c r="AM235" s="926"/>
      <c r="AN235" s="926"/>
      <c r="AO235" s="926"/>
      <c r="AP235" s="926"/>
      <c r="AQ235" s="926"/>
      <c r="AR235" s="926"/>
      <c r="AS235" s="926"/>
      <c r="AT235" s="926"/>
      <c r="AU235" s="927"/>
      <c r="AV235" s="927"/>
      <c r="AW235" s="927"/>
      <c r="AX235" s="927"/>
      <c r="AY235" s="927"/>
      <c r="AZ235" s="927"/>
      <c r="BA235" s="927"/>
      <c r="BB235" s="927"/>
      <c r="BC235" s="928"/>
      <c r="BD235" s="929"/>
      <c r="BE235" s="930"/>
      <c r="BF235" s="930"/>
      <c r="BG235" s="931"/>
      <c r="BH235" s="931"/>
      <c r="BI235" s="926"/>
      <c r="BJ235" s="926"/>
      <c r="BK235" s="926"/>
      <c r="BL235" s="926"/>
      <c r="BM235" s="926"/>
      <c r="BN235" s="926"/>
      <c r="BO235" s="926"/>
      <c r="BP235" s="926"/>
      <c r="BQ235" s="926"/>
      <c r="BR235" s="926"/>
      <c r="BS235" s="926"/>
      <c r="BT235" s="926"/>
      <c r="BU235" s="926"/>
      <c r="BV235" s="926"/>
      <c r="BW235" s="926"/>
      <c r="BX235" s="926"/>
      <c r="BY235" s="932"/>
      <c r="BZ235" s="932"/>
      <c r="CA235" s="932"/>
      <c r="CB235" s="932"/>
      <c r="CC235" s="932"/>
      <c r="CD235" s="932"/>
      <c r="CE235" s="932"/>
      <c r="CF235" s="932"/>
    </row>
    <row r="236" spans="1:84" x14ac:dyDescent="0.25">
      <c r="A236" s="876">
        <v>37600</v>
      </c>
      <c r="B236" s="873" t="s">
        <v>1448</v>
      </c>
      <c r="C236" s="921">
        <v>898551744</v>
      </c>
      <c r="D236" s="924">
        <v>5.5301910000000003E-3</v>
      </c>
      <c r="E236" s="925"/>
      <c r="F236" s="926"/>
      <c r="G236" s="926"/>
      <c r="H236" s="926"/>
      <c r="I236" s="926"/>
      <c r="J236" s="926"/>
      <c r="K236" s="926"/>
      <c r="L236" s="926"/>
      <c r="M236" s="926"/>
      <c r="N236" s="926"/>
      <c r="O236" s="926"/>
      <c r="P236" s="926"/>
      <c r="Q236" s="926"/>
      <c r="R236" s="926"/>
      <c r="S236" s="926"/>
      <c r="T236" s="926"/>
      <c r="U236" s="926"/>
      <c r="V236" s="926"/>
      <c r="W236" s="926"/>
      <c r="X236" s="926"/>
      <c r="Y236" s="926"/>
      <c r="Z236" s="926"/>
      <c r="AA236" s="926"/>
      <c r="AB236" s="926"/>
      <c r="AC236" s="926"/>
      <c r="AD236" s="926"/>
      <c r="AE236" s="926"/>
      <c r="AF236" s="926"/>
      <c r="AG236" s="926"/>
      <c r="AH236" s="926"/>
      <c r="AI236" s="926"/>
      <c r="AJ236" s="926"/>
      <c r="AK236" s="926"/>
      <c r="AL236" s="926"/>
      <c r="AM236" s="926"/>
      <c r="AN236" s="926"/>
      <c r="AO236" s="926"/>
      <c r="AP236" s="926"/>
      <c r="AQ236" s="926"/>
      <c r="AR236" s="926"/>
      <c r="AS236" s="926"/>
      <c r="AT236" s="926"/>
      <c r="AU236" s="927"/>
      <c r="AV236" s="927"/>
      <c r="AW236" s="927"/>
      <c r="AX236" s="927"/>
      <c r="AY236" s="927"/>
      <c r="AZ236" s="927"/>
      <c r="BA236" s="927"/>
      <c r="BB236" s="927"/>
      <c r="BC236" s="928"/>
      <c r="BD236" s="929"/>
      <c r="BE236" s="930"/>
      <c r="BF236" s="930"/>
      <c r="BG236" s="931"/>
      <c r="BH236" s="931"/>
      <c r="BI236" s="926"/>
      <c r="BJ236" s="926"/>
      <c r="BK236" s="926"/>
      <c r="BL236" s="926"/>
      <c r="BM236" s="926"/>
      <c r="BN236" s="926"/>
      <c r="BO236" s="926"/>
      <c r="BP236" s="926"/>
      <c r="BQ236" s="926"/>
      <c r="BR236" s="926"/>
      <c r="BS236" s="926"/>
      <c r="BT236" s="926"/>
      <c r="BU236" s="926"/>
      <c r="BV236" s="926"/>
      <c r="BW236" s="926"/>
      <c r="BX236" s="926"/>
      <c r="BY236" s="932"/>
      <c r="BZ236" s="932"/>
      <c r="CA236" s="932"/>
      <c r="CB236" s="932"/>
      <c r="CC236" s="932"/>
      <c r="CD236" s="932"/>
      <c r="CE236" s="932"/>
      <c r="CF236" s="932"/>
    </row>
    <row r="237" spans="1:84" x14ac:dyDescent="0.25">
      <c r="A237" s="876">
        <v>37601</v>
      </c>
      <c r="B237" s="873" t="s">
        <v>1449</v>
      </c>
      <c r="C237" s="921">
        <v>46716132</v>
      </c>
      <c r="D237" s="924">
        <v>2.8751699999999999E-4</v>
      </c>
      <c r="E237" s="925"/>
      <c r="F237" s="926"/>
      <c r="G237" s="926"/>
      <c r="H237" s="926"/>
      <c r="I237" s="926"/>
      <c r="J237" s="926"/>
      <c r="K237" s="926"/>
      <c r="L237" s="926"/>
      <c r="M237" s="926"/>
      <c r="N237" s="926"/>
      <c r="O237" s="926"/>
      <c r="P237" s="926"/>
      <c r="Q237" s="926"/>
      <c r="R237" s="926"/>
      <c r="S237" s="926"/>
      <c r="T237" s="926"/>
      <c r="U237" s="926"/>
      <c r="V237" s="926"/>
      <c r="W237" s="926"/>
      <c r="X237" s="926"/>
      <c r="Y237" s="926"/>
      <c r="Z237" s="926"/>
      <c r="AA237" s="926"/>
      <c r="AB237" s="926"/>
      <c r="AC237" s="926"/>
      <c r="AD237" s="926"/>
      <c r="AE237" s="926"/>
      <c r="AF237" s="926"/>
      <c r="AG237" s="926"/>
      <c r="AH237" s="926"/>
      <c r="AI237" s="926"/>
      <c r="AJ237" s="926"/>
      <c r="AK237" s="926"/>
      <c r="AL237" s="926"/>
      <c r="AM237" s="926"/>
      <c r="AN237" s="926"/>
      <c r="AO237" s="926"/>
      <c r="AP237" s="926"/>
      <c r="AQ237" s="926"/>
      <c r="AR237" s="926"/>
      <c r="AS237" s="926"/>
      <c r="AT237" s="926"/>
      <c r="AU237" s="927"/>
      <c r="AV237" s="927"/>
      <c r="AW237" s="927"/>
      <c r="AX237" s="927"/>
      <c r="AY237" s="927"/>
      <c r="AZ237" s="927"/>
      <c r="BA237" s="927"/>
      <c r="BB237" s="927"/>
      <c r="BC237" s="928"/>
      <c r="BD237" s="929"/>
      <c r="BE237" s="930"/>
      <c r="BF237" s="930"/>
      <c r="BG237" s="931"/>
      <c r="BH237" s="931"/>
      <c r="BI237" s="926"/>
      <c r="BJ237" s="926"/>
      <c r="BK237" s="926"/>
      <c r="BL237" s="926"/>
      <c r="BM237" s="926"/>
      <c r="BN237" s="926"/>
      <c r="BO237" s="926"/>
      <c r="BP237" s="926"/>
      <c r="BQ237" s="926"/>
      <c r="BR237" s="926"/>
      <c r="BS237" s="926"/>
      <c r="BT237" s="926"/>
      <c r="BU237" s="926"/>
      <c r="BV237" s="926"/>
      <c r="BW237" s="926"/>
      <c r="BX237" s="926"/>
      <c r="BY237" s="932"/>
      <c r="BZ237" s="932"/>
      <c r="CA237" s="932"/>
      <c r="CB237" s="932"/>
      <c r="CC237" s="932"/>
      <c r="CD237" s="932"/>
      <c r="CE237" s="932"/>
      <c r="CF237" s="932"/>
    </row>
    <row r="238" spans="1:84" x14ac:dyDescent="0.25">
      <c r="A238" s="876">
        <v>37605</v>
      </c>
      <c r="B238" s="873" t="s">
        <v>1450</v>
      </c>
      <c r="C238" s="921">
        <v>108688038</v>
      </c>
      <c r="D238" s="924">
        <v>6.6892700000000004E-4</v>
      </c>
      <c r="E238" s="925"/>
      <c r="F238" s="926"/>
      <c r="G238" s="926"/>
      <c r="H238" s="926"/>
      <c r="I238" s="926"/>
      <c r="J238" s="926"/>
      <c r="K238" s="926"/>
      <c r="L238" s="926"/>
      <c r="M238" s="926"/>
      <c r="N238" s="926"/>
      <c r="O238" s="926"/>
      <c r="P238" s="926"/>
      <c r="Q238" s="926"/>
      <c r="R238" s="926"/>
      <c r="S238" s="926"/>
      <c r="T238" s="926"/>
      <c r="U238" s="926"/>
      <c r="V238" s="926"/>
      <c r="W238" s="926"/>
      <c r="X238" s="926"/>
      <c r="Y238" s="926"/>
      <c r="Z238" s="926"/>
      <c r="AA238" s="926"/>
      <c r="AB238" s="926"/>
      <c r="AC238" s="926"/>
      <c r="AD238" s="926"/>
      <c r="AE238" s="926"/>
      <c r="AF238" s="926"/>
      <c r="AG238" s="926"/>
      <c r="AH238" s="926"/>
      <c r="AI238" s="926"/>
      <c r="AJ238" s="926"/>
      <c r="AK238" s="926"/>
      <c r="AL238" s="926"/>
      <c r="AM238" s="926"/>
      <c r="AN238" s="926"/>
      <c r="AO238" s="926"/>
      <c r="AP238" s="926"/>
      <c r="AQ238" s="926"/>
      <c r="AR238" s="926"/>
      <c r="AS238" s="926"/>
      <c r="AT238" s="926"/>
      <c r="AU238" s="927"/>
      <c r="AV238" s="927"/>
      <c r="AW238" s="927"/>
      <c r="AX238" s="927"/>
      <c r="AY238" s="927"/>
      <c r="AZ238" s="927"/>
      <c r="BA238" s="927"/>
      <c r="BB238" s="927"/>
      <c r="BC238" s="928"/>
      <c r="BD238" s="929"/>
      <c r="BE238" s="930"/>
      <c r="BF238" s="930"/>
      <c r="BG238" s="931"/>
      <c r="BH238" s="931"/>
      <c r="BI238" s="926"/>
      <c r="BJ238" s="926"/>
      <c r="BK238" s="926"/>
      <c r="BL238" s="926"/>
      <c r="BM238" s="926"/>
      <c r="BN238" s="926"/>
      <c r="BO238" s="926"/>
      <c r="BP238" s="926"/>
      <c r="BQ238" s="926"/>
      <c r="BR238" s="926"/>
      <c r="BS238" s="926"/>
      <c r="BT238" s="926"/>
      <c r="BU238" s="926"/>
      <c r="BV238" s="926"/>
      <c r="BW238" s="926"/>
      <c r="BX238" s="926"/>
      <c r="BY238" s="932"/>
      <c r="BZ238" s="932"/>
      <c r="CA238" s="932"/>
      <c r="CB238" s="932"/>
      <c r="CC238" s="932"/>
      <c r="CD238" s="932"/>
      <c r="CE238" s="932"/>
      <c r="CF238" s="932"/>
    </row>
    <row r="239" spans="1:84" x14ac:dyDescent="0.25">
      <c r="A239" s="876">
        <v>37610</v>
      </c>
      <c r="B239" s="873" t="s">
        <v>1451</v>
      </c>
      <c r="C239" s="921">
        <v>273979357</v>
      </c>
      <c r="D239" s="924">
        <v>1.686222E-3</v>
      </c>
      <c r="E239" s="925"/>
      <c r="F239" s="926"/>
      <c r="G239" s="926"/>
      <c r="H239" s="926"/>
      <c r="I239" s="926"/>
      <c r="J239" s="926"/>
      <c r="K239" s="926"/>
      <c r="L239" s="926"/>
      <c r="M239" s="926"/>
      <c r="N239" s="926"/>
      <c r="O239" s="926"/>
      <c r="P239" s="926"/>
      <c r="Q239" s="926"/>
      <c r="R239" s="926"/>
      <c r="S239" s="926"/>
      <c r="T239" s="926"/>
      <c r="U239" s="926"/>
      <c r="V239" s="926"/>
      <c r="W239" s="926"/>
      <c r="X239" s="926"/>
      <c r="Y239" s="926"/>
      <c r="Z239" s="926"/>
      <c r="AA239" s="926"/>
      <c r="AB239" s="926"/>
      <c r="AC239" s="926"/>
      <c r="AD239" s="926"/>
      <c r="AE239" s="926"/>
      <c r="AF239" s="926"/>
      <c r="AG239" s="926"/>
      <c r="AH239" s="926"/>
      <c r="AI239" s="926"/>
      <c r="AJ239" s="926"/>
      <c r="AK239" s="926"/>
      <c r="AL239" s="926"/>
      <c r="AM239" s="926"/>
      <c r="AN239" s="926"/>
      <c r="AO239" s="926"/>
      <c r="AP239" s="926"/>
      <c r="AQ239" s="926"/>
      <c r="AR239" s="926"/>
      <c r="AS239" s="926"/>
      <c r="AT239" s="926"/>
      <c r="AU239" s="927"/>
      <c r="AV239" s="927"/>
      <c r="AW239" s="927"/>
      <c r="AX239" s="927"/>
      <c r="AY239" s="927"/>
      <c r="AZ239" s="927"/>
      <c r="BA239" s="927"/>
      <c r="BB239" s="927"/>
      <c r="BC239" s="928"/>
      <c r="BD239" s="929"/>
      <c r="BE239" s="930"/>
      <c r="BF239" s="930"/>
      <c r="BG239" s="931"/>
      <c r="BH239" s="931"/>
      <c r="BI239" s="926"/>
      <c r="BJ239" s="926"/>
      <c r="BK239" s="926"/>
      <c r="BL239" s="926"/>
      <c r="BM239" s="926"/>
      <c r="BN239" s="926"/>
      <c r="BO239" s="926"/>
      <c r="BP239" s="926"/>
      <c r="BQ239" s="926"/>
      <c r="BR239" s="926"/>
      <c r="BS239" s="926"/>
      <c r="BT239" s="926"/>
      <c r="BU239" s="926"/>
      <c r="BV239" s="926"/>
      <c r="BW239" s="926"/>
      <c r="BX239" s="926"/>
      <c r="BY239" s="932"/>
      <c r="BZ239" s="932"/>
      <c r="CA239" s="932"/>
      <c r="CB239" s="932"/>
      <c r="CC239" s="932"/>
      <c r="CD239" s="932"/>
      <c r="CE239" s="932"/>
      <c r="CF239" s="932"/>
    </row>
    <row r="240" spans="1:84" x14ac:dyDescent="0.25">
      <c r="A240" s="876">
        <v>37700</v>
      </c>
      <c r="B240" s="873" t="s">
        <v>1452</v>
      </c>
      <c r="C240" s="921">
        <v>380451923</v>
      </c>
      <c r="D240" s="924">
        <v>2.3415139999999998E-3</v>
      </c>
      <c r="E240" s="925"/>
      <c r="F240" s="926"/>
      <c r="G240" s="926"/>
      <c r="H240" s="926"/>
      <c r="I240" s="926"/>
      <c r="J240" s="926"/>
      <c r="K240" s="926"/>
      <c r="L240" s="926"/>
      <c r="M240" s="926"/>
      <c r="N240" s="926"/>
      <c r="O240" s="926"/>
      <c r="P240" s="926"/>
      <c r="Q240" s="926"/>
      <c r="R240" s="926"/>
      <c r="S240" s="926"/>
      <c r="T240" s="926"/>
      <c r="U240" s="926"/>
      <c r="V240" s="926"/>
      <c r="W240" s="926"/>
      <c r="X240" s="926"/>
      <c r="Y240" s="926"/>
      <c r="Z240" s="926"/>
      <c r="AA240" s="926"/>
      <c r="AB240" s="926"/>
      <c r="AC240" s="926"/>
      <c r="AD240" s="926"/>
      <c r="AE240" s="926"/>
      <c r="AF240" s="926"/>
      <c r="AG240" s="926"/>
      <c r="AH240" s="926"/>
      <c r="AI240" s="926"/>
      <c r="AJ240" s="926"/>
      <c r="AK240" s="926"/>
      <c r="AL240" s="926"/>
      <c r="AM240" s="926"/>
      <c r="AN240" s="926"/>
      <c r="AO240" s="926"/>
      <c r="AP240" s="926"/>
      <c r="AQ240" s="926"/>
      <c r="AR240" s="926"/>
      <c r="AS240" s="926"/>
      <c r="AT240" s="926"/>
      <c r="AU240" s="927"/>
      <c r="AV240" s="927"/>
      <c r="AW240" s="927"/>
      <c r="AX240" s="927"/>
      <c r="AY240" s="927"/>
      <c r="AZ240" s="927"/>
      <c r="BA240" s="927"/>
      <c r="BB240" s="927"/>
      <c r="BC240" s="928"/>
      <c r="BD240" s="929"/>
      <c r="BE240" s="930"/>
      <c r="BF240" s="930"/>
      <c r="BG240" s="931"/>
      <c r="BH240" s="931"/>
      <c r="BI240" s="926"/>
      <c r="BJ240" s="926"/>
      <c r="BK240" s="926"/>
      <c r="BL240" s="926"/>
      <c r="BM240" s="926"/>
      <c r="BN240" s="926"/>
      <c r="BO240" s="926"/>
      <c r="BP240" s="926"/>
      <c r="BQ240" s="926"/>
      <c r="BR240" s="926"/>
      <c r="BS240" s="926"/>
      <c r="BT240" s="926"/>
      <c r="BU240" s="926"/>
      <c r="BV240" s="926"/>
      <c r="BW240" s="926"/>
      <c r="BX240" s="926"/>
      <c r="BY240" s="932"/>
      <c r="BZ240" s="932"/>
      <c r="CA240" s="932"/>
      <c r="CB240" s="932"/>
      <c r="CC240" s="932"/>
      <c r="CD240" s="932"/>
      <c r="CE240" s="932"/>
      <c r="CF240" s="932"/>
    </row>
    <row r="241" spans="1:84" x14ac:dyDescent="0.25">
      <c r="A241" s="876">
        <v>37705</v>
      </c>
      <c r="B241" s="873" t="s">
        <v>1453</v>
      </c>
      <c r="C241" s="921">
        <v>115117073</v>
      </c>
      <c r="D241" s="924">
        <v>7.0849499999999996E-4</v>
      </c>
      <c r="E241" s="925"/>
      <c r="F241" s="926"/>
      <c r="G241" s="926"/>
      <c r="H241" s="926"/>
      <c r="I241" s="926"/>
      <c r="J241" s="926"/>
      <c r="K241" s="926"/>
      <c r="L241" s="926"/>
      <c r="M241" s="926"/>
      <c r="N241" s="926"/>
      <c r="O241" s="926"/>
      <c r="P241" s="926"/>
      <c r="Q241" s="926"/>
      <c r="R241" s="926"/>
      <c r="S241" s="926"/>
      <c r="T241" s="926"/>
      <c r="U241" s="926"/>
      <c r="V241" s="926"/>
      <c r="W241" s="926"/>
      <c r="X241" s="926"/>
      <c r="Y241" s="926"/>
      <c r="Z241" s="926"/>
      <c r="AA241" s="926"/>
      <c r="AB241" s="926"/>
      <c r="AC241" s="926"/>
      <c r="AD241" s="926"/>
      <c r="AE241" s="926"/>
      <c r="AF241" s="926"/>
      <c r="AG241" s="926"/>
      <c r="AH241" s="926"/>
      <c r="AI241" s="926"/>
      <c r="AJ241" s="926"/>
      <c r="AK241" s="926"/>
      <c r="AL241" s="926"/>
      <c r="AM241" s="926"/>
      <c r="AN241" s="926"/>
      <c r="AO241" s="926"/>
      <c r="AP241" s="926"/>
      <c r="AQ241" s="926"/>
      <c r="AR241" s="926"/>
      <c r="AS241" s="926"/>
      <c r="AT241" s="926"/>
      <c r="AU241" s="927"/>
      <c r="AV241" s="927"/>
      <c r="AW241" s="927"/>
      <c r="AX241" s="927"/>
      <c r="AY241" s="927"/>
      <c r="AZ241" s="927"/>
      <c r="BA241" s="927"/>
      <c r="BB241" s="927"/>
      <c r="BC241" s="928"/>
      <c r="BD241" s="929"/>
      <c r="BE241" s="930"/>
      <c r="BF241" s="930"/>
      <c r="BG241" s="931"/>
      <c r="BH241" s="931"/>
      <c r="BI241" s="926"/>
      <c r="BJ241" s="926"/>
      <c r="BK241" s="926"/>
      <c r="BL241" s="926"/>
      <c r="BM241" s="926"/>
      <c r="BN241" s="926"/>
      <c r="BO241" s="926"/>
      <c r="BP241" s="926"/>
      <c r="BQ241" s="926"/>
      <c r="BR241" s="926"/>
      <c r="BS241" s="926"/>
      <c r="BT241" s="926"/>
      <c r="BU241" s="926"/>
      <c r="BV241" s="926"/>
      <c r="BW241" s="926"/>
      <c r="BX241" s="926"/>
      <c r="BY241" s="932"/>
      <c r="BZ241" s="932"/>
      <c r="CA241" s="932"/>
      <c r="CB241" s="932"/>
      <c r="CC241" s="932"/>
      <c r="CD241" s="932"/>
      <c r="CE241" s="932"/>
      <c r="CF241" s="932"/>
    </row>
    <row r="242" spans="1:84" x14ac:dyDescent="0.25">
      <c r="A242" s="876">
        <v>37800</v>
      </c>
      <c r="B242" s="873" t="s">
        <v>1454</v>
      </c>
      <c r="C242" s="921">
        <v>1194737752</v>
      </c>
      <c r="D242" s="924">
        <v>7.353086E-3</v>
      </c>
      <c r="E242" s="925"/>
      <c r="F242" s="926"/>
      <c r="G242" s="926"/>
      <c r="H242" s="926"/>
      <c r="I242" s="926"/>
      <c r="J242" s="926"/>
      <c r="K242" s="926"/>
      <c r="L242" s="926"/>
      <c r="M242" s="926"/>
      <c r="N242" s="926"/>
      <c r="O242" s="926"/>
      <c r="P242" s="926"/>
      <c r="Q242" s="926"/>
      <c r="R242" s="926"/>
      <c r="S242" s="926"/>
      <c r="T242" s="926"/>
      <c r="U242" s="926"/>
      <c r="V242" s="926"/>
      <c r="W242" s="926"/>
      <c r="X242" s="926"/>
      <c r="Y242" s="926"/>
      <c r="Z242" s="926"/>
      <c r="AA242" s="926"/>
      <c r="AB242" s="926"/>
      <c r="AC242" s="926"/>
      <c r="AD242" s="926"/>
      <c r="AE242" s="926"/>
      <c r="AF242" s="926"/>
      <c r="AG242" s="926"/>
      <c r="AH242" s="926"/>
      <c r="AI242" s="926"/>
      <c r="AJ242" s="926"/>
      <c r="AK242" s="926"/>
      <c r="AL242" s="926"/>
      <c r="AM242" s="926"/>
      <c r="AN242" s="926"/>
      <c r="AO242" s="926"/>
      <c r="AP242" s="926"/>
      <c r="AQ242" s="926"/>
      <c r="AR242" s="926"/>
      <c r="AS242" s="926"/>
      <c r="AT242" s="926"/>
      <c r="AU242" s="927"/>
      <c r="AV242" s="927"/>
      <c r="AW242" s="927"/>
      <c r="AX242" s="927"/>
      <c r="AY242" s="927"/>
      <c r="AZ242" s="927"/>
      <c r="BA242" s="927"/>
      <c r="BB242" s="927"/>
      <c r="BC242" s="928"/>
      <c r="BD242" s="929"/>
      <c r="BE242" s="930"/>
      <c r="BF242" s="930"/>
      <c r="BG242" s="931"/>
      <c r="BH242" s="931"/>
      <c r="BI242" s="926"/>
      <c r="BJ242" s="926"/>
      <c r="BK242" s="926"/>
      <c r="BL242" s="926"/>
      <c r="BM242" s="926"/>
      <c r="BN242" s="926"/>
      <c r="BO242" s="926"/>
      <c r="BP242" s="926"/>
      <c r="BQ242" s="926"/>
      <c r="BR242" s="926"/>
      <c r="BS242" s="926"/>
      <c r="BT242" s="926"/>
      <c r="BU242" s="926"/>
      <c r="BV242" s="926"/>
      <c r="BW242" s="926"/>
      <c r="BX242" s="926"/>
      <c r="BY242" s="932"/>
      <c r="BZ242" s="932"/>
      <c r="CA242" s="932"/>
      <c r="CB242" s="932"/>
      <c r="CC242" s="932"/>
      <c r="CD242" s="932"/>
      <c r="CE242" s="932"/>
      <c r="CF242" s="932"/>
    </row>
    <row r="243" spans="1:84" x14ac:dyDescent="0.25">
      <c r="A243" s="876">
        <v>37801</v>
      </c>
      <c r="B243" s="873" t="s">
        <v>1455</v>
      </c>
      <c r="C243" s="921">
        <v>9812772</v>
      </c>
      <c r="D243" s="924">
        <v>6.0393000000000003E-5</v>
      </c>
      <c r="E243" s="925"/>
      <c r="F243" s="926"/>
      <c r="G243" s="926"/>
      <c r="H243" s="926"/>
      <c r="I243" s="926"/>
      <c r="J243" s="926"/>
      <c r="K243" s="926"/>
      <c r="L243" s="926"/>
      <c r="M243" s="926"/>
      <c r="N243" s="926"/>
      <c r="O243" s="926"/>
      <c r="P243" s="926"/>
      <c r="Q243" s="926"/>
      <c r="R243" s="926"/>
      <c r="S243" s="926"/>
      <c r="T243" s="926"/>
      <c r="U243" s="926"/>
      <c r="V243" s="926"/>
      <c r="W243" s="926"/>
      <c r="X243" s="926"/>
      <c r="Y243" s="926"/>
      <c r="Z243" s="926"/>
      <c r="AA243" s="926"/>
      <c r="AB243" s="926"/>
      <c r="AC243" s="926"/>
      <c r="AD243" s="926"/>
      <c r="AE243" s="926"/>
      <c r="AF243" s="926"/>
      <c r="AG243" s="926"/>
      <c r="AH243" s="926"/>
      <c r="AI243" s="926"/>
      <c r="AJ243" s="926"/>
      <c r="AK243" s="926"/>
      <c r="AL243" s="926"/>
      <c r="AM243" s="926"/>
      <c r="AN243" s="926"/>
      <c r="AO243" s="926"/>
      <c r="AP243" s="926"/>
      <c r="AQ243" s="926"/>
      <c r="AR243" s="926"/>
      <c r="AS243" s="926"/>
      <c r="AT243" s="926"/>
      <c r="AU243" s="927"/>
      <c r="AV243" s="927"/>
      <c r="AW243" s="927"/>
      <c r="AX243" s="927"/>
      <c r="AY243" s="927"/>
      <c r="AZ243" s="927"/>
      <c r="BA243" s="927"/>
      <c r="BB243" s="927"/>
      <c r="BC243" s="928"/>
      <c r="BD243" s="929"/>
      <c r="BE243" s="930"/>
      <c r="BF243" s="930"/>
      <c r="BG243" s="931"/>
      <c r="BH243" s="931"/>
      <c r="BI243" s="926"/>
      <c r="BJ243" s="926"/>
      <c r="BK243" s="926"/>
      <c r="BL243" s="926"/>
      <c r="BM243" s="926"/>
      <c r="BN243" s="926"/>
      <c r="BO243" s="926"/>
      <c r="BP243" s="926"/>
      <c r="BQ243" s="926"/>
      <c r="BR243" s="926"/>
      <c r="BS243" s="926"/>
      <c r="BT243" s="926"/>
      <c r="BU243" s="926"/>
      <c r="BV243" s="926"/>
      <c r="BW243" s="926"/>
      <c r="BX243" s="926"/>
      <c r="BY243" s="932"/>
      <c r="BZ243" s="932"/>
      <c r="CA243" s="932"/>
      <c r="CB243" s="932"/>
      <c r="CC243" s="932"/>
      <c r="CD243" s="932"/>
      <c r="CE243" s="932"/>
      <c r="CF243" s="932"/>
    </row>
    <row r="244" spans="1:84" x14ac:dyDescent="0.25">
      <c r="A244" s="876">
        <v>37805</v>
      </c>
      <c r="B244" s="873" t="s">
        <v>1456</v>
      </c>
      <c r="C244" s="921">
        <v>88273679</v>
      </c>
      <c r="D244" s="924">
        <v>5.4328600000000003E-4</v>
      </c>
      <c r="E244" s="925"/>
      <c r="F244" s="926"/>
      <c r="G244" s="926"/>
      <c r="H244" s="926"/>
      <c r="I244" s="926"/>
      <c r="J244" s="926"/>
      <c r="K244" s="926"/>
      <c r="L244" s="926"/>
      <c r="M244" s="926"/>
      <c r="N244" s="926"/>
      <c r="O244" s="926"/>
      <c r="P244" s="926"/>
      <c r="Q244" s="926"/>
      <c r="R244" s="926"/>
      <c r="S244" s="926"/>
      <c r="T244" s="926"/>
      <c r="U244" s="926"/>
      <c r="V244" s="926"/>
      <c r="W244" s="926"/>
      <c r="X244" s="926"/>
      <c r="Y244" s="926"/>
      <c r="Z244" s="926"/>
      <c r="AA244" s="926"/>
      <c r="AB244" s="926"/>
      <c r="AC244" s="926"/>
      <c r="AD244" s="926"/>
      <c r="AE244" s="926"/>
      <c r="AF244" s="926"/>
      <c r="AG244" s="926"/>
      <c r="AH244" s="926"/>
      <c r="AI244" s="926"/>
      <c r="AJ244" s="926"/>
      <c r="AK244" s="926"/>
      <c r="AL244" s="926"/>
      <c r="AM244" s="926"/>
      <c r="AN244" s="926"/>
      <c r="AO244" s="926"/>
      <c r="AP244" s="926"/>
      <c r="AQ244" s="926"/>
      <c r="AR244" s="926"/>
      <c r="AS244" s="926"/>
      <c r="AT244" s="926"/>
      <c r="AU244" s="927"/>
      <c r="AV244" s="927"/>
      <c r="AW244" s="927"/>
      <c r="AX244" s="927"/>
      <c r="AY244" s="927"/>
      <c r="AZ244" s="927"/>
      <c r="BA244" s="927"/>
      <c r="BB244" s="927"/>
      <c r="BC244" s="928"/>
      <c r="BD244" s="929"/>
      <c r="BE244" s="930"/>
      <c r="BF244" s="930"/>
      <c r="BG244" s="931"/>
      <c r="BH244" s="931"/>
      <c r="BI244" s="926"/>
      <c r="BJ244" s="926"/>
      <c r="BK244" s="926"/>
      <c r="BL244" s="926"/>
      <c r="BM244" s="926"/>
      <c r="BN244" s="926"/>
      <c r="BO244" s="926"/>
      <c r="BP244" s="926"/>
      <c r="BQ244" s="926"/>
      <c r="BR244" s="926"/>
      <c r="BS244" s="926"/>
      <c r="BT244" s="926"/>
      <c r="BU244" s="926"/>
      <c r="BV244" s="926"/>
      <c r="BW244" s="926"/>
      <c r="BX244" s="926"/>
      <c r="BY244" s="932"/>
      <c r="BZ244" s="932"/>
      <c r="CA244" s="932"/>
      <c r="CB244" s="932"/>
      <c r="CC244" s="932"/>
      <c r="CD244" s="932"/>
      <c r="CE244" s="932"/>
      <c r="CF244" s="932"/>
    </row>
    <row r="245" spans="1:84" x14ac:dyDescent="0.25">
      <c r="A245" s="876">
        <v>37900</v>
      </c>
      <c r="B245" s="873" t="s">
        <v>1457</v>
      </c>
      <c r="C245" s="921">
        <v>609252229</v>
      </c>
      <c r="D245" s="924">
        <v>3.74968E-3</v>
      </c>
      <c r="E245" s="925"/>
      <c r="F245" s="926"/>
      <c r="G245" s="926"/>
      <c r="H245" s="926"/>
      <c r="I245" s="926"/>
      <c r="J245" s="926"/>
      <c r="K245" s="926"/>
      <c r="L245" s="926"/>
      <c r="M245" s="926"/>
      <c r="N245" s="926"/>
      <c r="O245" s="926"/>
      <c r="P245" s="926"/>
      <c r="Q245" s="926"/>
      <c r="R245" s="926"/>
      <c r="S245" s="926"/>
      <c r="T245" s="926"/>
      <c r="U245" s="926"/>
      <c r="V245" s="926"/>
      <c r="W245" s="926"/>
      <c r="X245" s="926"/>
      <c r="Y245" s="926"/>
      <c r="Z245" s="926"/>
      <c r="AA245" s="926"/>
      <c r="AB245" s="926"/>
      <c r="AC245" s="926"/>
      <c r="AD245" s="926"/>
      <c r="AE245" s="926"/>
      <c r="AF245" s="926"/>
      <c r="AG245" s="926"/>
      <c r="AH245" s="926"/>
      <c r="AI245" s="926"/>
      <c r="AJ245" s="926"/>
      <c r="AK245" s="926"/>
      <c r="AL245" s="926"/>
      <c r="AM245" s="926"/>
      <c r="AN245" s="926"/>
      <c r="AO245" s="926"/>
      <c r="AP245" s="926"/>
      <c r="AQ245" s="926"/>
      <c r="AR245" s="926"/>
      <c r="AS245" s="926"/>
      <c r="AT245" s="926"/>
      <c r="AU245" s="927"/>
      <c r="AV245" s="927"/>
      <c r="AW245" s="927"/>
      <c r="AX245" s="927"/>
      <c r="AY245" s="927"/>
      <c r="AZ245" s="927"/>
      <c r="BA245" s="927"/>
      <c r="BB245" s="927"/>
      <c r="BC245" s="928"/>
      <c r="BD245" s="929"/>
      <c r="BE245" s="930"/>
      <c r="BF245" s="930"/>
      <c r="BG245" s="931"/>
      <c r="BH245" s="931"/>
      <c r="BI245" s="926"/>
      <c r="BJ245" s="926"/>
      <c r="BK245" s="926"/>
      <c r="BL245" s="926"/>
      <c r="BM245" s="926"/>
      <c r="BN245" s="926"/>
      <c r="BO245" s="926"/>
      <c r="BP245" s="926"/>
      <c r="BQ245" s="926"/>
      <c r="BR245" s="926"/>
      <c r="BS245" s="926"/>
      <c r="BT245" s="926"/>
      <c r="BU245" s="926"/>
      <c r="BV245" s="926"/>
      <c r="BW245" s="926"/>
      <c r="BX245" s="926"/>
      <c r="BY245" s="932"/>
      <c r="BZ245" s="932"/>
      <c r="CA245" s="932"/>
      <c r="CB245" s="932"/>
      <c r="CC245" s="932"/>
      <c r="CD245" s="932"/>
      <c r="CE245" s="932"/>
      <c r="CF245" s="932"/>
    </row>
    <row r="246" spans="1:84" x14ac:dyDescent="0.25">
      <c r="A246" s="876">
        <v>37901</v>
      </c>
      <c r="B246" s="873" t="s">
        <v>1458</v>
      </c>
      <c r="C246" s="921">
        <v>12013720</v>
      </c>
      <c r="D246" s="924">
        <v>7.3938999999999998E-5</v>
      </c>
      <c r="E246" s="925"/>
      <c r="F246" s="926"/>
      <c r="G246" s="926"/>
      <c r="H246" s="926"/>
      <c r="I246" s="926"/>
      <c r="J246" s="926"/>
      <c r="K246" s="926"/>
      <c r="L246" s="926"/>
      <c r="M246" s="926"/>
      <c r="N246" s="926"/>
      <c r="O246" s="926"/>
      <c r="P246" s="926"/>
      <c r="Q246" s="926"/>
      <c r="R246" s="926"/>
      <c r="S246" s="926"/>
      <c r="T246" s="926"/>
      <c r="U246" s="926"/>
      <c r="V246" s="926"/>
      <c r="W246" s="926"/>
      <c r="X246" s="926"/>
      <c r="Y246" s="926"/>
      <c r="Z246" s="926"/>
      <c r="AA246" s="926"/>
      <c r="AB246" s="926"/>
      <c r="AC246" s="926"/>
      <c r="AD246" s="926"/>
      <c r="AE246" s="926"/>
      <c r="AF246" s="926"/>
      <c r="AG246" s="926"/>
      <c r="AH246" s="926"/>
      <c r="AI246" s="926"/>
      <c r="AJ246" s="926"/>
      <c r="AK246" s="926"/>
      <c r="AL246" s="926"/>
      <c r="AM246" s="926"/>
      <c r="AN246" s="926"/>
      <c r="AO246" s="926"/>
      <c r="AP246" s="926"/>
      <c r="AQ246" s="926"/>
      <c r="AR246" s="926"/>
      <c r="AS246" s="926"/>
      <c r="AT246" s="926"/>
      <c r="AU246" s="927"/>
      <c r="AV246" s="927"/>
      <c r="AW246" s="927"/>
      <c r="AX246" s="927"/>
      <c r="AY246" s="927"/>
      <c r="AZ246" s="927"/>
      <c r="BA246" s="927"/>
      <c r="BB246" s="927"/>
      <c r="BC246" s="928"/>
      <c r="BD246" s="929"/>
      <c r="BE246" s="930"/>
      <c r="BF246" s="930"/>
      <c r="BG246" s="931"/>
      <c r="BH246" s="931"/>
      <c r="BI246" s="926"/>
      <c r="BJ246" s="926"/>
      <c r="BK246" s="926"/>
      <c r="BL246" s="926"/>
      <c r="BM246" s="926"/>
      <c r="BN246" s="926"/>
      <c r="BO246" s="926"/>
      <c r="BP246" s="926"/>
      <c r="BQ246" s="926"/>
      <c r="BR246" s="926"/>
      <c r="BS246" s="926"/>
      <c r="BT246" s="926"/>
      <c r="BU246" s="926"/>
      <c r="BV246" s="926"/>
      <c r="BW246" s="926"/>
      <c r="BX246" s="926"/>
      <c r="BY246" s="932"/>
      <c r="BZ246" s="932"/>
      <c r="CA246" s="932"/>
      <c r="CB246" s="932"/>
      <c r="CC246" s="932"/>
      <c r="CD246" s="932"/>
      <c r="CE246" s="932"/>
      <c r="CF246" s="932"/>
    </row>
    <row r="247" spans="1:84" x14ac:dyDescent="0.25">
      <c r="A247" s="876">
        <v>37905</v>
      </c>
      <c r="B247" s="873" t="s">
        <v>1459</v>
      </c>
      <c r="C247" s="921">
        <v>67796375</v>
      </c>
      <c r="D247" s="924">
        <v>4.1725699999999998E-4</v>
      </c>
      <c r="E247" s="925"/>
      <c r="F247" s="926"/>
      <c r="G247" s="926"/>
      <c r="H247" s="926"/>
      <c r="I247" s="926"/>
      <c r="J247" s="926"/>
      <c r="K247" s="926"/>
      <c r="L247" s="926"/>
      <c r="M247" s="926"/>
      <c r="N247" s="926"/>
      <c r="O247" s="926"/>
      <c r="P247" s="926"/>
      <c r="Q247" s="926"/>
      <c r="R247" s="926"/>
      <c r="S247" s="926"/>
      <c r="T247" s="926"/>
      <c r="U247" s="926"/>
      <c r="V247" s="926"/>
      <c r="W247" s="926"/>
      <c r="X247" s="926"/>
      <c r="Y247" s="926"/>
      <c r="Z247" s="926"/>
      <c r="AA247" s="926"/>
      <c r="AB247" s="926"/>
      <c r="AC247" s="926"/>
      <c r="AD247" s="926"/>
      <c r="AE247" s="926"/>
      <c r="AF247" s="926"/>
      <c r="AG247" s="926"/>
      <c r="AH247" s="926"/>
      <c r="AI247" s="926"/>
      <c r="AJ247" s="926"/>
      <c r="AK247" s="926"/>
      <c r="AL247" s="926"/>
      <c r="AM247" s="926"/>
      <c r="AN247" s="926"/>
      <c r="AO247" s="926"/>
      <c r="AP247" s="926"/>
      <c r="AQ247" s="926"/>
      <c r="AR247" s="926"/>
      <c r="AS247" s="926"/>
      <c r="AT247" s="926"/>
      <c r="AU247" s="927"/>
      <c r="AV247" s="927"/>
      <c r="AW247" s="927"/>
      <c r="AX247" s="927"/>
      <c r="AY247" s="927"/>
      <c r="AZ247" s="927"/>
      <c r="BA247" s="927"/>
      <c r="BB247" s="927"/>
      <c r="BC247" s="928"/>
      <c r="BD247" s="929"/>
      <c r="BE247" s="930"/>
      <c r="BF247" s="930"/>
      <c r="BG247" s="931"/>
      <c r="BH247" s="931"/>
      <c r="BI247" s="926"/>
      <c r="BJ247" s="926"/>
      <c r="BK247" s="926"/>
      <c r="BL247" s="926"/>
      <c r="BM247" s="926"/>
      <c r="BN247" s="926"/>
      <c r="BO247" s="926"/>
      <c r="BP247" s="926"/>
      <c r="BQ247" s="926"/>
      <c r="BR247" s="926"/>
      <c r="BS247" s="926"/>
      <c r="BT247" s="926"/>
      <c r="BU247" s="926"/>
      <c r="BV247" s="926"/>
      <c r="BW247" s="926"/>
      <c r="BX247" s="926"/>
      <c r="BY247" s="932"/>
      <c r="BZ247" s="932"/>
      <c r="CA247" s="932"/>
      <c r="CB247" s="932"/>
      <c r="CC247" s="932"/>
      <c r="CD247" s="932"/>
      <c r="CE247" s="932"/>
      <c r="CF247" s="932"/>
    </row>
    <row r="248" spans="1:84" x14ac:dyDescent="0.25">
      <c r="A248" s="876">
        <v>38000</v>
      </c>
      <c r="B248" s="873" t="s">
        <v>1460</v>
      </c>
      <c r="C248" s="921">
        <v>1049509439</v>
      </c>
      <c r="D248" s="924">
        <v>6.4592690000000001E-3</v>
      </c>
      <c r="E248" s="925"/>
      <c r="F248" s="926"/>
      <c r="G248" s="926"/>
      <c r="H248" s="926"/>
      <c r="I248" s="926"/>
      <c r="J248" s="926"/>
      <c r="K248" s="926"/>
      <c r="L248" s="926"/>
      <c r="M248" s="926"/>
      <c r="N248" s="926"/>
      <c r="O248" s="926"/>
      <c r="P248" s="926"/>
      <c r="Q248" s="926"/>
      <c r="R248" s="926"/>
      <c r="S248" s="926"/>
      <c r="T248" s="926"/>
      <c r="U248" s="926"/>
      <c r="V248" s="926"/>
      <c r="W248" s="926"/>
      <c r="X248" s="926"/>
      <c r="Y248" s="926"/>
      <c r="Z248" s="926"/>
      <c r="AA248" s="926"/>
      <c r="AB248" s="926"/>
      <c r="AC248" s="926"/>
      <c r="AD248" s="926"/>
      <c r="AE248" s="926"/>
      <c r="AF248" s="926"/>
      <c r="AG248" s="926"/>
      <c r="AH248" s="926"/>
      <c r="AI248" s="926"/>
      <c r="AJ248" s="926"/>
      <c r="AK248" s="926"/>
      <c r="AL248" s="926"/>
      <c r="AM248" s="926"/>
      <c r="AN248" s="926"/>
      <c r="AO248" s="926"/>
      <c r="AP248" s="926"/>
      <c r="AQ248" s="926"/>
      <c r="AR248" s="926"/>
      <c r="AS248" s="926"/>
      <c r="AT248" s="926"/>
      <c r="AU248" s="927"/>
      <c r="AV248" s="927"/>
      <c r="AW248" s="927"/>
      <c r="AX248" s="927"/>
      <c r="AY248" s="927"/>
      <c r="AZ248" s="927"/>
      <c r="BA248" s="927"/>
      <c r="BB248" s="927"/>
      <c r="BC248" s="928"/>
      <c r="BD248" s="929"/>
      <c r="BE248" s="930"/>
      <c r="BF248" s="930"/>
      <c r="BG248" s="931"/>
      <c r="BH248" s="931"/>
      <c r="BI248" s="926"/>
      <c r="BJ248" s="926"/>
      <c r="BK248" s="926"/>
      <c r="BL248" s="926"/>
      <c r="BM248" s="926"/>
      <c r="BN248" s="926"/>
      <c r="BO248" s="926"/>
      <c r="BP248" s="926"/>
      <c r="BQ248" s="926"/>
      <c r="BR248" s="926"/>
      <c r="BS248" s="926"/>
      <c r="BT248" s="926"/>
      <c r="BU248" s="926"/>
      <c r="BV248" s="926"/>
      <c r="BW248" s="926"/>
      <c r="BX248" s="926"/>
      <c r="BY248" s="932"/>
      <c r="BZ248" s="932"/>
      <c r="CA248" s="932"/>
      <c r="CB248" s="932"/>
      <c r="CC248" s="932"/>
      <c r="CD248" s="932"/>
      <c r="CE248" s="932"/>
      <c r="CF248" s="932"/>
    </row>
    <row r="249" spans="1:84" x14ac:dyDescent="0.25">
      <c r="A249" s="876">
        <v>38005</v>
      </c>
      <c r="B249" s="873" t="s">
        <v>1461</v>
      </c>
      <c r="C249" s="921">
        <v>188977775</v>
      </c>
      <c r="D249" s="924">
        <v>1.163075E-3</v>
      </c>
      <c r="E249" s="925"/>
      <c r="F249" s="926"/>
      <c r="G249" s="926"/>
      <c r="H249" s="926"/>
      <c r="I249" s="926"/>
      <c r="J249" s="926"/>
      <c r="K249" s="926"/>
      <c r="L249" s="926"/>
      <c r="M249" s="926"/>
      <c r="N249" s="926"/>
      <c r="O249" s="926"/>
      <c r="P249" s="926"/>
      <c r="Q249" s="926"/>
      <c r="R249" s="926"/>
      <c r="S249" s="926"/>
      <c r="T249" s="926"/>
      <c r="U249" s="926"/>
      <c r="V249" s="926"/>
      <c r="W249" s="926"/>
      <c r="X249" s="926"/>
      <c r="Y249" s="926"/>
      <c r="Z249" s="926"/>
      <c r="AA249" s="926"/>
      <c r="AB249" s="926"/>
      <c r="AC249" s="926"/>
      <c r="AD249" s="926"/>
      <c r="AE249" s="926"/>
      <c r="AF249" s="926"/>
      <c r="AG249" s="926"/>
      <c r="AH249" s="926"/>
      <c r="AI249" s="926"/>
      <c r="AJ249" s="926"/>
      <c r="AK249" s="926"/>
      <c r="AL249" s="926"/>
      <c r="AM249" s="926"/>
      <c r="AN249" s="926"/>
      <c r="AO249" s="926"/>
      <c r="AP249" s="926"/>
      <c r="AQ249" s="926"/>
      <c r="AR249" s="926"/>
      <c r="AS249" s="926"/>
      <c r="AT249" s="926"/>
      <c r="AU249" s="927"/>
      <c r="AV249" s="927"/>
      <c r="AW249" s="927"/>
      <c r="AX249" s="927"/>
      <c r="AY249" s="927"/>
      <c r="AZ249" s="927"/>
      <c r="BA249" s="927"/>
      <c r="BB249" s="927"/>
      <c r="BC249" s="928"/>
      <c r="BD249" s="929"/>
      <c r="BE249" s="930"/>
      <c r="BF249" s="930"/>
      <c r="BG249" s="931"/>
      <c r="BH249" s="931"/>
      <c r="BI249" s="926"/>
      <c r="BJ249" s="926"/>
      <c r="BK249" s="926"/>
      <c r="BL249" s="926"/>
      <c r="BM249" s="926"/>
      <c r="BN249" s="926"/>
      <c r="BO249" s="926"/>
      <c r="BP249" s="926"/>
      <c r="BQ249" s="926"/>
      <c r="BR249" s="926"/>
      <c r="BS249" s="926"/>
      <c r="BT249" s="926"/>
      <c r="BU249" s="926"/>
      <c r="BV249" s="926"/>
      <c r="BW249" s="926"/>
      <c r="BX249" s="926"/>
      <c r="BY249" s="932"/>
      <c r="BZ249" s="932"/>
      <c r="CA249" s="932"/>
      <c r="CB249" s="932"/>
      <c r="CC249" s="932"/>
      <c r="CD249" s="932"/>
      <c r="CE249" s="932"/>
      <c r="CF249" s="932"/>
    </row>
    <row r="250" spans="1:84" x14ac:dyDescent="0.25">
      <c r="A250" s="876">
        <v>38100</v>
      </c>
      <c r="B250" s="873" t="s">
        <v>1462</v>
      </c>
      <c r="C250" s="921">
        <v>466947139</v>
      </c>
      <c r="D250" s="924">
        <v>2.8738539999999999E-3</v>
      </c>
      <c r="E250" s="925"/>
      <c r="F250" s="926"/>
      <c r="G250" s="926"/>
      <c r="H250" s="926"/>
      <c r="I250" s="926"/>
      <c r="J250" s="926"/>
      <c r="K250" s="926"/>
      <c r="L250" s="926"/>
      <c r="M250" s="926"/>
      <c r="N250" s="926"/>
      <c r="O250" s="926"/>
      <c r="P250" s="926"/>
      <c r="Q250" s="926"/>
      <c r="R250" s="926"/>
      <c r="S250" s="926"/>
      <c r="T250" s="926"/>
      <c r="U250" s="926"/>
      <c r="V250" s="926"/>
      <c r="W250" s="926"/>
      <c r="X250" s="926"/>
      <c r="Y250" s="926"/>
      <c r="Z250" s="926"/>
      <c r="AA250" s="926"/>
      <c r="AB250" s="926"/>
      <c r="AC250" s="926"/>
      <c r="AD250" s="926"/>
      <c r="AE250" s="926"/>
      <c r="AF250" s="926"/>
      <c r="AG250" s="926"/>
      <c r="AH250" s="926"/>
      <c r="AI250" s="926"/>
      <c r="AJ250" s="926"/>
      <c r="AK250" s="926"/>
      <c r="AL250" s="926"/>
      <c r="AM250" s="926"/>
      <c r="AN250" s="926"/>
      <c r="AO250" s="926"/>
      <c r="AP250" s="926"/>
      <c r="AQ250" s="926"/>
      <c r="AR250" s="926"/>
      <c r="AS250" s="926"/>
      <c r="AT250" s="926"/>
      <c r="AU250" s="927"/>
      <c r="AV250" s="927"/>
      <c r="AW250" s="927"/>
      <c r="AX250" s="927"/>
      <c r="AY250" s="927"/>
      <c r="AZ250" s="927"/>
      <c r="BA250" s="927"/>
      <c r="BB250" s="927"/>
      <c r="BC250" s="928"/>
      <c r="BD250" s="929"/>
      <c r="BE250" s="930"/>
      <c r="BF250" s="930"/>
      <c r="BG250" s="931"/>
      <c r="BH250" s="931"/>
      <c r="BI250" s="926"/>
      <c r="BJ250" s="926"/>
      <c r="BK250" s="926"/>
      <c r="BL250" s="926"/>
      <c r="BM250" s="926"/>
      <c r="BN250" s="926"/>
      <c r="BO250" s="926"/>
      <c r="BP250" s="926"/>
      <c r="BQ250" s="926"/>
      <c r="BR250" s="926"/>
      <c r="BS250" s="926"/>
      <c r="BT250" s="926"/>
      <c r="BU250" s="926"/>
      <c r="BV250" s="926"/>
      <c r="BW250" s="926"/>
      <c r="BX250" s="926"/>
      <c r="BY250" s="932"/>
      <c r="BZ250" s="932"/>
      <c r="CA250" s="932"/>
      <c r="CB250" s="932"/>
      <c r="CC250" s="932"/>
      <c r="CD250" s="932"/>
      <c r="CE250" s="932"/>
      <c r="CF250" s="932"/>
    </row>
    <row r="251" spans="1:84" x14ac:dyDescent="0.25">
      <c r="A251" s="876">
        <v>38105</v>
      </c>
      <c r="B251" s="873" t="s">
        <v>1463</v>
      </c>
      <c r="C251" s="921">
        <v>88590540</v>
      </c>
      <c r="D251" s="924">
        <v>5.4523600000000005E-4</v>
      </c>
      <c r="E251" s="925"/>
      <c r="F251" s="926"/>
      <c r="G251" s="926"/>
      <c r="H251" s="926"/>
      <c r="I251" s="926"/>
      <c r="J251" s="926"/>
      <c r="K251" s="926"/>
      <c r="L251" s="926"/>
      <c r="M251" s="926"/>
      <c r="N251" s="926"/>
      <c r="O251" s="926"/>
      <c r="P251" s="926"/>
      <c r="Q251" s="926"/>
      <c r="R251" s="926"/>
      <c r="S251" s="926"/>
      <c r="T251" s="926"/>
      <c r="U251" s="926"/>
      <c r="V251" s="926"/>
      <c r="W251" s="926"/>
      <c r="X251" s="926"/>
      <c r="Y251" s="926"/>
      <c r="Z251" s="926"/>
      <c r="AA251" s="926"/>
      <c r="AB251" s="926"/>
      <c r="AC251" s="926"/>
      <c r="AD251" s="926"/>
      <c r="AE251" s="926"/>
      <c r="AF251" s="926"/>
      <c r="AG251" s="926"/>
      <c r="AH251" s="926"/>
      <c r="AI251" s="926"/>
      <c r="AJ251" s="926"/>
      <c r="AK251" s="926"/>
      <c r="AL251" s="926"/>
      <c r="AM251" s="926"/>
      <c r="AN251" s="926"/>
      <c r="AO251" s="926"/>
      <c r="AP251" s="926"/>
      <c r="AQ251" s="926"/>
      <c r="AR251" s="926"/>
      <c r="AS251" s="926"/>
      <c r="AT251" s="926"/>
      <c r="AU251" s="927"/>
      <c r="AV251" s="927"/>
      <c r="AW251" s="927"/>
      <c r="AX251" s="927"/>
      <c r="AY251" s="927"/>
      <c r="AZ251" s="927"/>
      <c r="BA251" s="927"/>
      <c r="BB251" s="927"/>
      <c r="BC251" s="928"/>
      <c r="BD251" s="929"/>
      <c r="BE251" s="930"/>
      <c r="BF251" s="930"/>
      <c r="BG251" s="931"/>
      <c r="BH251" s="931"/>
      <c r="BI251" s="926"/>
      <c r="BJ251" s="926"/>
      <c r="BK251" s="926"/>
      <c r="BL251" s="926"/>
      <c r="BM251" s="926"/>
      <c r="BN251" s="926"/>
      <c r="BO251" s="926"/>
      <c r="BP251" s="926"/>
      <c r="BQ251" s="926"/>
      <c r="BR251" s="926"/>
      <c r="BS251" s="926"/>
      <c r="BT251" s="926"/>
      <c r="BU251" s="926"/>
      <c r="BV251" s="926"/>
      <c r="BW251" s="926"/>
      <c r="BX251" s="926"/>
      <c r="BY251" s="932"/>
      <c r="BZ251" s="932"/>
      <c r="CA251" s="932"/>
      <c r="CB251" s="932"/>
      <c r="CC251" s="932"/>
      <c r="CD251" s="932"/>
      <c r="CE251" s="932"/>
      <c r="CF251" s="932"/>
    </row>
    <row r="252" spans="1:84" x14ac:dyDescent="0.25">
      <c r="A252" s="876">
        <v>38200</v>
      </c>
      <c r="B252" s="873" t="s">
        <v>1464</v>
      </c>
      <c r="C252" s="921">
        <v>437830077</v>
      </c>
      <c r="D252" s="924">
        <v>2.6946520000000001E-3</v>
      </c>
      <c r="E252" s="925"/>
      <c r="F252" s="926"/>
      <c r="G252" s="926"/>
      <c r="H252" s="926"/>
      <c r="I252" s="926"/>
      <c r="J252" s="926"/>
      <c r="K252" s="926"/>
      <c r="L252" s="926"/>
      <c r="M252" s="926"/>
      <c r="N252" s="926"/>
      <c r="O252" s="926"/>
      <c r="P252" s="926"/>
      <c r="Q252" s="926"/>
      <c r="R252" s="926"/>
      <c r="S252" s="926"/>
      <c r="T252" s="926"/>
      <c r="U252" s="926"/>
      <c r="V252" s="926"/>
      <c r="W252" s="926"/>
      <c r="X252" s="926"/>
      <c r="Y252" s="926"/>
      <c r="Z252" s="926"/>
      <c r="AA252" s="926"/>
      <c r="AB252" s="926"/>
      <c r="AC252" s="926"/>
      <c r="AD252" s="926"/>
      <c r="AE252" s="926"/>
      <c r="AF252" s="926"/>
      <c r="AG252" s="926"/>
      <c r="AH252" s="926"/>
      <c r="AI252" s="926"/>
      <c r="AJ252" s="926"/>
      <c r="AK252" s="926"/>
      <c r="AL252" s="926"/>
      <c r="AM252" s="926"/>
      <c r="AN252" s="926"/>
      <c r="AO252" s="926"/>
      <c r="AP252" s="926"/>
      <c r="AQ252" s="926"/>
      <c r="AR252" s="926"/>
      <c r="AS252" s="926"/>
      <c r="AT252" s="926"/>
      <c r="AU252" s="927"/>
      <c r="AV252" s="927"/>
      <c r="AW252" s="927"/>
      <c r="AX252" s="927"/>
      <c r="AY252" s="927"/>
      <c r="AZ252" s="927"/>
      <c r="BA252" s="927"/>
      <c r="BB252" s="927"/>
      <c r="BC252" s="928"/>
      <c r="BD252" s="929"/>
      <c r="BE252" s="930"/>
      <c r="BF252" s="930"/>
      <c r="BG252" s="931"/>
      <c r="BH252" s="931"/>
      <c r="BI252" s="926"/>
      <c r="BJ252" s="926"/>
      <c r="BK252" s="926"/>
      <c r="BL252" s="926"/>
      <c r="BM252" s="926"/>
      <c r="BN252" s="926"/>
      <c r="BO252" s="926"/>
      <c r="BP252" s="926"/>
      <c r="BQ252" s="926"/>
      <c r="BR252" s="926"/>
      <c r="BS252" s="926"/>
      <c r="BT252" s="926"/>
      <c r="BU252" s="926"/>
      <c r="BV252" s="926"/>
      <c r="BW252" s="926"/>
      <c r="BX252" s="926"/>
      <c r="BY252" s="932"/>
      <c r="BZ252" s="932"/>
      <c r="CA252" s="932"/>
      <c r="CB252" s="932"/>
      <c r="CC252" s="932"/>
      <c r="CD252" s="932"/>
      <c r="CE252" s="932"/>
      <c r="CF252" s="932"/>
    </row>
    <row r="253" spans="1:84" x14ac:dyDescent="0.25">
      <c r="A253" s="876">
        <v>38205</v>
      </c>
      <c r="B253" s="873" t="s">
        <v>1465</v>
      </c>
      <c r="C253" s="921">
        <v>61103352</v>
      </c>
      <c r="D253" s="924">
        <v>3.7606400000000001E-4</v>
      </c>
      <c r="E253" s="925"/>
      <c r="F253" s="926"/>
      <c r="G253" s="926"/>
      <c r="H253" s="926"/>
      <c r="I253" s="926"/>
      <c r="J253" s="926"/>
      <c r="K253" s="926"/>
      <c r="L253" s="926"/>
      <c r="M253" s="926"/>
      <c r="N253" s="926"/>
      <c r="O253" s="926"/>
      <c r="P253" s="926"/>
      <c r="Q253" s="926"/>
      <c r="R253" s="926"/>
      <c r="S253" s="926"/>
      <c r="T253" s="926"/>
      <c r="U253" s="926"/>
      <c r="V253" s="926"/>
      <c r="W253" s="926"/>
      <c r="X253" s="926"/>
      <c r="Y253" s="926"/>
      <c r="Z253" s="926"/>
      <c r="AA253" s="926"/>
      <c r="AB253" s="926"/>
      <c r="AC253" s="926"/>
      <c r="AD253" s="926"/>
      <c r="AE253" s="926"/>
      <c r="AF253" s="926"/>
      <c r="AG253" s="926"/>
      <c r="AH253" s="926"/>
      <c r="AI253" s="926"/>
      <c r="AJ253" s="926"/>
      <c r="AK253" s="926"/>
      <c r="AL253" s="926"/>
      <c r="AM253" s="926"/>
      <c r="AN253" s="926"/>
      <c r="AO253" s="926"/>
      <c r="AP253" s="926"/>
      <c r="AQ253" s="926"/>
      <c r="AR253" s="926"/>
      <c r="AS253" s="926"/>
      <c r="AT253" s="926"/>
      <c r="AU253" s="927"/>
      <c r="AV253" s="927"/>
      <c r="AW253" s="927"/>
      <c r="AX253" s="927"/>
      <c r="AY253" s="927"/>
      <c r="AZ253" s="927"/>
      <c r="BA253" s="927"/>
      <c r="BB253" s="927"/>
      <c r="BC253" s="928"/>
      <c r="BD253" s="929"/>
      <c r="BE253" s="930"/>
      <c r="BF253" s="930"/>
      <c r="BG253" s="931"/>
      <c r="BH253" s="931"/>
      <c r="BI253" s="926"/>
      <c r="BJ253" s="926"/>
      <c r="BK253" s="926"/>
      <c r="BL253" s="926"/>
      <c r="BM253" s="926"/>
      <c r="BN253" s="926"/>
      <c r="BO253" s="926"/>
      <c r="BP253" s="926"/>
      <c r="BQ253" s="926"/>
      <c r="BR253" s="926"/>
      <c r="BS253" s="926"/>
      <c r="BT253" s="926"/>
      <c r="BU253" s="926"/>
      <c r="BV253" s="926"/>
      <c r="BW253" s="926"/>
      <c r="BX253" s="926"/>
      <c r="BY253" s="932"/>
      <c r="BZ253" s="932"/>
      <c r="CA253" s="932"/>
      <c r="CB253" s="932"/>
      <c r="CC253" s="932"/>
      <c r="CD253" s="932"/>
      <c r="CE253" s="932"/>
      <c r="CF253" s="932"/>
    </row>
    <row r="254" spans="1:84" x14ac:dyDescent="0.25">
      <c r="A254" s="876">
        <v>38210</v>
      </c>
      <c r="B254" s="873" t="s">
        <v>1466</v>
      </c>
      <c r="C254" s="921">
        <v>169263557</v>
      </c>
      <c r="D254" s="924">
        <v>1.0417429999999999E-3</v>
      </c>
      <c r="E254" s="925"/>
      <c r="F254" s="926"/>
      <c r="G254" s="926"/>
      <c r="H254" s="926"/>
      <c r="I254" s="926"/>
      <c r="J254" s="926"/>
      <c r="K254" s="926"/>
      <c r="L254" s="926"/>
      <c r="M254" s="926"/>
      <c r="N254" s="926"/>
      <c r="O254" s="926"/>
      <c r="P254" s="926"/>
      <c r="Q254" s="926"/>
      <c r="R254" s="926"/>
      <c r="S254" s="926"/>
      <c r="T254" s="926"/>
      <c r="U254" s="926"/>
      <c r="V254" s="926"/>
      <c r="W254" s="926"/>
      <c r="X254" s="926"/>
      <c r="Y254" s="926"/>
      <c r="Z254" s="926"/>
      <c r="AA254" s="926"/>
      <c r="AB254" s="926"/>
      <c r="AC254" s="926"/>
      <c r="AD254" s="926"/>
      <c r="AE254" s="926"/>
      <c r="AF254" s="926"/>
      <c r="AG254" s="926"/>
      <c r="AH254" s="926"/>
      <c r="AI254" s="926"/>
      <c r="AJ254" s="926"/>
      <c r="AK254" s="926"/>
      <c r="AL254" s="926"/>
      <c r="AM254" s="926"/>
      <c r="AN254" s="926"/>
      <c r="AO254" s="926"/>
      <c r="AP254" s="926"/>
      <c r="AQ254" s="926"/>
      <c r="AR254" s="926"/>
      <c r="AS254" s="926"/>
      <c r="AT254" s="926"/>
      <c r="AU254" s="927"/>
      <c r="AV254" s="927"/>
      <c r="AW254" s="927"/>
      <c r="AX254" s="927"/>
      <c r="AY254" s="927"/>
      <c r="AZ254" s="927"/>
      <c r="BA254" s="927"/>
      <c r="BB254" s="927"/>
      <c r="BC254" s="928"/>
      <c r="BD254" s="929"/>
      <c r="BE254" s="930"/>
      <c r="BF254" s="930"/>
      <c r="BG254" s="931"/>
      <c r="BH254" s="931"/>
      <c r="BI254" s="926"/>
      <c r="BJ254" s="926"/>
      <c r="BK254" s="926"/>
      <c r="BL254" s="926"/>
      <c r="BM254" s="926"/>
      <c r="BN254" s="926"/>
      <c r="BO254" s="926"/>
      <c r="BP254" s="926"/>
      <c r="BQ254" s="926"/>
      <c r="BR254" s="926"/>
      <c r="BS254" s="926"/>
      <c r="BT254" s="926"/>
      <c r="BU254" s="926"/>
      <c r="BV254" s="926"/>
      <c r="BW254" s="926"/>
      <c r="BX254" s="926"/>
      <c r="BY254" s="932"/>
      <c r="BZ254" s="932"/>
      <c r="CA254" s="932"/>
      <c r="CB254" s="932"/>
      <c r="CC254" s="932"/>
      <c r="CD254" s="932"/>
      <c r="CE254" s="932"/>
      <c r="CF254" s="932"/>
    </row>
    <row r="255" spans="1:84" x14ac:dyDescent="0.25">
      <c r="A255" s="876">
        <v>38300</v>
      </c>
      <c r="B255" s="873" t="s">
        <v>1467</v>
      </c>
      <c r="C255" s="921">
        <v>345930245</v>
      </c>
      <c r="D255" s="924">
        <v>2.129049E-3</v>
      </c>
      <c r="E255" s="925"/>
      <c r="F255" s="926"/>
      <c r="G255" s="926"/>
      <c r="H255" s="926"/>
      <c r="I255" s="926"/>
      <c r="J255" s="926"/>
      <c r="K255" s="926"/>
      <c r="L255" s="926"/>
      <c r="M255" s="926"/>
      <c r="N255" s="926"/>
      <c r="O255" s="926"/>
      <c r="P255" s="926"/>
      <c r="Q255" s="926"/>
      <c r="R255" s="926"/>
      <c r="S255" s="926"/>
      <c r="T255" s="926"/>
      <c r="U255" s="926"/>
      <c r="V255" s="926"/>
      <c r="W255" s="926"/>
      <c r="X255" s="926"/>
      <c r="Y255" s="926"/>
      <c r="Z255" s="926"/>
      <c r="AA255" s="926"/>
      <c r="AB255" s="926"/>
      <c r="AC255" s="926"/>
      <c r="AD255" s="926"/>
      <c r="AE255" s="926"/>
      <c r="AF255" s="926"/>
      <c r="AG255" s="926"/>
      <c r="AH255" s="926"/>
      <c r="AI255" s="926"/>
      <c r="AJ255" s="926"/>
      <c r="AK255" s="926"/>
      <c r="AL255" s="926"/>
      <c r="AM255" s="926"/>
      <c r="AN255" s="926"/>
      <c r="AO255" s="926"/>
      <c r="AP255" s="926"/>
      <c r="AQ255" s="926"/>
      <c r="AR255" s="926"/>
      <c r="AS255" s="926"/>
      <c r="AT255" s="926"/>
      <c r="AU255" s="927"/>
      <c r="AV255" s="927"/>
      <c r="AW255" s="927"/>
      <c r="AX255" s="927"/>
      <c r="AY255" s="927"/>
      <c r="AZ255" s="927"/>
      <c r="BA255" s="927"/>
      <c r="BB255" s="927"/>
      <c r="BC255" s="928"/>
      <c r="BD255" s="929"/>
      <c r="BE255" s="930"/>
      <c r="BF255" s="930"/>
      <c r="BG255" s="931"/>
      <c r="BH255" s="931"/>
      <c r="BI255" s="926"/>
      <c r="BJ255" s="926"/>
      <c r="BK255" s="926"/>
      <c r="BL255" s="926"/>
      <c r="BM255" s="926"/>
      <c r="BN255" s="926"/>
      <c r="BO255" s="926"/>
      <c r="BP255" s="926"/>
      <c r="BQ255" s="926"/>
      <c r="BR255" s="926"/>
      <c r="BS255" s="926"/>
      <c r="BT255" s="926"/>
      <c r="BU255" s="926"/>
      <c r="BV255" s="926"/>
      <c r="BW255" s="926"/>
      <c r="BX255" s="926"/>
      <c r="BY255" s="932"/>
      <c r="BZ255" s="932"/>
      <c r="CA255" s="932"/>
      <c r="CB255" s="932"/>
      <c r="CC255" s="932"/>
      <c r="CD255" s="932"/>
      <c r="CE255" s="932"/>
      <c r="CF255" s="932"/>
    </row>
    <row r="256" spans="1:84" x14ac:dyDescent="0.25">
      <c r="A256" s="876">
        <v>38400</v>
      </c>
      <c r="B256" s="873" t="s">
        <v>1468</v>
      </c>
      <c r="C256" s="921">
        <v>433356984</v>
      </c>
      <c r="D256" s="924">
        <v>2.6671220000000001E-3</v>
      </c>
      <c r="E256" s="925"/>
      <c r="F256" s="926"/>
      <c r="G256" s="926"/>
      <c r="H256" s="926"/>
      <c r="I256" s="926"/>
      <c r="J256" s="926"/>
      <c r="K256" s="926"/>
      <c r="L256" s="926"/>
      <c r="M256" s="926"/>
      <c r="N256" s="926"/>
      <c r="O256" s="926"/>
      <c r="P256" s="926"/>
      <c r="Q256" s="926"/>
      <c r="R256" s="926"/>
      <c r="S256" s="926"/>
      <c r="T256" s="926"/>
      <c r="U256" s="926"/>
      <c r="V256" s="926"/>
      <c r="W256" s="926"/>
      <c r="X256" s="926"/>
      <c r="Y256" s="926"/>
      <c r="Z256" s="926"/>
      <c r="AA256" s="926"/>
      <c r="AB256" s="926"/>
      <c r="AC256" s="926"/>
      <c r="AD256" s="926"/>
      <c r="AE256" s="926"/>
      <c r="AF256" s="926"/>
      <c r="AG256" s="926"/>
      <c r="AH256" s="926"/>
      <c r="AI256" s="926"/>
      <c r="AJ256" s="926"/>
      <c r="AK256" s="926"/>
      <c r="AL256" s="926"/>
      <c r="AM256" s="926"/>
      <c r="AN256" s="926"/>
      <c r="AO256" s="926"/>
      <c r="AP256" s="926"/>
      <c r="AQ256" s="926"/>
      <c r="AR256" s="926"/>
      <c r="AS256" s="926"/>
      <c r="AT256" s="926"/>
      <c r="AU256" s="927"/>
      <c r="AV256" s="927"/>
      <c r="AW256" s="927"/>
      <c r="AX256" s="927"/>
      <c r="AY256" s="927"/>
      <c r="AZ256" s="927"/>
      <c r="BA256" s="927"/>
      <c r="BB256" s="927"/>
      <c r="BC256" s="928"/>
      <c r="BD256" s="929"/>
      <c r="BE256" s="930"/>
      <c r="BF256" s="930"/>
      <c r="BG256" s="931"/>
      <c r="BH256" s="931"/>
      <c r="BI256" s="926"/>
      <c r="BJ256" s="926"/>
      <c r="BK256" s="926"/>
      <c r="BL256" s="926"/>
      <c r="BM256" s="926"/>
      <c r="BN256" s="926"/>
      <c r="BO256" s="926"/>
      <c r="BP256" s="926"/>
      <c r="BQ256" s="926"/>
      <c r="BR256" s="926"/>
      <c r="BS256" s="926"/>
      <c r="BT256" s="926"/>
      <c r="BU256" s="926"/>
      <c r="BV256" s="926"/>
      <c r="BW256" s="926"/>
      <c r="BX256" s="926"/>
      <c r="BY256" s="932"/>
      <c r="BZ256" s="932"/>
      <c r="CA256" s="932"/>
      <c r="CB256" s="932"/>
      <c r="CC256" s="932"/>
      <c r="CD256" s="932"/>
      <c r="CE256" s="932"/>
      <c r="CF256" s="932"/>
    </row>
    <row r="257" spans="1:84" x14ac:dyDescent="0.25">
      <c r="A257" s="876">
        <v>38402</v>
      </c>
      <c r="B257" s="873" t="s">
        <v>1469</v>
      </c>
      <c r="C257" s="921">
        <v>30141027</v>
      </c>
      <c r="D257" s="924">
        <v>1.8550500000000001E-4</v>
      </c>
      <c r="E257" s="925"/>
      <c r="F257" s="926"/>
      <c r="G257" s="926"/>
      <c r="H257" s="926"/>
      <c r="I257" s="926"/>
      <c r="J257" s="926"/>
      <c r="K257" s="926"/>
      <c r="L257" s="926"/>
      <c r="M257" s="926"/>
      <c r="N257" s="926"/>
      <c r="O257" s="926"/>
      <c r="P257" s="926"/>
      <c r="Q257" s="926"/>
      <c r="R257" s="926"/>
      <c r="S257" s="926"/>
      <c r="T257" s="926"/>
      <c r="U257" s="926"/>
      <c r="V257" s="926"/>
      <c r="W257" s="926"/>
      <c r="X257" s="926"/>
      <c r="Y257" s="926"/>
      <c r="Z257" s="926"/>
      <c r="AA257" s="926"/>
      <c r="AB257" s="926"/>
      <c r="AC257" s="926"/>
      <c r="AD257" s="926"/>
      <c r="AE257" s="926"/>
      <c r="AF257" s="926"/>
      <c r="AG257" s="926"/>
      <c r="AH257" s="926"/>
      <c r="AI257" s="926"/>
      <c r="AJ257" s="926"/>
      <c r="AK257" s="926"/>
      <c r="AL257" s="926"/>
      <c r="AM257" s="926"/>
      <c r="AN257" s="926"/>
      <c r="AO257" s="926"/>
      <c r="AP257" s="926"/>
      <c r="AQ257" s="926"/>
      <c r="AR257" s="926"/>
      <c r="AS257" s="926"/>
      <c r="AT257" s="926"/>
      <c r="AU257" s="927"/>
      <c r="AV257" s="927"/>
      <c r="AW257" s="927"/>
      <c r="AX257" s="927"/>
      <c r="AY257" s="927"/>
      <c r="AZ257" s="927"/>
      <c r="BA257" s="927"/>
      <c r="BB257" s="927"/>
      <c r="BC257" s="928"/>
      <c r="BD257" s="929"/>
      <c r="BE257" s="930"/>
      <c r="BF257" s="930"/>
      <c r="BG257" s="931"/>
      <c r="BH257" s="931"/>
      <c r="BI257" s="926"/>
      <c r="BJ257" s="926"/>
      <c r="BK257" s="926"/>
      <c r="BL257" s="926"/>
      <c r="BM257" s="926"/>
      <c r="BN257" s="926"/>
      <c r="BO257" s="926"/>
      <c r="BP257" s="926"/>
      <c r="BQ257" s="926"/>
      <c r="BR257" s="926"/>
      <c r="BS257" s="926"/>
      <c r="BT257" s="926"/>
      <c r="BU257" s="926"/>
      <c r="BV257" s="926"/>
      <c r="BW257" s="926"/>
      <c r="BX257" s="926"/>
      <c r="BY257" s="932"/>
      <c r="BZ257" s="932"/>
      <c r="CA257" s="932"/>
      <c r="CB257" s="932"/>
      <c r="CC257" s="932"/>
      <c r="CD257" s="932"/>
      <c r="CE257" s="932"/>
      <c r="CF257" s="932"/>
    </row>
    <row r="258" spans="1:84" x14ac:dyDescent="0.25">
      <c r="A258" s="876">
        <v>38405</v>
      </c>
      <c r="B258" s="873" t="s">
        <v>1470</v>
      </c>
      <c r="C258" s="921">
        <v>114666805</v>
      </c>
      <c r="D258" s="924">
        <v>7.0572400000000002E-4</v>
      </c>
      <c r="E258" s="925"/>
      <c r="F258" s="926"/>
      <c r="G258" s="926"/>
      <c r="H258" s="926"/>
      <c r="I258" s="926"/>
      <c r="J258" s="926"/>
      <c r="K258" s="926"/>
      <c r="L258" s="926"/>
      <c r="M258" s="926"/>
      <c r="N258" s="926"/>
      <c r="O258" s="926"/>
      <c r="P258" s="926"/>
      <c r="Q258" s="926"/>
      <c r="R258" s="926"/>
      <c r="S258" s="926"/>
      <c r="T258" s="926"/>
      <c r="U258" s="926"/>
      <c r="V258" s="926"/>
      <c r="W258" s="926"/>
      <c r="X258" s="926"/>
      <c r="Y258" s="926"/>
      <c r="Z258" s="926"/>
      <c r="AA258" s="926"/>
      <c r="AB258" s="926"/>
      <c r="AC258" s="926"/>
      <c r="AD258" s="926"/>
      <c r="AE258" s="926"/>
      <c r="AF258" s="926"/>
      <c r="AG258" s="926"/>
      <c r="AH258" s="926"/>
      <c r="AI258" s="926"/>
      <c r="AJ258" s="926"/>
      <c r="AK258" s="926"/>
      <c r="AL258" s="926"/>
      <c r="AM258" s="926"/>
      <c r="AN258" s="926"/>
      <c r="AO258" s="926"/>
      <c r="AP258" s="926"/>
      <c r="AQ258" s="926"/>
      <c r="AR258" s="926"/>
      <c r="AS258" s="926"/>
      <c r="AT258" s="926"/>
      <c r="AU258" s="927"/>
      <c r="AV258" s="927"/>
      <c r="AW258" s="927"/>
      <c r="AX258" s="927"/>
      <c r="AY258" s="927"/>
      <c r="AZ258" s="927"/>
      <c r="BA258" s="927"/>
      <c r="BB258" s="927"/>
      <c r="BC258" s="928"/>
      <c r="BD258" s="929"/>
      <c r="BE258" s="930"/>
      <c r="BF258" s="930"/>
      <c r="BG258" s="931"/>
      <c r="BH258" s="931"/>
      <c r="BI258" s="926"/>
      <c r="BJ258" s="926"/>
      <c r="BK258" s="926"/>
      <c r="BL258" s="926"/>
      <c r="BM258" s="926"/>
      <c r="BN258" s="926"/>
      <c r="BO258" s="926"/>
      <c r="BP258" s="926"/>
      <c r="BQ258" s="926"/>
      <c r="BR258" s="926"/>
      <c r="BS258" s="926"/>
      <c r="BT258" s="926"/>
      <c r="BU258" s="926"/>
      <c r="BV258" s="926"/>
      <c r="BW258" s="926"/>
      <c r="BX258" s="926"/>
      <c r="BY258" s="932"/>
      <c r="BZ258" s="932"/>
      <c r="CA258" s="932"/>
      <c r="CB258" s="932"/>
      <c r="CC258" s="932"/>
      <c r="CD258" s="932"/>
      <c r="CE258" s="932"/>
      <c r="CF258" s="932"/>
    </row>
    <row r="259" spans="1:84" x14ac:dyDescent="0.25">
      <c r="A259" s="876">
        <v>38500</v>
      </c>
      <c r="B259" s="873" t="s">
        <v>1471</v>
      </c>
      <c r="C259" s="921">
        <v>334048876</v>
      </c>
      <c r="D259" s="924">
        <v>2.0559240000000002E-3</v>
      </c>
      <c r="E259" s="925"/>
      <c r="F259" s="926"/>
      <c r="G259" s="926"/>
      <c r="H259" s="926"/>
      <c r="I259" s="926"/>
      <c r="J259" s="926"/>
      <c r="K259" s="926"/>
      <c r="L259" s="926"/>
      <c r="M259" s="926"/>
      <c r="N259" s="926"/>
      <c r="O259" s="926"/>
      <c r="P259" s="926"/>
      <c r="Q259" s="926"/>
      <c r="R259" s="926"/>
      <c r="S259" s="926"/>
      <c r="T259" s="926"/>
      <c r="U259" s="926"/>
      <c r="V259" s="926"/>
      <c r="W259" s="926"/>
      <c r="X259" s="926"/>
      <c r="Y259" s="926"/>
      <c r="Z259" s="926"/>
      <c r="AA259" s="926"/>
      <c r="AB259" s="926"/>
      <c r="AC259" s="926"/>
      <c r="AD259" s="926"/>
      <c r="AE259" s="926"/>
      <c r="AF259" s="926"/>
      <c r="AG259" s="926"/>
      <c r="AH259" s="926"/>
      <c r="AI259" s="926"/>
      <c r="AJ259" s="926"/>
      <c r="AK259" s="926"/>
      <c r="AL259" s="926"/>
      <c r="AM259" s="926"/>
      <c r="AN259" s="926"/>
      <c r="AO259" s="926"/>
      <c r="AP259" s="926"/>
      <c r="AQ259" s="926"/>
      <c r="AR259" s="926"/>
      <c r="AS259" s="926"/>
      <c r="AT259" s="926"/>
      <c r="AU259" s="927"/>
      <c r="AV259" s="927"/>
      <c r="AW259" s="927"/>
      <c r="AX259" s="927"/>
      <c r="AY259" s="927"/>
      <c r="AZ259" s="927"/>
      <c r="BA259" s="927"/>
      <c r="BB259" s="927"/>
      <c r="BC259" s="928"/>
      <c r="BD259" s="929"/>
      <c r="BE259" s="930"/>
      <c r="BF259" s="930"/>
      <c r="BG259" s="931"/>
      <c r="BH259" s="931"/>
      <c r="BI259" s="926"/>
      <c r="BJ259" s="926"/>
      <c r="BK259" s="926"/>
      <c r="BL259" s="926"/>
      <c r="BM259" s="926"/>
      <c r="BN259" s="926"/>
      <c r="BO259" s="926"/>
      <c r="BP259" s="926"/>
      <c r="BQ259" s="926"/>
      <c r="BR259" s="926"/>
      <c r="BS259" s="926"/>
      <c r="BT259" s="926"/>
      <c r="BU259" s="926"/>
      <c r="BV259" s="926"/>
      <c r="BW259" s="926"/>
      <c r="BX259" s="926"/>
      <c r="BY259" s="932"/>
      <c r="BZ259" s="932"/>
      <c r="CA259" s="932"/>
      <c r="CB259" s="932"/>
      <c r="CC259" s="932"/>
      <c r="CD259" s="932"/>
      <c r="CE259" s="932"/>
      <c r="CF259" s="932"/>
    </row>
    <row r="260" spans="1:84" x14ac:dyDescent="0.25">
      <c r="A260" s="876">
        <v>38600</v>
      </c>
      <c r="B260" s="873" t="s">
        <v>1472</v>
      </c>
      <c r="C260" s="921">
        <v>429824850</v>
      </c>
      <c r="D260" s="924">
        <v>2.6453829999999998E-3</v>
      </c>
      <c r="E260" s="925"/>
      <c r="F260" s="926"/>
      <c r="G260" s="926"/>
      <c r="H260" s="926"/>
      <c r="I260" s="926"/>
      <c r="J260" s="926"/>
      <c r="K260" s="926"/>
      <c r="L260" s="926"/>
      <c r="M260" s="926"/>
      <c r="N260" s="926"/>
      <c r="O260" s="926"/>
      <c r="P260" s="926"/>
      <c r="Q260" s="926"/>
      <c r="R260" s="926"/>
      <c r="S260" s="926"/>
      <c r="T260" s="926"/>
      <c r="U260" s="926"/>
      <c r="V260" s="926"/>
      <c r="W260" s="926"/>
      <c r="X260" s="926"/>
      <c r="Y260" s="926"/>
      <c r="Z260" s="926"/>
      <c r="AA260" s="926"/>
      <c r="AB260" s="926"/>
      <c r="AC260" s="926"/>
      <c r="AD260" s="926"/>
      <c r="AE260" s="926"/>
      <c r="AF260" s="926"/>
      <c r="AG260" s="926"/>
      <c r="AH260" s="926"/>
      <c r="AI260" s="926"/>
      <c r="AJ260" s="926"/>
      <c r="AK260" s="926"/>
      <c r="AL260" s="926"/>
      <c r="AM260" s="926"/>
      <c r="AN260" s="926"/>
      <c r="AO260" s="926"/>
      <c r="AP260" s="926"/>
      <c r="AQ260" s="926"/>
      <c r="AR260" s="926"/>
      <c r="AS260" s="926"/>
      <c r="AT260" s="926"/>
      <c r="AU260" s="927"/>
      <c r="AV260" s="927"/>
      <c r="AW260" s="927"/>
      <c r="AX260" s="927"/>
      <c r="AY260" s="927"/>
      <c r="AZ260" s="927"/>
      <c r="BA260" s="927"/>
      <c r="BB260" s="927"/>
      <c r="BC260" s="928"/>
      <c r="BD260" s="929"/>
      <c r="BE260" s="930"/>
      <c r="BF260" s="930"/>
      <c r="BG260" s="931"/>
      <c r="BH260" s="931"/>
      <c r="BI260" s="926"/>
      <c r="BJ260" s="926"/>
      <c r="BK260" s="926"/>
      <c r="BL260" s="926"/>
      <c r="BM260" s="926"/>
      <c r="BN260" s="926"/>
      <c r="BO260" s="926"/>
      <c r="BP260" s="926"/>
      <c r="BQ260" s="926"/>
      <c r="BR260" s="926"/>
      <c r="BS260" s="926"/>
      <c r="BT260" s="926"/>
      <c r="BU260" s="926"/>
      <c r="BV260" s="926"/>
      <c r="BW260" s="926"/>
      <c r="BX260" s="926"/>
      <c r="BY260" s="932"/>
      <c r="BZ260" s="932"/>
      <c r="CA260" s="932"/>
      <c r="CB260" s="932"/>
      <c r="CC260" s="932"/>
      <c r="CD260" s="932"/>
      <c r="CE260" s="932"/>
      <c r="CF260" s="932"/>
    </row>
    <row r="261" spans="1:84" x14ac:dyDescent="0.25">
      <c r="A261" s="876">
        <v>38601</v>
      </c>
      <c r="B261" s="873" t="s">
        <v>1473</v>
      </c>
      <c r="C261" s="921">
        <v>5675716</v>
      </c>
      <c r="D261" s="924">
        <v>3.4931999999999997E-5</v>
      </c>
      <c r="E261" s="925"/>
      <c r="F261" s="926"/>
      <c r="G261" s="926"/>
      <c r="H261" s="926"/>
      <c r="I261" s="926"/>
      <c r="J261" s="926"/>
      <c r="K261" s="926"/>
      <c r="L261" s="926"/>
      <c r="M261" s="926"/>
      <c r="N261" s="926"/>
      <c r="O261" s="926"/>
      <c r="P261" s="926"/>
      <c r="Q261" s="926"/>
      <c r="R261" s="926"/>
      <c r="S261" s="926"/>
      <c r="T261" s="926"/>
      <c r="U261" s="926"/>
      <c r="V261" s="926"/>
      <c r="W261" s="926"/>
      <c r="X261" s="926"/>
      <c r="Y261" s="926"/>
      <c r="Z261" s="926"/>
      <c r="AA261" s="926"/>
      <c r="AB261" s="926"/>
      <c r="AC261" s="926"/>
      <c r="AD261" s="926"/>
      <c r="AE261" s="926"/>
      <c r="AF261" s="926"/>
      <c r="AG261" s="926"/>
      <c r="AH261" s="926"/>
      <c r="AI261" s="926"/>
      <c r="AJ261" s="926"/>
      <c r="AK261" s="926"/>
      <c r="AL261" s="926"/>
      <c r="AM261" s="926"/>
      <c r="AN261" s="926"/>
      <c r="AO261" s="926"/>
      <c r="AP261" s="926"/>
      <c r="AQ261" s="926"/>
      <c r="AR261" s="926"/>
      <c r="AS261" s="926"/>
      <c r="AT261" s="926"/>
      <c r="AU261" s="927"/>
      <c r="AV261" s="927"/>
      <c r="AW261" s="927"/>
      <c r="AX261" s="927"/>
      <c r="AY261" s="927"/>
      <c r="AZ261" s="927"/>
      <c r="BA261" s="927"/>
      <c r="BB261" s="927"/>
      <c r="BC261" s="928"/>
      <c r="BD261" s="929"/>
      <c r="BE261" s="930"/>
      <c r="BF261" s="930"/>
      <c r="BG261" s="931"/>
      <c r="BH261" s="931"/>
      <c r="BI261" s="926"/>
      <c r="BJ261" s="926"/>
      <c r="BK261" s="926"/>
      <c r="BL261" s="926"/>
      <c r="BM261" s="926"/>
      <c r="BN261" s="926"/>
      <c r="BO261" s="926"/>
      <c r="BP261" s="926"/>
      <c r="BQ261" s="926"/>
      <c r="BR261" s="926"/>
      <c r="BS261" s="926"/>
      <c r="BT261" s="926"/>
      <c r="BU261" s="926"/>
      <c r="BV261" s="926"/>
      <c r="BW261" s="926"/>
      <c r="BX261" s="926"/>
      <c r="BY261" s="932"/>
      <c r="BZ261" s="932"/>
      <c r="CA261" s="932"/>
      <c r="CB261" s="932"/>
      <c r="CC261" s="932"/>
      <c r="CD261" s="932"/>
      <c r="CE261" s="932"/>
      <c r="CF261" s="932"/>
    </row>
    <row r="262" spans="1:84" x14ac:dyDescent="0.25">
      <c r="A262" s="876">
        <v>38602</v>
      </c>
      <c r="B262" s="873" t="s">
        <v>1474</v>
      </c>
      <c r="C262" s="921">
        <v>36180230</v>
      </c>
      <c r="D262" s="924">
        <v>2.22673E-4</v>
      </c>
      <c r="E262" s="925"/>
      <c r="F262" s="926"/>
      <c r="G262" s="926"/>
      <c r="H262" s="926"/>
      <c r="I262" s="926"/>
      <c r="J262" s="926"/>
      <c r="K262" s="926"/>
      <c r="L262" s="926"/>
      <c r="M262" s="926"/>
      <c r="N262" s="926"/>
      <c r="O262" s="926"/>
      <c r="P262" s="926"/>
      <c r="Q262" s="926"/>
      <c r="R262" s="926"/>
      <c r="S262" s="926"/>
      <c r="T262" s="926"/>
      <c r="U262" s="926"/>
      <c r="V262" s="926"/>
      <c r="W262" s="926"/>
      <c r="X262" s="926"/>
      <c r="Y262" s="926"/>
      <c r="Z262" s="926"/>
      <c r="AA262" s="926"/>
      <c r="AB262" s="926"/>
      <c r="AC262" s="926"/>
      <c r="AD262" s="926"/>
      <c r="AE262" s="926"/>
      <c r="AF262" s="926"/>
      <c r="AG262" s="926"/>
      <c r="AH262" s="926"/>
      <c r="AI262" s="926"/>
      <c r="AJ262" s="926"/>
      <c r="AK262" s="926"/>
      <c r="AL262" s="926"/>
      <c r="AM262" s="926"/>
      <c r="AN262" s="926"/>
      <c r="AO262" s="926"/>
      <c r="AP262" s="926"/>
      <c r="AQ262" s="926"/>
      <c r="AR262" s="926"/>
      <c r="AS262" s="926"/>
      <c r="AT262" s="926"/>
      <c r="AU262" s="927"/>
      <c r="AV262" s="927"/>
      <c r="AW262" s="927"/>
      <c r="AX262" s="927"/>
      <c r="AY262" s="927"/>
      <c r="AZ262" s="927"/>
      <c r="BA262" s="927"/>
      <c r="BB262" s="927"/>
      <c r="BC262" s="928"/>
      <c r="BD262" s="929"/>
      <c r="BE262" s="930"/>
      <c r="BF262" s="930"/>
      <c r="BG262" s="931"/>
      <c r="BH262" s="931"/>
      <c r="BI262" s="926"/>
      <c r="BJ262" s="926"/>
      <c r="BK262" s="926"/>
      <c r="BL262" s="926"/>
      <c r="BM262" s="926"/>
      <c r="BN262" s="926"/>
      <c r="BO262" s="926"/>
      <c r="BP262" s="926"/>
      <c r="BQ262" s="926"/>
      <c r="BR262" s="926"/>
      <c r="BS262" s="926"/>
      <c r="BT262" s="926"/>
      <c r="BU262" s="926"/>
      <c r="BV262" s="926"/>
      <c r="BW262" s="926"/>
      <c r="BX262" s="926"/>
      <c r="BY262" s="932"/>
      <c r="BZ262" s="932"/>
      <c r="CA262" s="932"/>
      <c r="CB262" s="932"/>
      <c r="CC262" s="932"/>
      <c r="CD262" s="932"/>
      <c r="CE262" s="932"/>
      <c r="CF262" s="932"/>
    </row>
    <row r="263" spans="1:84" x14ac:dyDescent="0.25">
      <c r="A263" s="876">
        <v>38605</v>
      </c>
      <c r="B263" s="873" t="s">
        <v>1475</v>
      </c>
      <c r="C263" s="921">
        <v>112675839</v>
      </c>
      <c r="D263" s="924">
        <v>6.9346999999999996E-4</v>
      </c>
      <c r="E263" s="925"/>
      <c r="F263" s="926"/>
      <c r="G263" s="926"/>
      <c r="H263" s="926"/>
      <c r="I263" s="926"/>
      <c r="J263" s="926"/>
      <c r="K263" s="926"/>
      <c r="L263" s="926"/>
      <c r="M263" s="926"/>
      <c r="N263" s="926"/>
      <c r="O263" s="926"/>
      <c r="P263" s="926"/>
      <c r="Q263" s="926"/>
      <c r="R263" s="926"/>
      <c r="S263" s="926"/>
      <c r="T263" s="926"/>
      <c r="U263" s="926"/>
      <c r="V263" s="926"/>
      <c r="W263" s="926"/>
      <c r="X263" s="926"/>
      <c r="Y263" s="926"/>
      <c r="Z263" s="926"/>
      <c r="AA263" s="926"/>
      <c r="AB263" s="926"/>
      <c r="AC263" s="926"/>
      <c r="AD263" s="926"/>
      <c r="AE263" s="926"/>
      <c r="AF263" s="926"/>
      <c r="AG263" s="926"/>
      <c r="AH263" s="926"/>
      <c r="AI263" s="926"/>
      <c r="AJ263" s="926"/>
      <c r="AK263" s="926"/>
      <c r="AL263" s="926"/>
      <c r="AM263" s="926"/>
      <c r="AN263" s="926"/>
      <c r="AO263" s="926"/>
      <c r="AP263" s="926"/>
      <c r="AQ263" s="926"/>
      <c r="AR263" s="926"/>
      <c r="AS263" s="926"/>
      <c r="AT263" s="926"/>
      <c r="AU263" s="927"/>
      <c r="AV263" s="927"/>
      <c r="AW263" s="927"/>
      <c r="AX263" s="927"/>
      <c r="AY263" s="927"/>
      <c r="AZ263" s="927"/>
      <c r="BA263" s="927"/>
      <c r="BB263" s="927"/>
      <c r="BC263" s="928"/>
      <c r="BD263" s="929"/>
      <c r="BE263" s="930"/>
      <c r="BF263" s="930"/>
      <c r="BG263" s="931"/>
      <c r="BH263" s="931"/>
      <c r="BI263" s="926"/>
      <c r="BJ263" s="926"/>
      <c r="BK263" s="926"/>
      <c r="BL263" s="926"/>
      <c r="BM263" s="926"/>
      <c r="BN263" s="926"/>
      <c r="BO263" s="926"/>
      <c r="BP263" s="926"/>
      <c r="BQ263" s="926"/>
      <c r="BR263" s="926"/>
      <c r="BS263" s="926"/>
      <c r="BT263" s="926"/>
      <c r="BU263" s="926"/>
      <c r="BV263" s="926"/>
      <c r="BW263" s="926"/>
      <c r="BX263" s="926"/>
      <c r="BY263" s="932"/>
      <c r="BZ263" s="932"/>
      <c r="CA263" s="932"/>
      <c r="CB263" s="932"/>
      <c r="CC263" s="932"/>
      <c r="CD263" s="932"/>
      <c r="CE263" s="932"/>
      <c r="CF263" s="932"/>
    </row>
    <row r="264" spans="1:84" x14ac:dyDescent="0.25">
      <c r="A264" s="876">
        <v>38610</v>
      </c>
      <c r="B264" s="873" t="s">
        <v>1476</v>
      </c>
      <c r="C264" s="921">
        <v>88263892</v>
      </c>
      <c r="D264" s="924">
        <v>5.4322500000000004E-4</v>
      </c>
      <c r="E264" s="925"/>
      <c r="F264" s="926"/>
      <c r="G264" s="926"/>
      <c r="H264" s="926"/>
      <c r="I264" s="926"/>
      <c r="J264" s="926"/>
      <c r="K264" s="926"/>
      <c r="L264" s="926"/>
      <c r="M264" s="926"/>
      <c r="N264" s="926"/>
      <c r="O264" s="926"/>
      <c r="P264" s="926"/>
      <c r="Q264" s="926"/>
      <c r="R264" s="926"/>
      <c r="S264" s="926"/>
      <c r="T264" s="926"/>
      <c r="U264" s="926"/>
      <c r="V264" s="926"/>
      <c r="W264" s="926"/>
      <c r="X264" s="926"/>
      <c r="Y264" s="926"/>
      <c r="Z264" s="926"/>
      <c r="AA264" s="926"/>
      <c r="AB264" s="926"/>
      <c r="AC264" s="926"/>
      <c r="AD264" s="926"/>
      <c r="AE264" s="926"/>
      <c r="AF264" s="926"/>
      <c r="AG264" s="926"/>
      <c r="AH264" s="926"/>
      <c r="AI264" s="926"/>
      <c r="AJ264" s="926"/>
      <c r="AK264" s="926"/>
      <c r="AL264" s="926"/>
      <c r="AM264" s="926"/>
      <c r="AN264" s="926"/>
      <c r="AO264" s="926"/>
      <c r="AP264" s="926"/>
      <c r="AQ264" s="926"/>
      <c r="AR264" s="926"/>
      <c r="AS264" s="926"/>
      <c r="AT264" s="926"/>
      <c r="AU264" s="927"/>
      <c r="AV264" s="927"/>
      <c r="AW264" s="927"/>
      <c r="AX264" s="927"/>
      <c r="AY264" s="927"/>
      <c r="AZ264" s="927"/>
      <c r="BA264" s="927"/>
      <c r="BB264" s="927"/>
      <c r="BC264" s="928"/>
      <c r="BD264" s="929"/>
      <c r="BE264" s="930"/>
      <c r="BF264" s="930"/>
      <c r="BG264" s="931"/>
      <c r="BH264" s="931"/>
      <c r="BI264" s="926"/>
      <c r="BJ264" s="926"/>
      <c r="BK264" s="926"/>
      <c r="BL264" s="926"/>
      <c r="BM264" s="926"/>
      <c r="BN264" s="926"/>
      <c r="BO264" s="926"/>
      <c r="BP264" s="926"/>
      <c r="BQ264" s="926"/>
      <c r="BR264" s="926"/>
      <c r="BS264" s="926"/>
      <c r="BT264" s="926"/>
      <c r="BU264" s="926"/>
      <c r="BV264" s="926"/>
      <c r="BW264" s="926"/>
      <c r="BX264" s="926"/>
      <c r="BY264" s="932"/>
      <c r="BZ264" s="932"/>
      <c r="CA264" s="932"/>
      <c r="CB264" s="932"/>
      <c r="CC264" s="932"/>
      <c r="CD264" s="932"/>
      <c r="CE264" s="932"/>
      <c r="CF264" s="932"/>
    </row>
    <row r="265" spans="1:84" x14ac:dyDescent="0.25">
      <c r="A265" s="876">
        <v>38620</v>
      </c>
      <c r="B265" s="873" t="s">
        <v>1477</v>
      </c>
      <c r="C265" s="921">
        <v>69362340</v>
      </c>
      <c r="D265" s="924">
        <v>4.26895E-4</v>
      </c>
      <c r="E265" s="925"/>
      <c r="F265" s="926"/>
      <c r="G265" s="926"/>
      <c r="H265" s="926"/>
      <c r="I265" s="926"/>
      <c r="J265" s="926"/>
      <c r="K265" s="926"/>
      <c r="L265" s="926"/>
      <c r="M265" s="926"/>
      <c r="N265" s="926"/>
      <c r="O265" s="926"/>
      <c r="P265" s="926"/>
      <c r="Q265" s="926"/>
      <c r="R265" s="926"/>
      <c r="S265" s="926"/>
      <c r="T265" s="926"/>
      <c r="U265" s="926"/>
      <c r="V265" s="926"/>
      <c r="W265" s="926"/>
      <c r="X265" s="926"/>
      <c r="Y265" s="926"/>
      <c r="Z265" s="926"/>
      <c r="AA265" s="926"/>
      <c r="AB265" s="926"/>
      <c r="AC265" s="926"/>
      <c r="AD265" s="926"/>
      <c r="AE265" s="926"/>
      <c r="AF265" s="926"/>
      <c r="AG265" s="926"/>
      <c r="AH265" s="926"/>
      <c r="AI265" s="926"/>
      <c r="AJ265" s="926"/>
      <c r="AK265" s="926"/>
      <c r="AL265" s="926"/>
      <c r="AM265" s="926"/>
      <c r="AN265" s="926"/>
      <c r="AO265" s="926"/>
      <c r="AP265" s="926"/>
      <c r="AQ265" s="926"/>
      <c r="AR265" s="926"/>
      <c r="AS265" s="926"/>
      <c r="AT265" s="926"/>
      <c r="AU265" s="927"/>
      <c r="AV265" s="927"/>
      <c r="AW265" s="927"/>
      <c r="AX265" s="927"/>
      <c r="AY265" s="927"/>
      <c r="AZ265" s="927"/>
      <c r="BA265" s="927"/>
      <c r="BB265" s="927"/>
      <c r="BC265" s="928"/>
      <c r="BD265" s="929"/>
      <c r="BE265" s="930"/>
      <c r="BF265" s="930"/>
      <c r="BG265" s="931"/>
      <c r="BH265" s="931"/>
      <c r="BI265" s="926"/>
      <c r="BJ265" s="926"/>
      <c r="BK265" s="926"/>
      <c r="BL265" s="926"/>
      <c r="BM265" s="926"/>
      <c r="BN265" s="926"/>
      <c r="BO265" s="926"/>
      <c r="BP265" s="926"/>
      <c r="BQ265" s="926"/>
      <c r="BR265" s="926"/>
      <c r="BS265" s="926"/>
      <c r="BT265" s="926"/>
      <c r="BU265" s="926"/>
      <c r="BV265" s="926"/>
      <c r="BW265" s="926"/>
      <c r="BX265" s="926"/>
      <c r="BY265" s="932"/>
      <c r="BZ265" s="932"/>
      <c r="CA265" s="932"/>
      <c r="CB265" s="932"/>
      <c r="CC265" s="932"/>
      <c r="CD265" s="932"/>
      <c r="CE265" s="932"/>
      <c r="CF265" s="932"/>
    </row>
    <row r="266" spans="1:84" x14ac:dyDescent="0.25">
      <c r="A266" s="876">
        <v>38700</v>
      </c>
      <c r="B266" s="873" t="s">
        <v>1478</v>
      </c>
      <c r="C266" s="921">
        <v>129584502</v>
      </c>
      <c r="D266" s="924">
        <v>7.9753599999999995E-4</v>
      </c>
      <c r="E266" s="925"/>
      <c r="F266" s="926"/>
      <c r="G266" s="926"/>
      <c r="H266" s="926"/>
      <c r="I266" s="926"/>
      <c r="J266" s="926"/>
      <c r="K266" s="926"/>
      <c r="L266" s="926"/>
      <c r="M266" s="926"/>
      <c r="N266" s="926"/>
      <c r="O266" s="926"/>
      <c r="P266" s="926"/>
      <c r="Q266" s="926"/>
      <c r="R266" s="926"/>
      <c r="S266" s="926"/>
      <c r="T266" s="926"/>
      <c r="U266" s="926"/>
      <c r="V266" s="926"/>
      <c r="W266" s="926"/>
      <c r="X266" s="926"/>
      <c r="Y266" s="926"/>
      <c r="Z266" s="926"/>
      <c r="AA266" s="926"/>
      <c r="AB266" s="926"/>
      <c r="AC266" s="926"/>
      <c r="AD266" s="926"/>
      <c r="AE266" s="926"/>
      <c r="AF266" s="926"/>
      <c r="AG266" s="926"/>
      <c r="AH266" s="926"/>
      <c r="AI266" s="926"/>
      <c r="AJ266" s="926"/>
      <c r="AK266" s="926"/>
      <c r="AL266" s="926"/>
      <c r="AM266" s="926"/>
      <c r="AN266" s="926"/>
      <c r="AO266" s="926"/>
      <c r="AP266" s="926"/>
      <c r="AQ266" s="926"/>
      <c r="AR266" s="926"/>
      <c r="AS266" s="926"/>
      <c r="AT266" s="926"/>
      <c r="AU266" s="927"/>
      <c r="AV266" s="927"/>
      <c r="AW266" s="927"/>
      <c r="AX266" s="927"/>
      <c r="AY266" s="927"/>
      <c r="AZ266" s="927"/>
      <c r="BA266" s="927"/>
      <c r="BB266" s="927"/>
      <c r="BC266" s="928"/>
      <c r="BD266" s="929"/>
      <c r="BE266" s="930"/>
      <c r="BF266" s="930"/>
      <c r="BG266" s="931"/>
      <c r="BH266" s="931"/>
      <c r="BI266" s="926"/>
      <c r="BJ266" s="926"/>
      <c r="BK266" s="926"/>
      <c r="BL266" s="926"/>
      <c r="BM266" s="926"/>
      <c r="BN266" s="926"/>
      <c r="BO266" s="926"/>
      <c r="BP266" s="926"/>
      <c r="BQ266" s="926"/>
      <c r="BR266" s="926"/>
      <c r="BS266" s="926"/>
      <c r="BT266" s="926"/>
      <c r="BU266" s="926"/>
      <c r="BV266" s="926"/>
      <c r="BW266" s="926"/>
      <c r="BX266" s="926"/>
      <c r="BY266" s="932"/>
      <c r="BZ266" s="932"/>
      <c r="CA266" s="932"/>
      <c r="CB266" s="932"/>
      <c r="CC266" s="932"/>
      <c r="CD266" s="932"/>
      <c r="CE266" s="932"/>
      <c r="CF266" s="932"/>
    </row>
    <row r="267" spans="1:84" x14ac:dyDescent="0.25">
      <c r="A267" s="876">
        <v>38701</v>
      </c>
      <c r="B267" s="873" t="s">
        <v>1479</v>
      </c>
      <c r="C267" s="921">
        <v>7702553</v>
      </c>
      <c r="D267" s="924">
        <v>4.7406E-5</v>
      </c>
      <c r="E267" s="925"/>
      <c r="F267" s="926"/>
      <c r="G267" s="926"/>
      <c r="H267" s="926"/>
      <c r="I267" s="926"/>
      <c r="J267" s="926"/>
      <c r="K267" s="926"/>
      <c r="L267" s="926"/>
      <c r="M267" s="926"/>
      <c r="N267" s="926"/>
      <c r="O267" s="926"/>
      <c r="P267" s="926"/>
      <c r="Q267" s="926"/>
      <c r="R267" s="926"/>
      <c r="S267" s="926"/>
      <c r="T267" s="926"/>
      <c r="U267" s="926"/>
      <c r="V267" s="926"/>
      <c r="W267" s="926"/>
      <c r="X267" s="926"/>
      <c r="Y267" s="926"/>
      <c r="Z267" s="926"/>
      <c r="AA267" s="926"/>
      <c r="AB267" s="926"/>
      <c r="AC267" s="926"/>
      <c r="AD267" s="926"/>
      <c r="AE267" s="926"/>
      <c r="AF267" s="926"/>
      <c r="AG267" s="926"/>
      <c r="AH267" s="926"/>
      <c r="AI267" s="926"/>
      <c r="AJ267" s="926"/>
      <c r="AK267" s="926"/>
      <c r="AL267" s="926"/>
      <c r="AM267" s="926"/>
      <c r="AN267" s="926"/>
      <c r="AO267" s="926"/>
      <c r="AP267" s="926"/>
      <c r="AQ267" s="926"/>
      <c r="AR267" s="926"/>
      <c r="AS267" s="926"/>
      <c r="AT267" s="926"/>
      <c r="AU267" s="927"/>
      <c r="AV267" s="927"/>
      <c r="AW267" s="927"/>
      <c r="AX267" s="927"/>
      <c r="AY267" s="927"/>
      <c r="AZ267" s="927"/>
      <c r="BA267" s="927"/>
      <c r="BB267" s="927"/>
      <c r="BC267" s="928"/>
      <c r="BD267" s="929"/>
      <c r="BE267" s="930"/>
      <c r="BF267" s="930"/>
      <c r="BG267" s="931"/>
      <c r="BH267" s="931"/>
      <c r="BI267" s="926"/>
      <c r="BJ267" s="926"/>
      <c r="BK267" s="926"/>
      <c r="BL267" s="926"/>
      <c r="BM267" s="926"/>
      <c r="BN267" s="926"/>
      <c r="BO267" s="926"/>
      <c r="BP267" s="926"/>
      <c r="BQ267" s="926"/>
      <c r="BR267" s="926"/>
      <c r="BS267" s="926"/>
      <c r="BT267" s="926"/>
      <c r="BU267" s="926"/>
      <c r="BV267" s="926"/>
      <c r="BW267" s="926"/>
      <c r="BX267" s="926"/>
      <c r="BY267" s="932"/>
      <c r="BZ267" s="932"/>
      <c r="CA267" s="932"/>
      <c r="CB267" s="932"/>
      <c r="CC267" s="932"/>
      <c r="CD267" s="932"/>
      <c r="CE267" s="932"/>
      <c r="CF267" s="932"/>
    </row>
    <row r="268" spans="1:84" x14ac:dyDescent="0.25">
      <c r="A268" s="876">
        <v>38800</v>
      </c>
      <c r="B268" s="873" t="s">
        <v>1480</v>
      </c>
      <c r="C268" s="921">
        <v>221610844</v>
      </c>
      <c r="D268" s="924">
        <v>1.3639170000000001E-3</v>
      </c>
      <c r="E268" s="925"/>
      <c r="F268" s="926"/>
      <c r="G268" s="926"/>
      <c r="H268" s="926"/>
      <c r="I268" s="926"/>
      <c r="J268" s="926"/>
      <c r="K268" s="926"/>
      <c r="L268" s="926"/>
      <c r="M268" s="926"/>
      <c r="N268" s="926"/>
      <c r="O268" s="926"/>
      <c r="P268" s="926"/>
      <c r="Q268" s="926"/>
      <c r="R268" s="926"/>
      <c r="S268" s="926"/>
      <c r="T268" s="926"/>
      <c r="U268" s="926"/>
      <c r="V268" s="926"/>
      <c r="W268" s="926"/>
      <c r="X268" s="926"/>
      <c r="Y268" s="926"/>
      <c r="Z268" s="926"/>
      <c r="AA268" s="926"/>
      <c r="AB268" s="926"/>
      <c r="AC268" s="926"/>
      <c r="AD268" s="926"/>
      <c r="AE268" s="926"/>
      <c r="AF268" s="926"/>
      <c r="AG268" s="926"/>
      <c r="AH268" s="926"/>
      <c r="AI268" s="926"/>
      <c r="AJ268" s="926"/>
      <c r="AK268" s="926"/>
      <c r="AL268" s="926"/>
      <c r="AM268" s="926"/>
      <c r="AN268" s="926"/>
      <c r="AO268" s="926"/>
      <c r="AP268" s="926"/>
      <c r="AQ268" s="926"/>
      <c r="AR268" s="926"/>
      <c r="AS268" s="926"/>
      <c r="AT268" s="926"/>
      <c r="AU268" s="927"/>
      <c r="AV268" s="927"/>
      <c r="AW268" s="927"/>
      <c r="AX268" s="927"/>
      <c r="AY268" s="927"/>
      <c r="AZ268" s="927"/>
      <c r="BA268" s="927"/>
      <c r="BB268" s="927"/>
      <c r="BC268" s="928"/>
      <c r="BD268" s="929"/>
      <c r="BE268" s="930"/>
      <c r="BF268" s="930"/>
      <c r="BG268" s="931"/>
      <c r="BH268" s="931"/>
      <c r="BI268" s="926"/>
      <c r="BJ268" s="926"/>
      <c r="BK268" s="926"/>
      <c r="BL268" s="926"/>
      <c r="BM268" s="926"/>
      <c r="BN268" s="926"/>
      <c r="BO268" s="926"/>
      <c r="BP268" s="926"/>
      <c r="BQ268" s="926"/>
      <c r="BR268" s="926"/>
      <c r="BS268" s="926"/>
      <c r="BT268" s="926"/>
      <c r="BU268" s="926"/>
      <c r="BV268" s="926"/>
      <c r="BW268" s="926"/>
      <c r="BX268" s="926"/>
      <c r="BY268" s="932"/>
      <c r="BZ268" s="932"/>
      <c r="CA268" s="932"/>
      <c r="CB268" s="932"/>
      <c r="CC268" s="932"/>
      <c r="CD268" s="932"/>
      <c r="CE268" s="932"/>
      <c r="CF268" s="932"/>
    </row>
    <row r="269" spans="1:84" x14ac:dyDescent="0.25">
      <c r="A269" s="876">
        <v>38801</v>
      </c>
      <c r="B269" s="873" t="s">
        <v>1481</v>
      </c>
      <c r="C269" s="921">
        <v>19794907</v>
      </c>
      <c r="D269" s="924">
        <v>1.21829E-4</v>
      </c>
      <c r="E269" s="925"/>
      <c r="F269" s="926"/>
      <c r="G269" s="926"/>
      <c r="H269" s="926"/>
      <c r="I269" s="926"/>
      <c r="J269" s="926"/>
      <c r="K269" s="926"/>
      <c r="L269" s="926"/>
      <c r="M269" s="926"/>
      <c r="N269" s="926"/>
      <c r="O269" s="926"/>
      <c r="P269" s="926"/>
      <c r="Q269" s="926"/>
      <c r="R269" s="926"/>
      <c r="S269" s="926"/>
      <c r="T269" s="926"/>
      <c r="U269" s="926"/>
      <c r="V269" s="926"/>
      <c r="W269" s="926"/>
      <c r="X269" s="926"/>
      <c r="Y269" s="926"/>
      <c r="Z269" s="926"/>
      <c r="AA269" s="926"/>
      <c r="AB269" s="926"/>
      <c r="AC269" s="926"/>
      <c r="AD269" s="926"/>
      <c r="AE269" s="926"/>
      <c r="AF269" s="926"/>
      <c r="AG269" s="926"/>
      <c r="AH269" s="926"/>
      <c r="AI269" s="926"/>
      <c r="AJ269" s="926"/>
      <c r="AK269" s="926"/>
      <c r="AL269" s="926"/>
      <c r="AM269" s="926"/>
      <c r="AN269" s="926"/>
      <c r="AO269" s="926"/>
      <c r="AP269" s="926"/>
      <c r="AQ269" s="926"/>
      <c r="AR269" s="926"/>
      <c r="AS269" s="926"/>
      <c r="AT269" s="926"/>
      <c r="AU269" s="927"/>
      <c r="AV269" s="927"/>
      <c r="AW269" s="927"/>
      <c r="AX269" s="927"/>
      <c r="AY269" s="927"/>
      <c r="AZ269" s="927"/>
      <c r="BA269" s="927"/>
      <c r="BB269" s="927"/>
      <c r="BC269" s="928"/>
      <c r="BD269" s="929"/>
      <c r="BE269" s="930"/>
      <c r="BF269" s="930"/>
      <c r="BG269" s="931"/>
      <c r="BH269" s="931"/>
      <c r="BI269" s="926"/>
      <c r="BJ269" s="926"/>
      <c r="BK269" s="926"/>
      <c r="BL269" s="926"/>
      <c r="BM269" s="926"/>
      <c r="BN269" s="926"/>
      <c r="BO269" s="926"/>
      <c r="BP269" s="926"/>
      <c r="BQ269" s="926"/>
      <c r="BR269" s="926"/>
      <c r="BS269" s="926"/>
      <c r="BT269" s="926"/>
      <c r="BU269" s="926"/>
      <c r="BV269" s="926"/>
      <c r="BW269" s="926"/>
      <c r="BX269" s="926"/>
      <c r="BY269" s="932"/>
      <c r="BZ269" s="932"/>
      <c r="CA269" s="932"/>
      <c r="CB269" s="932"/>
      <c r="CC269" s="932"/>
      <c r="CD269" s="932"/>
      <c r="CE269" s="932"/>
      <c r="CF269" s="932"/>
    </row>
    <row r="270" spans="1:84" x14ac:dyDescent="0.25">
      <c r="A270" s="876">
        <v>38900</v>
      </c>
      <c r="B270" s="873" t="s">
        <v>1482</v>
      </c>
      <c r="C270" s="921">
        <v>47633550</v>
      </c>
      <c r="D270" s="924">
        <v>2.93164E-4</v>
      </c>
      <c r="E270" s="925"/>
      <c r="F270" s="926"/>
      <c r="G270" s="926"/>
      <c r="H270" s="926"/>
      <c r="I270" s="926"/>
      <c r="J270" s="926"/>
      <c r="K270" s="926"/>
      <c r="L270" s="926"/>
      <c r="M270" s="926"/>
      <c r="N270" s="926"/>
      <c r="O270" s="926"/>
      <c r="P270" s="926"/>
      <c r="Q270" s="926"/>
      <c r="R270" s="926"/>
      <c r="S270" s="926"/>
      <c r="T270" s="926"/>
      <c r="U270" s="926"/>
      <c r="V270" s="926"/>
      <c r="W270" s="926"/>
      <c r="X270" s="926"/>
      <c r="Y270" s="926"/>
      <c r="Z270" s="926"/>
      <c r="AA270" s="926"/>
      <c r="AB270" s="926"/>
      <c r="AC270" s="926"/>
      <c r="AD270" s="926"/>
      <c r="AE270" s="926"/>
      <c r="AF270" s="926"/>
      <c r="AG270" s="926"/>
      <c r="AH270" s="926"/>
      <c r="AI270" s="926"/>
      <c r="AJ270" s="926"/>
      <c r="AK270" s="926"/>
      <c r="AL270" s="926"/>
      <c r="AM270" s="926"/>
      <c r="AN270" s="926"/>
      <c r="AO270" s="926"/>
      <c r="AP270" s="926"/>
      <c r="AQ270" s="926"/>
      <c r="AR270" s="926"/>
      <c r="AS270" s="926"/>
      <c r="AT270" s="926"/>
      <c r="AU270" s="927"/>
      <c r="AV270" s="927"/>
      <c r="AW270" s="927"/>
      <c r="AX270" s="927"/>
      <c r="AY270" s="927"/>
      <c r="AZ270" s="927"/>
      <c r="BA270" s="927"/>
      <c r="BB270" s="927"/>
      <c r="BC270" s="928"/>
      <c r="BD270" s="929"/>
      <c r="BE270" s="930"/>
      <c r="BF270" s="930"/>
      <c r="BG270" s="931"/>
      <c r="BH270" s="931"/>
      <c r="BI270" s="926"/>
      <c r="BJ270" s="926"/>
      <c r="BK270" s="926"/>
      <c r="BL270" s="926"/>
      <c r="BM270" s="926"/>
      <c r="BN270" s="926"/>
      <c r="BO270" s="926"/>
      <c r="BP270" s="926"/>
      <c r="BQ270" s="926"/>
      <c r="BR270" s="926"/>
      <c r="BS270" s="926"/>
      <c r="BT270" s="926"/>
      <c r="BU270" s="926"/>
      <c r="BV270" s="926"/>
      <c r="BW270" s="926"/>
      <c r="BX270" s="926"/>
      <c r="BY270" s="932"/>
      <c r="BZ270" s="932"/>
      <c r="CA270" s="932"/>
      <c r="CB270" s="932"/>
      <c r="CC270" s="932"/>
      <c r="CD270" s="932"/>
      <c r="CE270" s="932"/>
      <c r="CF270" s="932"/>
    </row>
    <row r="271" spans="1:84" x14ac:dyDescent="0.25">
      <c r="A271" s="876">
        <v>39000</v>
      </c>
      <c r="B271" s="873" t="s">
        <v>1483</v>
      </c>
      <c r="C271" s="921">
        <v>2251838872</v>
      </c>
      <c r="D271" s="924">
        <v>1.3859078E-2</v>
      </c>
      <c r="E271" s="925"/>
      <c r="F271" s="926"/>
      <c r="G271" s="926"/>
      <c r="H271" s="926"/>
      <c r="I271" s="926"/>
      <c r="J271" s="926"/>
      <c r="K271" s="926"/>
      <c r="L271" s="926"/>
      <c r="M271" s="926"/>
      <c r="N271" s="926"/>
      <c r="O271" s="926"/>
      <c r="P271" s="926"/>
      <c r="Q271" s="926"/>
      <c r="R271" s="926"/>
      <c r="S271" s="926"/>
      <c r="T271" s="926"/>
      <c r="U271" s="926"/>
      <c r="V271" s="926"/>
      <c r="W271" s="926"/>
      <c r="X271" s="926"/>
      <c r="Y271" s="926"/>
      <c r="Z271" s="926"/>
      <c r="AA271" s="926"/>
      <c r="AB271" s="926"/>
      <c r="AC271" s="926"/>
      <c r="AD271" s="926"/>
      <c r="AE271" s="926"/>
      <c r="AF271" s="926"/>
      <c r="AG271" s="926"/>
      <c r="AH271" s="926"/>
      <c r="AI271" s="926"/>
      <c r="AJ271" s="926"/>
      <c r="AK271" s="926"/>
      <c r="AL271" s="926"/>
      <c r="AM271" s="926"/>
      <c r="AN271" s="926"/>
      <c r="AO271" s="926"/>
      <c r="AP271" s="926"/>
      <c r="AQ271" s="926"/>
      <c r="AR271" s="926"/>
      <c r="AS271" s="926"/>
      <c r="AT271" s="926"/>
      <c r="AU271" s="927"/>
      <c r="AV271" s="927"/>
      <c r="AW271" s="927"/>
      <c r="AX271" s="927"/>
      <c r="AY271" s="927"/>
      <c r="AZ271" s="927"/>
      <c r="BA271" s="927"/>
      <c r="BB271" s="927"/>
      <c r="BC271" s="928"/>
      <c r="BD271" s="929"/>
      <c r="BE271" s="930"/>
      <c r="BF271" s="930"/>
      <c r="BG271" s="931"/>
      <c r="BH271" s="931"/>
      <c r="BI271" s="926"/>
      <c r="BJ271" s="926"/>
      <c r="BK271" s="926"/>
      <c r="BL271" s="926"/>
      <c r="BM271" s="926"/>
      <c r="BN271" s="926"/>
      <c r="BO271" s="926"/>
      <c r="BP271" s="926"/>
      <c r="BQ271" s="926"/>
      <c r="BR271" s="926"/>
      <c r="BS271" s="926"/>
      <c r="BT271" s="926"/>
      <c r="BU271" s="926"/>
      <c r="BV271" s="926"/>
      <c r="BW271" s="926"/>
      <c r="BX271" s="926"/>
      <c r="BY271" s="932"/>
      <c r="BZ271" s="932"/>
      <c r="CA271" s="932"/>
      <c r="CB271" s="932"/>
      <c r="CC271" s="932"/>
      <c r="CD271" s="932"/>
      <c r="CE271" s="932"/>
      <c r="CF271" s="932"/>
    </row>
    <row r="272" spans="1:84" x14ac:dyDescent="0.25">
      <c r="A272" s="876">
        <v>39100</v>
      </c>
      <c r="B272" s="873" t="s">
        <v>1484</v>
      </c>
      <c r="C272" s="921">
        <v>315717820</v>
      </c>
      <c r="D272" s="924">
        <v>1.943104E-3</v>
      </c>
      <c r="E272" s="925"/>
      <c r="F272" s="926"/>
      <c r="G272" s="926"/>
      <c r="H272" s="926"/>
      <c r="I272" s="926"/>
      <c r="J272" s="926"/>
      <c r="K272" s="926"/>
      <c r="L272" s="926"/>
      <c r="M272" s="926"/>
      <c r="N272" s="926"/>
      <c r="O272" s="926"/>
      <c r="P272" s="926"/>
      <c r="Q272" s="926"/>
      <c r="R272" s="926"/>
      <c r="S272" s="926"/>
      <c r="T272" s="926"/>
      <c r="U272" s="926"/>
      <c r="V272" s="926"/>
      <c r="W272" s="926"/>
      <c r="X272" s="926"/>
      <c r="Y272" s="926"/>
      <c r="Z272" s="926"/>
      <c r="AA272" s="926"/>
      <c r="AB272" s="926"/>
      <c r="AC272" s="926"/>
      <c r="AD272" s="926"/>
      <c r="AE272" s="926"/>
      <c r="AF272" s="926"/>
      <c r="AG272" s="926"/>
      <c r="AH272" s="926"/>
      <c r="AI272" s="926"/>
      <c r="AJ272" s="926"/>
      <c r="AK272" s="926"/>
      <c r="AL272" s="926"/>
      <c r="AM272" s="926"/>
      <c r="AN272" s="926"/>
      <c r="AO272" s="926"/>
      <c r="AP272" s="926"/>
      <c r="AQ272" s="926"/>
      <c r="AR272" s="926"/>
      <c r="AS272" s="926"/>
      <c r="AT272" s="926"/>
      <c r="AU272" s="927"/>
      <c r="AV272" s="927"/>
      <c r="AW272" s="927"/>
      <c r="AX272" s="927"/>
      <c r="AY272" s="927"/>
      <c r="AZ272" s="927"/>
      <c r="BA272" s="927"/>
      <c r="BB272" s="927"/>
      <c r="BC272" s="928"/>
      <c r="BD272" s="929"/>
      <c r="BE272" s="930"/>
      <c r="BF272" s="930"/>
      <c r="BG272" s="931"/>
      <c r="BH272" s="931"/>
      <c r="BI272" s="926"/>
      <c r="BJ272" s="926"/>
      <c r="BK272" s="926"/>
      <c r="BL272" s="926"/>
      <c r="BM272" s="926"/>
      <c r="BN272" s="926"/>
      <c r="BO272" s="926"/>
      <c r="BP272" s="926"/>
      <c r="BQ272" s="926"/>
      <c r="BR272" s="926"/>
      <c r="BS272" s="926"/>
      <c r="BT272" s="926"/>
      <c r="BU272" s="926"/>
      <c r="BV272" s="926"/>
      <c r="BW272" s="926"/>
      <c r="BX272" s="926"/>
      <c r="BY272" s="932"/>
      <c r="BZ272" s="932"/>
      <c r="CA272" s="932"/>
      <c r="CB272" s="932"/>
      <c r="CC272" s="932"/>
      <c r="CD272" s="932"/>
      <c r="CE272" s="932"/>
      <c r="CF272" s="932"/>
    </row>
    <row r="273" spans="1:84" x14ac:dyDescent="0.25">
      <c r="A273" s="876">
        <v>39101</v>
      </c>
      <c r="B273" s="873" t="s">
        <v>1485</v>
      </c>
      <c r="C273" s="921">
        <v>32491124</v>
      </c>
      <c r="D273" s="924">
        <v>1.9996900000000001E-4</v>
      </c>
      <c r="E273" s="925"/>
      <c r="F273" s="926"/>
      <c r="G273" s="926"/>
      <c r="H273" s="926"/>
      <c r="I273" s="926"/>
      <c r="J273" s="926"/>
      <c r="K273" s="926"/>
      <c r="L273" s="926"/>
      <c r="M273" s="926"/>
      <c r="N273" s="926"/>
      <c r="O273" s="926"/>
      <c r="P273" s="926"/>
      <c r="Q273" s="926"/>
      <c r="R273" s="926"/>
      <c r="S273" s="926"/>
      <c r="T273" s="926"/>
      <c r="U273" s="926"/>
      <c r="V273" s="926"/>
      <c r="W273" s="926"/>
      <c r="X273" s="926"/>
      <c r="Y273" s="926"/>
      <c r="Z273" s="926"/>
      <c r="AA273" s="926"/>
      <c r="AB273" s="926"/>
      <c r="AC273" s="926"/>
      <c r="AD273" s="926"/>
      <c r="AE273" s="926"/>
      <c r="AF273" s="926"/>
      <c r="AG273" s="926"/>
      <c r="AH273" s="926"/>
      <c r="AI273" s="926"/>
      <c r="AJ273" s="926"/>
      <c r="AK273" s="926"/>
      <c r="AL273" s="926"/>
      <c r="AM273" s="926"/>
      <c r="AN273" s="926"/>
      <c r="AO273" s="926"/>
      <c r="AP273" s="926"/>
      <c r="AQ273" s="926"/>
      <c r="AR273" s="926"/>
      <c r="AS273" s="926"/>
      <c r="AT273" s="926"/>
      <c r="AU273" s="927"/>
      <c r="AV273" s="927"/>
      <c r="AW273" s="927"/>
      <c r="AX273" s="927"/>
      <c r="AY273" s="927"/>
      <c r="AZ273" s="927"/>
      <c r="BA273" s="927"/>
      <c r="BB273" s="927"/>
      <c r="BC273" s="928"/>
      <c r="BD273" s="929"/>
      <c r="BE273" s="930"/>
      <c r="BF273" s="930"/>
      <c r="BG273" s="931"/>
      <c r="BH273" s="931"/>
      <c r="BI273" s="926"/>
      <c r="BJ273" s="926"/>
      <c r="BK273" s="926"/>
      <c r="BL273" s="926"/>
      <c r="BM273" s="926"/>
      <c r="BN273" s="926"/>
      <c r="BO273" s="926"/>
      <c r="BP273" s="926"/>
      <c r="BQ273" s="926"/>
      <c r="BR273" s="926"/>
      <c r="BS273" s="926"/>
      <c r="BT273" s="926"/>
      <c r="BU273" s="926"/>
      <c r="BV273" s="926"/>
      <c r="BW273" s="926"/>
      <c r="BX273" s="926"/>
      <c r="BY273" s="932"/>
      <c r="BZ273" s="932"/>
      <c r="CA273" s="932"/>
      <c r="CB273" s="932"/>
      <c r="CC273" s="932"/>
      <c r="CD273" s="932"/>
      <c r="CE273" s="932"/>
      <c r="CF273" s="932"/>
    </row>
    <row r="274" spans="1:84" x14ac:dyDescent="0.25">
      <c r="A274" s="876">
        <v>39105</v>
      </c>
      <c r="B274" s="873" t="s">
        <v>1486</v>
      </c>
      <c r="C274" s="921">
        <v>126777171</v>
      </c>
      <c r="D274" s="924">
        <v>7.8025800000000004E-4</v>
      </c>
      <c r="E274" s="925"/>
      <c r="F274" s="926"/>
      <c r="G274" s="926"/>
      <c r="H274" s="926"/>
      <c r="I274" s="926"/>
      <c r="J274" s="926"/>
      <c r="K274" s="926"/>
      <c r="L274" s="926"/>
      <c r="M274" s="926"/>
      <c r="N274" s="926"/>
      <c r="O274" s="926"/>
      <c r="P274" s="926"/>
      <c r="Q274" s="926"/>
      <c r="R274" s="926"/>
      <c r="S274" s="926"/>
      <c r="T274" s="926"/>
      <c r="U274" s="926"/>
      <c r="V274" s="926"/>
      <c r="W274" s="926"/>
      <c r="X274" s="926"/>
      <c r="Y274" s="926"/>
      <c r="Z274" s="926"/>
      <c r="AA274" s="926"/>
      <c r="AB274" s="926"/>
      <c r="AC274" s="926"/>
      <c r="AD274" s="926"/>
      <c r="AE274" s="926"/>
      <c r="AF274" s="926"/>
      <c r="AG274" s="926"/>
      <c r="AH274" s="926"/>
      <c r="AI274" s="926"/>
      <c r="AJ274" s="926"/>
      <c r="AK274" s="926"/>
      <c r="AL274" s="926"/>
      <c r="AM274" s="926"/>
      <c r="AN274" s="926"/>
      <c r="AO274" s="926"/>
      <c r="AP274" s="926"/>
      <c r="AQ274" s="926"/>
      <c r="AR274" s="926"/>
      <c r="AS274" s="926"/>
      <c r="AT274" s="926"/>
      <c r="AU274" s="927"/>
      <c r="AV274" s="927"/>
      <c r="AW274" s="927"/>
      <c r="AX274" s="927"/>
      <c r="AY274" s="927"/>
      <c r="AZ274" s="927"/>
      <c r="BA274" s="927"/>
      <c r="BB274" s="927"/>
      <c r="BC274" s="928"/>
      <c r="BD274" s="929"/>
      <c r="BE274" s="930"/>
      <c r="BF274" s="930"/>
      <c r="BG274" s="931"/>
      <c r="BH274" s="931"/>
      <c r="BI274" s="926"/>
      <c r="BJ274" s="926"/>
      <c r="BK274" s="926"/>
      <c r="BL274" s="926"/>
      <c r="BM274" s="926"/>
      <c r="BN274" s="926"/>
      <c r="BO274" s="926"/>
      <c r="BP274" s="926"/>
      <c r="BQ274" s="926"/>
      <c r="BR274" s="926"/>
      <c r="BS274" s="926"/>
      <c r="BT274" s="926"/>
      <c r="BU274" s="926"/>
      <c r="BV274" s="926"/>
      <c r="BW274" s="926"/>
      <c r="BX274" s="926"/>
      <c r="BY274" s="932"/>
      <c r="BZ274" s="932"/>
      <c r="CA274" s="932"/>
      <c r="CB274" s="932"/>
      <c r="CC274" s="932"/>
      <c r="CD274" s="932"/>
      <c r="CE274" s="932"/>
      <c r="CF274" s="932"/>
    </row>
    <row r="275" spans="1:84" x14ac:dyDescent="0.25">
      <c r="A275" s="876">
        <v>39200</v>
      </c>
      <c r="B275" s="873" t="s">
        <v>1487</v>
      </c>
      <c r="C275" s="921">
        <v>9632977505</v>
      </c>
      <c r="D275" s="924">
        <v>5.9286740999999997E-2</v>
      </c>
      <c r="E275" s="925"/>
      <c r="F275" s="926"/>
      <c r="G275" s="926"/>
      <c r="H275" s="926"/>
      <c r="I275" s="926"/>
      <c r="J275" s="926"/>
      <c r="K275" s="926"/>
      <c r="L275" s="926"/>
      <c r="M275" s="926"/>
      <c r="N275" s="926"/>
      <c r="O275" s="926"/>
      <c r="P275" s="926"/>
      <c r="Q275" s="926"/>
      <c r="R275" s="926"/>
      <c r="S275" s="926"/>
      <c r="T275" s="926"/>
      <c r="U275" s="926"/>
      <c r="V275" s="926"/>
      <c r="W275" s="926"/>
      <c r="X275" s="926"/>
      <c r="Y275" s="926"/>
      <c r="Z275" s="926"/>
      <c r="AA275" s="926"/>
      <c r="AB275" s="926"/>
      <c r="AC275" s="926"/>
      <c r="AD275" s="926"/>
      <c r="AE275" s="926"/>
      <c r="AF275" s="926"/>
      <c r="AG275" s="926"/>
      <c r="AH275" s="926"/>
      <c r="AI275" s="926"/>
      <c r="AJ275" s="926"/>
      <c r="AK275" s="926"/>
      <c r="AL275" s="926"/>
      <c r="AM275" s="926"/>
      <c r="AN275" s="926"/>
      <c r="AO275" s="926"/>
      <c r="AP275" s="926"/>
      <c r="AQ275" s="926"/>
      <c r="AR275" s="926"/>
      <c r="AS275" s="926"/>
      <c r="AT275" s="926"/>
      <c r="AU275" s="927"/>
      <c r="AV275" s="927"/>
      <c r="AW275" s="927"/>
      <c r="AX275" s="927"/>
      <c r="AY275" s="927"/>
      <c r="AZ275" s="927"/>
      <c r="BA275" s="927"/>
      <c r="BB275" s="927"/>
      <c r="BC275" s="928"/>
      <c r="BD275" s="929"/>
      <c r="BE275" s="930"/>
      <c r="BF275" s="930"/>
      <c r="BG275" s="931"/>
      <c r="BH275" s="931"/>
      <c r="BI275" s="926"/>
      <c r="BJ275" s="926"/>
      <c r="BK275" s="926"/>
      <c r="BL275" s="926"/>
      <c r="BM275" s="926"/>
      <c r="BN275" s="926"/>
      <c r="BO275" s="926"/>
      <c r="BP275" s="926"/>
      <c r="BQ275" s="926"/>
      <c r="BR275" s="926"/>
      <c r="BS275" s="926"/>
      <c r="BT275" s="926"/>
      <c r="BU275" s="926"/>
      <c r="BV275" s="926"/>
      <c r="BW275" s="926"/>
      <c r="BX275" s="926"/>
      <c r="BY275" s="932"/>
      <c r="BZ275" s="932"/>
      <c r="CA275" s="932"/>
      <c r="CB275" s="932"/>
      <c r="CC275" s="932"/>
      <c r="CD275" s="932"/>
      <c r="CE275" s="932"/>
      <c r="CF275" s="932"/>
    </row>
    <row r="276" spans="1:84" x14ac:dyDescent="0.25">
      <c r="A276" s="876">
        <v>39201</v>
      </c>
      <c r="B276" s="873" t="s">
        <v>1488</v>
      </c>
      <c r="C276" s="921">
        <v>29745786</v>
      </c>
      <c r="D276" s="924">
        <v>1.83072E-4</v>
      </c>
      <c r="E276" s="925"/>
      <c r="F276" s="926"/>
      <c r="G276" s="926"/>
      <c r="H276" s="926"/>
      <c r="I276" s="926"/>
      <c r="J276" s="926"/>
      <c r="K276" s="926"/>
      <c r="L276" s="926"/>
      <c r="M276" s="926"/>
      <c r="N276" s="926"/>
      <c r="O276" s="926"/>
      <c r="P276" s="926"/>
      <c r="Q276" s="926"/>
      <c r="R276" s="926"/>
      <c r="S276" s="926"/>
      <c r="T276" s="926"/>
      <c r="U276" s="926"/>
      <c r="V276" s="926"/>
      <c r="W276" s="926"/>
      <c r="X276" s="926"/>
      <c r="Y276" s="926"/>
      <c r="Z276" s="926"/>
      <c r="AA276" s="926"/>
      <c r="AB276" s="926"/>
      <c r="AC276" s="926"/>
      <c r="AD276" s="926"/>
      <c r="AE276" s="926"/>
      <c r="AF276" s="926"/>
      <c r="AG276" s="926"/>
      <c r="AH276" s="926"/>
      <c r="AI276" s="926"/>
      <c r="AJ276" s="926"/>
      <c r="AK276" s="926"/>
      <c r="AL276" s="926"/>
      <c r="AM276" s="926"/>
      <c r="AN276" s="926"/>
      <c r="AO276" s="926"/>
      <c r="AP276" s="926"/>
      <c r="AQ276" s="926"/>
      <c r="AR276" s="926"/>
      <c r="AS276" s="926"/>
      <c r="AT276" s="926"/>
      <c r="AU276" s="927"/>
      <c r="AV276" s="927"/>
      <c r="AW276" s="927"/>
      <c r="AX276" s="927"/>
      <c r="AY276" s="927"/>
      <c r="AZ276" s="927"/>
      <c r="BA276" s="927"/>
      <c r="BB276" s="927"/>
      <c r="BC276" s="928"/>
      <c r="BD276" s="929"/>
      <c r="BE276" s="930"/>
      <c r="BF276" s="930"/>
      <c r="BG276" s="931"/>
      <c r="BH276" s="931"/>
      <c r="BI276" s="926"/>
      <c r="BJ276" s="926"/>
      <c r="BK276" s="926"/>
      <c r="BL276" s="926"/>
      <c r="BM276" s="926"/>
      <c r="BN276" s="926"/>
      <c r="BO276" s="926"/>
      <c r="BP276" s="926"/>
      <c r="BQ276" s="926"/>
      <c r="BR276" s="926"/>
      <c r="BS276" s="926"/>
      <c r="BT276" s="926"/>
      <c r="BU276" s="926"/>
      <c r="BV276" s="926"/>
      <c r="BW276" s="926"/>
      <c r="BX276" s="926"/>
      <c r="BY276" s="932"/>
      <c r="BZ276" s="932"/>
      <c r="CA276" s="932"/>
      <c r="CB276" s="932"/>
      <c r="CC276" s="932"/>
      <c r="CD276" s="932"/>
      <c r="CE276" s="932"/>
      <c r="CF276" s="932"/>
    </row>
    <row r="277" spans="1:84" x14ac:dyDescent="0.25">
      <c r="A277" s="876">
        <v>39204</v>
      </c>
      <c r="B277" s="873" t="s">
        <v>1489</v>
      </c>
      <c r="C277" s="921">
        <v>32603113</v>
      </c>
      <c r="D277" s="924">
        <v>2.0065799999999999E-4</v>
      </c>
      <c r="E277" s="925"/>
      <c r="F277" s="926"/>
      <c r="G277" s="926"/>
      <c r="H277" s="926"/>
      <c r="I277" s="926"/>
      <c r="J277" s="926"/>
      <c r="K277" s="926"/>
      <c r="L277" s="926"/>
      <c r="M277" s="926"/>
      <c r="N277" s="926"/>
      <c r="O277" s="926"/>
      <c r="P277" s="926"/>
      <c r="Q277" s="926"/>
      <c r="R277" s="926"/>
      <c r="S277" s="926"/>
      <c r="T277" s="926"/>
      <c r="U277" s="926"/>
      <c r="V277" s="926"/>
      <c r="W277" s="926"/>
      <c r="X277" s="926"/>
      <c r="Y277" s="926"/>
      <c r="Z277" s="926"/>
      <c r="AA277" s="926"/>
      <c r="AB277" s="926"/>
      <c r="AC277" s="926"/>
      <c r="AD277" s="926"/>
      <c r="AE277" s="926"/>
      <c r="AF277" s="926"/>
      <c r="AG277" s="926"/>
      <c r="AH277" s="926"/>
      <c r="AI277" s="926"/>
      <c r="AJ277" s="926"/>
      <c r="AK277" s="926"/>
      <c r="AL277" s="926"/>
      <c r="AM277" s="926"/>
      <c r="AN277" s="926"/>
      <c r="AO277" s="926"/>
      <c r="AP277" s="926"/>
      <c r="AQ277" s="926"/>
      <c r="AR277" s="926"/>
      <c r="AS277" s="926"/>
      <c r="AT277" s="926"/>
      <c r="AU277" s="927"/>
      <c r="AV277" s="927"/>
      <c r="AW277" s="927"/>
      <c r="AX277" s="927"/>
      <c r="AY277" s="927"/>
      <c r="AZ277" s="927"/>
      <c r="BA277" s="927"/>
      <c r="BB277" s="927"/>
      <c r="BC277" s="928"/>
      <c r="BD277" s="929"/>
      <c r="BE277" s="930"/>
      <c r="BF277" s="930"/>
      <c r="BG277" s="931"/>
      <c r="BH277" s="931"/>
      <c r="BI277" s="926"/>
      <c r="BJ277" s="926"/>
      <c r="BK277" s="926"/>
      <c r="BL277" s="926"/>
      <c r="BM277" s="926"/>
      <c r="BN277" s="926"/>
      <c r="BO277" s="926"/>
      <c r="BP277" s="926"/>
      <c r="BQ277" s="926"/>
      <c r="BR277" s="926"/>
      <c r="BS277" s="926"/>
      <c r="BT277" s="926"/>
      <c r="BU277" s="926"/>
      <c r="BV277" s="926"/>
      <c r="BW277" s="926"/>
      <c r="BX277" s="926"/>
      <c r="BY277" s="932"/>
      <c r="BZ277" s="932"/>
      <c r="CA277" s="932"/>
      <c r="CB277" s="932"/>
      <c r="CC277" s="932"/>
      <c r="CD277" s="932"/>
      <c r="CE277" s="932"/>
      <c r="CF277" s="932"/>
    </row>
    <row r="278" spans="1:84" x14ac:dyDescent="0.25">
      <c r="A278" s="876">
        <v>39205</v>
      </c>
      <c r="B278" s="873" t="s">
        <v>1490</v>
      </c>
      <c r="C278" s="921">
        <v>758269150</v>
      </c>
      <c r="D278" s="924">
        <v>4.6668129999999997E-3</v>
      </c>
      <c r="E278" s="925"/>
      <c r="F278" s="926"/>
      <c r="G278" s="926"/>
      <c r="H278" s="926"/>
      <c r="I278" s="926"/>
      <c r="J278" s="926"/>
      <c r="K278" s="926"/>
      <c r="L278" s="926"/>
      <c r="M278" s="926"/>
      <c r="N278" s="926"/>
      <c r="O278" s="926"/>
      <c r="P278" s="926"/>
      <c r="Q278" s="926"/>
      <c r="R278" s="926"/>
      <c r="S278" s="926"/>
      <c r="T278" s="926"/>
      <c r="U278" s="926"/>
      <c r="V278" s="926"/>
      <c r="W278" s="926"/>
      <c r="X278" s="926"/>
      <c r="Y278" s="926"/>
      <c r="Z278" s="926"/>
      <c r="AA278" s="926"/>
      <c r="AB278" s="926"/>
      <c r="AC278" s="926"/>
      <c r="AD278" s="926"/>
      <c r="AE278" s="926"/>
      <c r="AF278" s="926"/>
      <c r="AG278" s="926"/>
      <c r="AH278" s="926"/>
      <c r="AI278" s="926"/>
      <c r="AJ278" s="926"/>
      <c r="AK278" s="926"/>
      <c r="AL278" s="926"/>
      <c r="AM278" s="926"/>
      <c r="AN278" s="926"/>
      <c r="AO278" s="926"/>
      <c r="AP278" s="926"/>
      <c r="AQ278" s="926"/>
      <c r="AR278" s="926"/>
      <c r="AS278" s="926"/>
      <c r="AT278" s="926"/>
      <c r="AU278" s="927"/>
      <c r="AV278" s="927"/>
      <c r="AW278" s="927"/>
      <c r="AX278" s="927"/>
      <c r="AY278" s="927"/>
      <c r="AZ278" s="927"/>
      <c r="BA278" s="927"/>
      <c r="BB278" s="927"/>
      <c r="BC278" s="928"/>
      <c r="BD278" s="929"/>
      <c r="BE278" s="930"/>
      <c r="BF278" s="930"/>
      <c r="BG278" s="931"/>
      <c r="BH278" s="931"/>
      <c r="BI278" s="926"/>
      <c r="BJ278" s="926"/>
      <c r="BK278" s="926"/>
      <c r="BL278" s="926"/>
      <c r="BM278" s="926"/>
      <c r="BN278" s="926"/>
      <c r="BO278" s="926"/>
      <c r="BP278" s="926"/>
      <c r="BQ278" s="926"/>
      <c r="BR278" s="926"/>
      <c r="BS278" s="926"/>
      <c r="BT278" s="926"/>
      <c r="BU278" s="926"/>
      <c r="BV278" s="926"/>
      <c r="BW278" s="926"/>
      <c r="BX278" s="926"/>
      <c r="BY278" s="932"/>
      <c r="BZ278" s="932"/>
      <c r="CA278" s="932"/>
      <c r="CB278" s="932"/>
      <c r="CC278" s="932"/>
      <c r="CD278" s="932"/>
      <c r="CE278" s="932"/>
      <c r="CF278" s="932"/>
    </row>
    <row r="279" spans="1:84" x14ac:dyDescent="0.25">
      <c r="A279" s="876">
        <v>39208</v>
      </c>
      <c r="B279" s="873" t="s">
        <v>1491</v>
      </c>
      <c r="C279" s="921">
        <v>58299265</v>
      </c>
      <c r="D279" s="924">
        <v>3.5880599999999998E-4</v>
      </c>
      <c r="E279" s="925"/>
      <c r="F279" s="926"/>
      <c r="G279" s="926"/>
      <c r="H279" s="926"/>
      <c r="I279" s="926"/>
      <c r="J279" s="926"/>
      <c r="K279" s="926"/>
      <c r="L279" s="926"/>
      <c r="M279" s="926"/>
      <c r="N279" s="926"/>
      <c r="O279" s="926"/>
      <c r="P279" s="926"/>
      <c r="Q279" s="926"/>
      <c r="R279" s="926"/>
      <c r="S279" s="926"/>
      <c r="T279" s="926"/>
      <c r="U279" s="926"/>
      <c r="V279" s="926"/>
      <c r="W279" s="926"/>
      <c r="X279" s="926"/>
      <c r="Y279" s="926"/>
      <c r="Z279" s="926"/>
      <c r="AA279" s="926"/>
      <c r="AB279" s="926"/>
      <c r="AC279" s="926"/>
      <c r="AD279" s="926"/>
      <c r="AE279" s="926"/>
      <c r="AF279" s="926"/>
      <c r="AG279" s="926"/>
      <c r="AH279" s="926"/>
      <c r="AI279" s="926"/>
      <c r="AJ279" s="926"/>
      <c r="AK279" s="926"/>
      <c r="AL279" s="926"/>
      <c r="AM279" s="926"/>
      <c r="AN279" s="926"/>
      <c r="AO279" s="926"/>
      <c r="AP279" s="926"/>
      <c r="AQ279" s="926"/>
      <c r="AR279" s="926"/>
      <c r="AS279" s="926"/>
      <c r="AT279" s="926"/>
      <c r="AU279" s="927"/>
      <c r="AV279" s="927"/>
      <c r="AW279" s="927"/>
      <c r="AX279" s="927"/>
      <c r="AY279" s="927"/>
      <c r="AZ279" s="927"/>
      <c r="BA279" s="927"/>
      <c r="BB279" s="927"/>
      <c r="BC279" s="928"/>
      <c r="BD279" s="929"/>
      <c r="BE279" s="930"/>
      <c r="BF279" s="930"/>
      <c r="BG279" s="931"/>
      <c r="BH279" s="931"/>
      <c r="BI279" s="926"/>
      <c r="BJ279" s="926"/>
      <c r="BK279" s="926"/>
      <c r="BL279" s="926"/>
      <c r="BM279" s="926"/>
      <c r="BN279" s="926"/>
      <c r="BO279" s="926"/>
      <c r="BP279" s="926"/>
      <c r="BQ279" s="926"/>
      <c r="BR279" s="926"/>
      <c r="BS279" s="926"/>
      <c r="BT279" s="926"/>
      <c r="BU279" s="926"/>
      <c r="BV279" s="926"/>
      <c r="BW279" s="926"/>
      <c r="BX279" s="926"/>
      <c r="BY279" s="932"/>
      <c r="BZ279" s="932"/>
      <c r="CA279" s="932"/>
      <c r="CB279" s="932"/>
      <c r="CC279" s="932"/>
      <c r="CD279" s="932"/>
      <c r="CE279" s="932"/>
      <c r="CF279" s="932"/>
    </row>
    <row r="280" spans="1:84" x14ac:dyDescent="0.25">
      <c r="A280" s="876">
        <v>39209</v>
      </c>
      <c r="B280" s="873" t="s">
        <v>1492</v>
      </c>
      <c r="C280" s="921">
        <v>29125293</v>
      </c>
      <c r="D280" s="924">
        <v>1.7925300000000001E-4</v>
      </c>
      <c r="E280" s="925"/>
      <c r="F280" s="926"/>
      <c r="G280" s="926"/>
      <c r="H280" s="926"/>
      <c r="I280" s="926"/>
      <c r="J280" s="926"/>
      <c r="K280" s="926"/>
      <c r="L280" s="926"/>
      <c r="M280" s="926"/>
      <c r="N280" s="926"/>
      <c r="O280" s="926"/>
      <c r="P280" s="926"/>
      <c r="Q280" s="926"/>
      <c r="R280" s="926"/>
      <c r="S280" s="926"/>
      <c r="T280" s="926"/>
      <c r="U280" s="926"/>
      <c r="V280" s="926"/>
      <c r="W280" s="926"/>
      <c r="X280" s="926"/>
      <c r="Y280" s="926"/>
      <c r="Z280" s="926"/>
      <c r="AA280" s="926"/>
      <c r="AB280" s="926"/>
      <c r="AC280" s="926"/>
      <c r="AD280" s="926"/>
      <c r="AE280" s="926"/>
      <c r="AF280" s="926"/>
      <c r="AG280" s="926"/>
      <c r="AH280" s="926"/>
      <c r="AI280" s="926"/>
      <c r="AJ280" s="926"/>
      <c r="AK280" s="926"/>
      <c r="AL280" s="926"/>
      <c r="AM280" s="926"/>
      <c r="AN280" s="926"/>
      <c r="AO280" s="926"/>
      <c r="AP280" s="926"/>
      <c r="AQ280" s="926"/>
      <c r="AR280" s="926"/>
      <c r="AS280" s="926"/>
      <c r="AT280" s="926"/>
      <c r="AU280" s="927"/>
      <c r="AV280" s="927"/>
      <c r="AW280" s="927"/>
      <c r="AX280" s="927"/>
      <c r="AY280" s="927"/>
      <c r="AZ280" s="927"/>
      <c r="BA280" s="927"/>
      <c r="BB280" s="927"/>
      <c r="BC280" s="928"/>
      <c r="BD280" s="929"/>
      <c r="BE280" s="930"/>
      <c r="BF280" s="930"/>
      <c r="BG280" s="931"/>
      <c r="BH280" s="931"/>
      <c r="BI280" s="926"/>
      <c r="BJ280" s="926"/>
      <c r="BK280" s="926"/>
      <c r="BL280" s="926"/>
      <c r="BM280" s="926"/>
      <c r="BN280" s="926"/>
      <c r="BO280" s="926"/>
      <c r="BP280" s="926"/>
      <c r="BQ280" s="926"/>
      <c r="BR280" s="926"/>
      <c r="BS280" s="926"/>
      <c r="BT280" s="926"/>
      <c r="BU280" s="926"/>
      <c r="BV280" s="926"/>
      <c r="BW280" s="926"/>
      <c r="BX280" s="926"/>
      <c r="BY280" s="932"/>
      <c r="BZ280" s="932"/>
      <c r="CA280" s="932"/>
      <c r="CB280" s="932"/>
      <c r="CC280" s="932"/>
      <c r="CD280" s="932"/>
      <c r="CE280" s="932"/>
      <c r="CF280" s="932"/>
    </row>
    <row r="281" spans="1:84" x14ac:dyDescent="0.25">
      <c r="A281" s="876">
        <v>39300</v>
      </c>
      <c r="B281" s="873" t="s">
        <v>1493</v>
      </c>
      <c r="C281" s="921">
        <v>116676927</v>
      </c>
      <c r="D281" s="924">
        <v>7.1809499999999997E-4</v>
      </c>
      <c r="E281" s="925"/>
      <c r="F281" s="926"/>
      <c r="G281" s="926"/>
      <c r="H281" s="926"/>
      <c r="I281" s="926"/>
      <c r="J281" s="926"/>
      <c r="K281" s="926"/>
      <c r="L281" s="926"/>
      <c r="M281" s="926"/>
      <c r="N281" s="926"/>
      <c r="O281" s="926"/>
      <c r="P281" s="926"/>
      <c r="Q281" s="926"/>
      <c r="R281" s="926"/>
      <c r="S281" s="926"/>
      <c r="T281" s="926"/>
      <c r="U281" s="926"/>
      <c r="V281" s="926"/>
      <c r="W281" s="926"/>
      <c r="X281" s="926"/>
      <c r="Y281" s="926"/>
      <c r="Z281" s="926"/>
      <c r="AA281" s="926"/>
      <c r="AB281" s="926"/>
      <c r="AC281" s="926"/>
      <c r="AD281" s="926"/>
      <c r="AE281" s="926"/>
      <c r="AF281" s="926"/>
      <c r="AG281" s="926"/>
      <c r="AH281" s="926"/>
      <c r="AI281" s="926"/>
      <c r="AJ281" s="926"/>
      <c r="AK281" s="926"/>
      <c r="AL281" s="926"/>
      <c r="AM281" s="926"/>
      <c r="AN281" s="926"/>
      <c r="AO281" s="926"/>
      <c r="AP281" s="926"/>
      <c r="AQ281" s="926"/>
      <c r="AR281" s="926"/>
      <c r="AS281" s="926"/>
      <c r="AT281" s="926"/>
      <c r="AU281" s="927"/>
      <c r="AV281" s="927"/>
      <c r="AW281" s="927"/>
      <c r="AX281" s="927"/>
      <c r="AY281" s="927"/>
      <c r="AZ281" s="927"/>
      <c r="BA281" s="927"/>
      <c r="BB281" s="927"/>
      <c r="BC281" s="928"/>
      <c r="BD281" s="929"/>
      <c r="BE281" s="930"/>
      <c r="BF281" s="930"/>
      <c r="BG281" s="931"/>
      <c r="BH281" s="931"/>
      <c r="BI281" s="926"/>
      <c r="BJ281" s="926"/>
      <c r="BK281" s="926"/>
      <c r="BL281" s="926"/>
      <c r="BM281" s="926"/>
      <c r="BN281" s="926"/>
      <c r="BO281" s="926"/>
      <c r="BP281" s="926"/>
      <c r="BQ281" s="926"/>
      <c r="BR281" s="926"/>
      <c r="BS281" s="926"/>
      <c r="BT281" s="926"/>
      <c r="BU281" s="926"/>
      <c r="BV281" s="926"/>
      <c r="BW281" s="926"/>
      <c r="BX281" s="926"/>
      <c r="BY281" s="932"/>
      <c r="BZ281" s="932"/>
      <c r="CA281" s="932"/>
      <c r="CB281" s="932"/>
      <c r="CC281" s="932"/>
      <c r="CD281" s="932"/>
      <c r="CE281" s="932"/>
      <c r="CF281" s="932"/>
    </row>
    <row r="282" spans="1:84" x14ac:dyDescent="0.25">
      <c r="A282" s="876">
        <v>39301</v>
      </c>
      <c r="B282" s="873" t="s">
        <v>1494</v>
      </c>
      <c r="C282" s="921">
        <v>6065556</v>
      </c>
      <c r="D282" s="924">
        <v>3.7330999999999999E-5</v>
      </c>
      <c r="E282" s="925"/>
      <c r="F282" s="926"/>
      <c r="G282" s="926"/>
      <c r="H282" s="926"/>
      <c r="I282" s="926"/>
      <c r="J282" s="926"/>
      <c r="K282" s="926"/>
      <c r="L282" s="926"/>
      <c r="M282" s="926"/>
      <c r="N282" s="926"/>
      <c r="O282" s="926"/>
      <c r="P282" s="926"/>
      <c r="Q282" s="926"/>
      <c r="R282" s="926"/>
      <c r="S282" s="926"/>
      <c r="T282" s="926"/>
      <c r="U282" s="926"/>
      <c r="V282" s="926"/>
      <c r="W282" s="926"/>
      <c r="X282" s="926"/>
      <c r="Y282" s="926"/>
      <c r="Z282" s="926"/>
      <c r="AA282" s="926"/>
      <c r="AB282" s="926"/>
      <c r="AC282" s="926"/>
      <c r="AD282" s="926"/>
      <c r="AE282" s="926"/>
      <c r="AF282" s="926"/>
      <c r="AG282" s="926"/>
      <c r="AH282" s="926"/>
      <c r="AI282" s="926"/>
      <c r="AJ282" s="926"/>
      <c r="AK282" s="926"/>
      <c r="AL282" s="926"/>
      <c r="AM282" s="926"/>
      <c r="AN282" s="926"/>
      <c r="AO282" s="926"/>
      <c r="AP282" s="926"/>
      <c r="AQ282" s="926"/>
      <c r="AR282" s="926"/>
      <c r="AS282" s="926"/>
      <c r="AT282" s="926"/>
      <c r="AU282" s="927"/>
      <c r="AV282" s="927"/>
      <c r="AW282" s="927"/>
      <c r="AX282" s="927"/>
      <c r="AY282" s="927"/>
      <c r="AZ282" s="927"/>
      <c r="BA282" s="927"/>
      <c r="BB282" s="927"/>
      <c r="BC282" s="928"/>
      <c r="BD282" s="929"/>
      <c r="BE282" s="930"/>
      <c r="BF282" s="930"/>
      <c r="BG282" s="931"/>
      <c r="BH282" s="931"/>
      <c r="BI282" s="926"/>
      <c r="BJ282" s="926"/>
      <c r="BK282" s="926"/>
      <c r="BL282" s="926"/>
      <c r="BM282" s="926"/>
      <c r="BN282" s="926"/>
      <c r="BO282" s="926"/>
      <c r="BP282" s="926"/>
      <c r="BQ282" s="926"/>
      <c r="BR282" s="926"/>
      <c r="BS282" s="926"/>
      <c r="BT282" s="926"/>
      <c r="BU282" s="926"/>
      <c r="BV282" s="926"/>
      <c r="BW282" s="926"/>
      <c r="BX282" s="926"/>
      <c r="BY282" s="932"/>
      <c r="BZ282" s="932"/>
      <c r="CA282" s="932"/>
      <c r="CB282" s="932"/>
      <c r="CC282" s="932"/>
      <c r="CD282" s="932"/>
      <c r="CE282" s="932"/>
      <c r="CF282" s="932"/>
    </row>
    <row r="283" spans="1:84" x14ac:dyDescent="0.25">
      <c r="A283" s="876">
        <v>39400</v>
      </c>
      <c r="B283" s="873" t="s">
        <v>1495</v>
      </c>
      <c r="C283" s="921">
        <v>87973980</v>
      </c>
      <c r="D283" s="924">
        <v>5.4144100000000004E-4</v>
      </c>
      <c r="E283" s="925"/>
      <c r="F283" s="926"/>
      <c r="G283" s="926"/>
      <c r="H283" s="926"/>
      <c r="I283" s="926"/>
      <c r="J283" s="926"/>
      <c r="K283" s="926"/>
      <c r="L283" s="926"/>
      <c r="M283" s="926"/>
      <c r="N283" s="926"/>
      <c r="O283" s="926"/>
      <c r="P283" s="926"/>
      <c r="Q283" s="926"/>
      <c r="R283" s="926"/>
      <c r="S283" s="926"/>
      <c r="T283" s="926"/>
      <c r="U283" s="926"/>
      <c r="V283" s="926"/>
      <c r="W283" s="926"/>
      <c r="X283" s="926"/>
      <c r="Y283" s="926"/>
      <c r="Z283" s="926"/>
      <c r="AA283" s="926"/>
      <c r="AB283" s="926"/>
      <c r="AC283" s="926"/>
      <c r="AD283" s="926"/>
      <c r="AE283" s="926"/>
      <c r="AF283" s="926"/>
      <c r="AG283" s="926"/>
      <c r="AH283" s="926"/>
      <c r="AI283" s="926"/>
      <c r="AJ283" s="926"/>
      <c r="AK283" s="926"/>
      <c r="AL283" s="926"/>
      <c r="AM283" s="926"/>
      <c r="AN283" s="926"/>
      <c r="AO283" s="926"/>
      <c r="AP283" s="926"/>
      <c r="AQ283" s="926"/>
      <c r="AR283" s="926"/>
      <c r="AS283" s="926"/>
      <c r="AT283" s="926"/>
      <c r="AU283" s="927"/>
      <c r="AV283" s="927"/>
      <c r="AW283" s="927"/>
      <c r="AX283" s="927"/>
      <c r="AY283" s="927"/>
      <c r="AZ283" s="927"/>
      <c r="BA283" s="927"/>
      <c r="BB283" s="927"/>
      <c r="BC283" s="928"/>
      <c r="BD283" s="929"/>
      <c r="BE283" s="930"/>
      <c r="BF283" s="930"/>
      <c r="BG283" s="931"/>
      <c r="BH283" s="931"/>
      <c r="BI283" s="926"/>
      <c r="BJ283" s="926"/>
      <c r="BK283" s="926"/>
      <c r="BL283" s="926"/>
      <c r="BM283" s="926"/>
      <c r="BN283" s="926"/>
      <c r="BO283" s="926"/>
      <c r="BP283" s="926"/>
      <c r="BQ283" s="926"/>
      <c r="BR283" s="926"/>
      <c r="BS283" s="926"/>
      <c r="BT283" s="926"/>
      <c r="BU283" s="926"/>
      <c r="BV283" s="926"/>
      <c r="BW283" s="926"/>
      <c r="BX283" s="926"/>
      <c r="BY283" s="932"/>
      <c r="BZ283" s="932"/>
      <c r="CA283" s="932"/>
      <c r="CB283" s="932"/>
      <c r="CC283" s="932"/>
      <c r="CD283" s="932"/>
      <c r="CE283" s="932"/>
      <c r="CF283" s="932"/>
    </row>
    <row r="284" spans="1:84" x14ac:dyDescent="0.25">
      <c r="A284" s="876">
        <v>39401</v>
      </c>
      <c r="B284" s="873" t="s">
        <v>1496</v>
      </c>
      <c r="C284" s="921">
        <v>56068147</v>
      </c>
      <c r="D284" s="924">
        <v>3.4507500000000003E-4</v>
      </c>
      <c r="E284" s="925"/>
      <c r="F284" s="926"/>
      <c r="G284" s="926"/>
      <c r="H284" s="926"/>
      <c r="I284" s="926"/>
      <c r="J284" s="926"/>
      <c r="K284" s="926"/>
      <c r="L284" s="926"/>
      <c r="M284" s="926"/>
      <c r="N284" s="926"/>
      <c r="O284" s="926"/>
      <c r="P284" s="926"/>
      <c r="Q284" s="926"/>
      <c r="R284" s="926"/>
      <c r="S284" s="926"/>
      <c r="T284" s="926"/>
      <c r="U284" s="926"/>
      <c r="V284" s="926"/>
      <c r="W284" s="926"/>
      <c r="X284" s="926"/>
      <c r="Y284" s="926"/>
      <c r="Z284" s="926"/>
      <c r="AA284" s="926"/>
      <c r="AB284" s="926"/>
      <c r="AC284" s="926"/>
      <c r="AD284" s="926"/>
      <c r="AE284" s="926"/>
      <c r="AF284" s="926"/>
      <c r="AG284" s="926"/>
      <c r="AH284" s="926"/>
      <c r="AI284" s="926"/>
      <c r="AJ284" s="926"/>
      <c r="AK284" s="926"/>
      <c r="AL284" s="926"/>
      <c r="AM284" s="926"/>
      <c r="AN284" s="926"/>
      <c r="AO284" s="926"/>
      <c r="AP284" s="926"/>
      <c r="AQ284" s="926"/>
      <c r="AR284" s="926"/>
      <c r="AS284" s="926"/>
      <c r="AT284" s="926"/>
      <c r="AU284" s="927"/>
      <c r="AV284" s="927"/>
      <c r="AW284" s="927"/>
      <c r="AX284" s="927"/>
      <c r="AY284" s="927"/>
      <c r="AZ284" s="927"/>
      <c r="BA284" s="927"/>
      <c r="BB284" s="927"/>
      <c r="BC284" s="928"/>
      <c r="BD284" s="929"/>
      <c r="BE284" s="930"/>
      <c r="BF284" s="930"/>
      <c r="BG284" s="931"/>
      <c r="BH284" s="931"/>
      <c r="BI284" s="926"/>
      <c r="BJ284" s="926"/>
      <c r="BK284" s="926"/>
      <c r="BL284" s="926"/>
      <c r="BM284" s="926"/>
      <c r="BN284" s="926"/>
      <c r="BO284" s="926"/>
      <c r="BP284" s="926"/>
      <c r="BQ284" s="926"/>
      <c r="BR284" s="926"/>
      <c r="BS284" s="926"/>
      <c r="BT284" s="926"/>
      <c r="BU284" s="926"/>
      <c r="BV284" s="926"/>
      <c r="BW284" s="926"/>
      <c r="BX284" s="926"/>
      <c r="BY284" s="932"/>
      <c r="BZ284" s="932"/>
      <c r="CA284" s="932"/>
      <c r="CB284" s="932"/>
      <c r="CC284" s="932"/>
      <c r="CD284" s="932"/>
      <c r="CE284" s="932"/>
      <c r="CF284" s="932"/>
    </row>
    <row r="285" spans="1:84" x14ac:dyDescent="0.25">
      <c r="A285" s="876">
        <v>39500</v>
      </c>
      <c r="B285" s="873" t="s">
        <v>1497</v>
      </c>
      <c r="C285" s="921">
        <v>289137293</v>
      </c>
      <c r="D285" s="924">
        <v>1.7795129999999999E-3</v>
      </c>
      <c r="E285" s="925"/>
      <c r="F285" s="926"/>
      <c r="G285" s="926"/>
      <c r="H285" s="926"/>
      <c r="I285" s="926"/>
      <c r="J285" s="926"/>
      <c r="K285" s="926"/>
      <c r="L285" s="926"/>
      <c r="M285" s="926"/>
      <c r="N285" s="926"/>
      <c r="O285" s="926"/>
      <c r="P285" s="926"/>
      <c r="Q285" s="926"/>
      <c r="R285" s="926"/>
      <c r="S285" s="926"/>
      <c r="T285" s="926"/>
      <c r="U285" s="926"/>
      <c r="V285" s="926"/>
      <c r="W285" s="926"/>
      <c r="X285" s="926"/>
      <c r="Y285" s="926"/>
      <c r="Z285" s="926"/>
      <c r="AA285" s="926"/>
      <c r="AB285" s="926"/>
      <c r="AC285" s="926"/>
      <c r="AD285" s="926"/>
      <c r="AE285" s="926"/>
      <c r="AF285" s="926"/>
      <c r="AG285" s="926"/>
      <c r="AH285" s="926"/>
      <c r="AI285" s="926"/>
      <c r="AJ285" s="926"/>
      <c r="AK285" s="926"/>
      <c r="AL285" s="926"/>
      <c r="AM285" s="926"/>
      <c r="AN285" s="926"/>
      <c r="AO285" s="926"/>
      <c r="AP285" s="926"/>
      <c r="AQ285" s="926"/>
      <c r="AR285" s="926"/>
      <c r="AS285" s="926"/>
      <c r="AT285" s="926"/>
      <c r="AU285" s="927"/>
      <c r="AV285" s="927"/>
      <c r="AW285" s="927"/>
      <c r="AX285" s="927"/>
      <c r="AY285" s="927"/>
      <c r="AZ285" s="927"/>
      <c r="BA285" s="927"/>
      <c r="BB285" s="927"/>
      <c r="BC285" s="928"/>
      <c r="BD285" s="929"/>
      <c r="BE285" s="930"/>
      <c r="BF285" s="930"/>
      <c r="BG285" s="931"/>
      <c r="BH285" s="931"/>
      <c r="BI285" s="926"/>
      <c r="BJ285" s="926"/>
      <c r="BK285" s="926"/>
      <c r="BL285" s="926"/>
      <c r="BM285" s="926"/>
      <c r="BN285" s="926"/>
      <c r="BO285" s="926"/>
      <c r="BP285" s="926"/>
      <c r="BQ285" s="926"/>
      <c r="BR285" s="926"/>
      <c r="BS285" s="926"/>
      <c r="BT285" s="926"/>
      <c r="BU285" s="926"/>
      <c r="BV285" s="926"/>
      <c r="BW285" s="926"/>
      <c r="BX285" s="926"/>
      <c r="BY285" s="932"/>
      <c r="BZ285" s="932"/>
      <c r="CA285" s="932"/>
      <c r="CB285" s="932"/>
      <c r="CC285" s="932"/>
      <c r="CD285" s="932"/>
      <c r="CE285" s="932"/>
      <c r="CF285" s="932"/>
    </row>
    <row r="286" spans="1:84" x14ac:dyDescent="0.25">
      <c r="A286" s="876">
        <v>39501</v>
      </c>
      <c r="B286" s="873" t="s">
        <v>1498</v>
      </c>
      <c r="C286" s="921">
        <v>8882942</v>
      </c>
      <c r="D286" s="924">
        <v>5.4670999999999999E-5</v>
      </c>
      <c r="E286" s="925"/>
      <c r="F286" s="926"/>
      <c r="G286" s="926"/>
      <c r="H286" s="926"/>
      <c r="I286" s="926"/>
      <c r="J286" s="926"/>
      <c r="K286" s="926"/>
      <c r="L286" s="926"/>
      <c r="M286" s="926"/>
      <c r="N286" s="926"/>
      <c r="O286" s="926"/>
      <c r="P286" s="926"/>
      <c r="Q286" s="926"/>
      <c r="R286" s="926"/>
      <c r="S286" s="926"/>
      <c r="T286" s="926"/>
      <c r="U286" s="926"/>
      <c r="V286" s="926"/>
      <c r="W286" s="926"/>
      <c r="X286" s="926"/>
      <c r="Y286" s="926"/>
      <c r="Z286" s="926"/>
      <c r="AA286" s="926"/>
      <c r="AB286" s="926"/>
      <c r="AC286" s="926"/>
      <c r="AD286" s="926"/>
      <c r="AE286" s="926"/>
      <c r="AF286" s="926"/>
      <c r="AG286" s="926"/>
      <c r="AH286" s="926"/>
      <c r="AI286" s="926"/>
      <c r="AJ286" s="926"/>
      <c r="AK286" s="926"/>
      <c r="AL286" s="926"/>
      <c r="AM286" s="926"/>
      <c r="AN286" s="926"/>
      <c r="AO286" s="926"/>
      <c r="AP286" s="926"/>
      <c r="AQ286" s="926"/>
      <c r="AR286" s="926"/>
      <c r="AS286" s="926"/>
      <c r="AT286" s="926"/>
      <c r="AU286" s="927"/>
      <c r="AV286" s="927"/>
      <c r="AW286" s="927"/>
      <c r="AX286" s="927"/>
      <c r="AY286" s="927"/>
      <c r="AZ286" s="927"/>
      <c r="BA286" s="927"/>
      <c r="BB286" s="927"/>
      <c r="BC286" s="928"/>
      <c r="BD286" s="929"/>
      <c r="BE286" s="930"/>
      <c r="BF286" s="930"/>
      <c r="BG286" s="931"/>
      <c r="BH286" s="931"/>
      <c r="BI286" s="926"/>
      <c r="BJ286" s="926"/>
      <c r="BK286" s="926"/>
      <c r="BL286" s="926"/>
      <c r="BM286" s="926"/>
      <c r="BN286" s="926"/>
      <c r="BO286" s="926"/>
      <c r="BP286" s="926"/>
      <c r="BQ286" s="926"/>
      <c r="BR286" s="926"/>
      <c r="BS286" s="926"/>
      <c r="BT286" s="926"/>
      <c r="BU286" s="926"/>
      <c r="BV286" s="926"/>
      <c r="BW286" s="926"/>
      <c r="BX286" s="926"/>
      <c r="BY286" s="932"/>
      <c r="BZ286" s="932"/>
      <c r="CA286" s="932"/>
      <c r="CB286" s="932"/>
      <c r="CC286" s="932"/>
      <c r="CD286" s="932"/>
      <c r="CE286" s="932"/>
      <c r="CF286" s="932"/>
    </row>
    <row r="287" spans="1:84" x14ac:dyDescent="0.25">
      <c r="A287" s="876">
        <v>39600</v>
      </c>
      <c r="B287" s="873" t="s">
        <v>1499</v>
      </c>
      <c r="C287" s="921">
        <v>931760674</v>
      </c>
      <c r="D287" s="924">
        <v>5.7345770000000003E-3</v>
      </c>
      <c r="E287" s="925"/>
      <c r="F287" s="926"/>
      <c r="G287" s="926"/>
      <c r="H287" s="926"/>
      <c r="I287" s="926"/>
      <c r="J287" s="926"/>
      <c r="K287" s="926"/>
      <c r="L287" s="926"/>
      <c r="M287" s="926"/>
      <c r="N287" s="926"/>
      <c r="O287" s="926"/>
      <c r="P287" s="926"/>
      <c r="Q287" s="926"/>
      <c r="R287" s="926"/>
      <c r="S287" s="926"/>
      <c r="T287" s="926"/>
      <c r="U287" s="926"/>
      <c r="V287" s="926"/>
      <c r="W287" s="926"/>
      <c r="X287" s="926"/>
      <c r="Y287" s="926"/>
      <c r="Z287" s="926"/>
      <c r="AA287" s="926"/>
      <c r="AB287" s="926"/>
      <c r="AC287" s="926"/>
      <c r="AD287" s="926"/>
      <c r="AE287" s="926"/>
      <c r="AF287" s="926"/>
      <c r="AG287" s="926"/>
      <c r="AH287" s="926"/>
      <c r="AI287" s="926"/>
      <c r="AJ287" s="926"/>
      <c r="AK287" s="926"/>
      <c r="AL287" s="926"/>
      <c r="AM287" s="926"/>
      <c r="AN287" s="926"/>
      <c r="AO287" s="926"/>
      <c r="AP287" s="926"/>
      <c r="AQ287" s="926"/>
      <c r="AR287" s="926"/>
      <c r="AS287" s="926"/>
      <c r="AT287" s="926"/>
      <c r="AU287" s="927"/>
      <c r="AV287" s="927"/>
      <c r="AW287" s="927"/>
      <c r="AX287" s="927"/>
      <c r="AY287" s="927"/>
      <c r="AZ287" s="927"/>
      <c r="BA287" s="927"/>
      <c r="BB287" s="927"/>
      <c r="BC287" s="928"/>
      <c r="BD287" s="929"/>
      <c r="BE287" s="930"/>
      <c r="BF287" s="930"/>
      <c r="BG287" s="931"/>
      <c r="BH287" s="931"/>
      <c r="BI287" s="926"/>
      <c r="BJ287" s="926"/>
      <c r="BK287" s="926"/>
      <c r="BL287" s="926"/>
      <c r="BM287" s="926"/>
      <c r="BN287" s="926"/>
      <c r="BO287" s="926"/>
      <c r="BP287" s="926"/>
      <c r="BQ287" s="926"/>
      <c r="BR287" s="926"/>
      <c r="BS287" s="926"/>
      <c r="BT287" s="926"/>
      <c r="BU287" s="926"/>
      <c r="BV287" s="926"/>
      <c r="BW287" s="926"/>
      <c r="BX287" s="926"/>
      <c r="BY287" s="932"/>
      <c r="BZ287" s="932"/>
      <c r="CA287" s="932"/>
      <c r="CB287" s="932"/>
      <c r="CC287" s="932"/>
      <c r="CD287" s="932"/>
      <c r="CE287" s="932"/>
      <c r="CF287" s="932"/>
    </row>
    <row r="288" spans="1:84" x14ac:dyDescent="0.25">
      <c r="A288" s="876">
        <v>39605</v>
      </c>
      <c r="B288" s="873" t="s">
        <v>1500</v>
      </c>
      <c r="C288" s="921">
        <v>136916552</v>
      </c>
      <c r="D288" s="924">
        <v>8.4266099999999997E-4</v>
      </c>
      <c r="E288" s="925"/>
      <c r="F288" s="926"/>
      <c r="G288" s="926"/>
      <c r="H288" s="926"/>
      <c r="I288" s="926"/>
      <c r="J288" s="926"/>
      <c r="K288" s="926"/>
      <c r="L288" s="926"/>
      <c r="M288" s="926"/>
      <c r="N288" s="926"/>
      <c r="O288" s="926"/>
      <c r="P288" s="926"/>
      <c r="Q288" s="926"/>
      <c r="R288" s="926"/>
      <c r="S288" s="926"/>
      <c r="T288" s="926"/>
      <c r="U288" s="926"/>
      <c r="V288" s="926"/>
      <c r="W288" s="926"/>
      <c r="X288" s="926"/>
      <c r="Y288" s="926"/>
      <c r="Z288" s="926"/>
      <c r="AA288" s="926"/>
      <c r="AB288" s="926"/>
      <c r="AC288" s="926"/>
      <c r="AD288" s="926"/>
      <c r="AE288" s="926"/>
      <c r="AF288" s="926"/>
      <c r="AG288" s="926"/>
      <c r="AH288" s="926"/>
      <c r="AI288" s="926"/>
      <c r="AJ288" s="926"/>
      <c r="AK288" s="926"/>
      <c r="AL288" s="926"/>
      <c r="AM288" s="926"/>
      <c r="AN288" s="926"/>
      <c r="AO288" s="926"/>
      <c r="AP288" s="926"/>
      <c r="AQ288" s="926"/>
      <c r="AR288" s="926"/>
      <c r="AS288" s="926"/>
      <c r="AT288" s="926"/>
      <c r="AU288" s="927"/>
      <c r="AV288" s="927"/>
      <c r="AW288" s="927"/>
      <c r="AX288" s="927"/>
      <c r="AY288" s="927"/>
      <c r="AZ288" s="927"/>
      <c r="BA288" s="927"/>
      <c r="BB288" s="927"/>
      <c r="BC288" s="928"/>
      <c r="BD288" s="929"/>
      <c r="BE288" s="930"/>
      <c r="BF288" s="930"/>
      <c r="BG288" s="931"/>
      <c r="BH288" s="931"/>
      <c r="BI288" s="926"/>
      <c r="BJ288" s="926"/>
      <c r="BK288" s="926"/>
      <c r="BL288" s="926"/>
      <c r="BM288" s="926"/>
      <c r="BN288" s="926"/>
      <c r="BO288" s="926"/>
      <c r="BP288" s="926"/>
      <c r="BQ288" s="926"/>
      <c r="BR288" s="926"/>
      <c r="BS288" s="926"/>
      <c r="BT288" s="926"/>
      <c r="BU288" s="926"/>
      <c r="BV288" s="926"/>
      <c r="BW288" s="926"/>
      <c r="BX288" s="926"/>
      <c r="BY288" s="932"/>
      <c r="BZ288" s="932"/>
      <c r="CA288" s="932"/>
      <c r="CB288" s="932"/>
      <c r="CC288" s="932"/>
      <c r="CD288" s="932"/>
      <c r="CE288" s="932"/>
      <c r="CF288" s="932"/>
    </row>
    <row r="289" spans="1:84" x14ac:dyDescent="0.25">
      <c r="A289" s="876">
        <v>39700</v>
      </c>
      <c r="B289" s="873" t="s">
        <v>1501</v>
      </c>
      <c r="C289" s="921">
        <v>525613092</v>
      </c>
      <c r="D289" s="924">
        <v>3.2349169999999999E-3</v>
      </c>
      <c r="E289" s="925"/>
      <c r="F289" s="926"/>
      <c r="G289" s="926"/>
      <c r="H289" s="926"/>
      <c r="I289" s="926"/>
      <c r="J289" s="926"/>
      <c r="K289" s="926"/>
      <c r="L289" s="926"/>
      <c r="M289" s="926"/>
      <c r="N289" s="926"/>
      <c r="O289" s="926"/>
      <c r="P289" s="926"/>
      <c r="Q289" s="926"/>
      <c r="R289" s="926"/>
      <c r="S289" s="926"/>
      <c r="T289" s="926"/>
      <c r="U289" s="926"/>
      <c r="V289" s="926"/>
      <c r="W289" s="926"/>
      <c r="X289" s="926"/>
      <c r="Y289" s="926"/>
      <c r="Z289" s="926"/>
      <c r="AA289" s="926"/>
      <c r="AB289" s="926"/>
      <c r="AC289" s="926"/>
      <c r="AD289" s="926"/>
      <c r="AE289" s="926"/>
      <c r="AF289" s="926"/>
      <c r="AG289" s="926"/>
      <c r="AH289" s="926"/>
      <c r="AI289" s="926"/>
      <c r="AJ289" s="926"/>
      <c r="AK289" s="926"/>
      <c r="AL289" s="926"/>
      <c r="AM289" s="926"/>
      <c r="AN289" s="926"/>
      <c r="AO289" s="926"/>
      <c r="AP289" s="926"/>
      <c r="AQ289" s="926"/>
      <c r="AR289" s="926"/>
      <c r="AS289" s="926"/>
      <c r="AT289" s="926"/>
      <c r="AU289" s="927"/>
      <c r="AV289" s="927"/>
      <c r="AW289" s="927"/>
      <c r="AX289" s="927"/>
      <c r="AY289" s="927"/>
      <c r="AZ289" s="927"/>
      <c r="BA289" s="927"/>
      <c r="BB289" s="927"/>
      <c r="BC289" s="928"/>
      <c r="BD289" s="929"/>
      <c r="BE289" s="930"/>
      <c r="BF289" s="930"/>
      <c r="BG289" s="931"/>
      <c r="BH289" s="931"/>
      <c r="BI289" s="926"/>
      <c r="BJ289" s="926"/>
      <c r="BK289" s="926"/>
      <c r="BL289" s="926"/>
      <c r="BM289" s="926"/>
      <c r="BN289" s="926"/>
      <c r="BO289" s="926"/>
      <c r="BP289" s="926"/>
      <c r="BQ289" s="926"/>
      <c r="BR289" s="926"/>
      <c r="BS289" s="926"/>
      <c r="BT289" s="926"/>
      <c r="BU289" s="926"/>
      <c r="BV289" s="926"/>
      <c r="BW289" s="926"/>
      <c r="BX289" s="926"/>
      <c r="BY289" s="932"/>
      <c r="BZ289" s="932"/>
      <c r="CA289" s="932"/>
      <c r="CB289" s="932"/>
      <c r="CC289" s="932"/>
      <c r="CD289" s="932"/>
      <c r="CE289" s="932"/>
      <c r="CF289" s="932"/>
    </row>
    <row r="290" spans="1:84" x14ac:dyDescent="0.25">
      <c r="A290" s="876">
        <v>39703</v>
      </c>
      <c r="B290" s="873" t="s">
        <v>1502</v>
      </c>
      <c r="C290" s="921">
        <v>31884778</v>
      </c>
      <c r="D290" s="924">
        <v>1.9623700000000001E-4</v>
      </c>
      <c r="E290" s="925"/>
      <c r="F290" s="926"/>
      <c r="G290" s="926"/>
      <c r="H290" s="926"/>
      <c r="I290" s="926"/>
      <c r="J290" s="926"/>
      <c r="K290" s="926"/>
      <c r="L290" s="926"/>
      <c r="M290" s="926"/>
      <c r="N290" s="926"/>
      <c r="O290" s="926"/>
      <c r="P290" s="926"/>
      <c r="Q290" s="926"/>
      <c r="R290" s="926"/>
      <c r="S290" s="926"/>
      <c r="T290" s="926"/>
      <c r="U290" s="926"/>
      <c r="V290" s="926"/>
      <c r="W290" s="926"/>
      <c r="X290" s="926"/>
      <c r="Y290" s="926"/>
      <c r="Z290" s="926"/>
      <c r="AA290" s="926"/>
      <c r="AB290" s="926"/>
      <c r="AC290" s="926"/>
      <c r="AD290" s="926"/>
      <c r="AE290" s="926"/>
      <c r="AF290" s="926"/>
      <c r="AG290" s="926"/>
      <c r="AH290" s="926"/>
      <c r="AI290" s="926"/>
      <c r="AJ290" s="926"/>
      <c r="AK290" s="926"/>
      <c r="AL290" s="926"/>
      <c r="AM290" s="926"/>
      <c r="AN290" s="926"/>
      <c r="AO290" s="926"/>
      <c r="AP290" s="926"/>
      <c r="AQ290" s="926"/>
      <c r="AR290" s="926"/>
      <c r="AS290" s="926"/>
      <c r="AT290" s="926"/>
      <c r="AU290" s="927"/>
      <c r="AV290" s="927"/>
      <c r="AW290" s="927"/>
      <c r="AX290" s="927"/>
      <c r="AY290" s="927"/>
      <c r="AZ290" s="927"/>
      <c r="BA290" s="927"/>
      <c r="BB290" s="927"/>
      <c r="BC290" s="928"/>
      <c r="BD290" s="929"/>
      <c r="BE290" s="930"/>
      <c r="BF290" s="930"/>
      <c r="BG290" s="931"/>
      <c r="BH290" s="931"/>
      <c r="BI290" s="926"/>
      <c r="BJ290" s="926"/>
      <c r="BK290" s="926"/>
      <c r="BL290" s="926"/>
      <c r="BM290" s="926"/>
      <c r="BN290" s="926"/>
      <c r="BO290" s="926"/>
      <c r="BP290" s="926"/>
      <c r="BQ290" s="926"/>
      <c r="BR290" s="926"/>
      <c r="BS290" s="926"/>
      <c r="BT290" s="926"/>
      <c r="BU290" s="926"/>
      <c r="BV290" s="926"/>
      <c r="BW290" s="926"/>
      <c r="BX290" s="926"/>
      <c r="BY290" s="932"/>
      <c r="BZ290" s="932"/>
      <c r="CA290" s="932"/>
      <c r="CB290" s="932"/>
      <c r="CC290" s="932"/>
      <c r="CD290" s="932"/>
      <c r="CE290" s="932"/>
      <c r="CF290" s="932"/>
    </row>
    <row r="291" spans="1:84" x14ac:dyDescent="0.25">
      <c r="A291" s="876">
        <v>39705</v>
      </c>
      <c r="B291" s="873" t="s">
        <v>1503</v>
      </c>
      <c r="C291" s="921">
        <v>124312225</v>
      </c>
      <c r="D291" s="924">
        <v>7.6508700000000002E-4</v>
      </c>
      <c r="E291" s="925"/>
      <c r="F291" s="926"/>
      <c r="G291" s="926"/>
      <c r="H291" s="926"/>
      <c r="I291" s="926"/>
      <c r="J291" s="926"/>
      <c r="K291" s="926"/>
      <c r="L291" s="926"/>
      <c r="M291" s="926"/>
      <c r="N291" s="926"/>
      <c r="O291" s="926"/>
      <c r="P291" s="926"/>
      <c r="Q291" s="926"/>
      <c r="R291" s="926"/>
      <c r="S291" s="926"/>
      <c r="T291" s="926"/>
      <c r="U291" s="926"/>
      <c r="V291" s="926"/>
      <c r="W291" s="926"/>
      <c r="X291" s="926"/>
      <c r="Y291" s="926"/>
      <c r="Z291" s="926"/>
      <c r="AA291" s="926"/>
      <c r="AB291" s="926"/>
      <c r="AC291" s="926"/>
      <c r="AD291" s="926"/>
      <c r="AE291" s="926"/>
      <c r="AF291" s="926"/>
      <c r="AG291" s="926"/>
      <c r="AH291" s="926"/>
      <c r="AI291" s="926"/>
      <c r="AJ291" s="926"/>
      <c r="AK291" s="926"/>
      <c r="AL291" s="926"/>
      <c r="AM291" s="926"/>
      <c r="AN291" s="926"/>
      <c r="AO291" s="926"/>
      <c r="AP291" s="926"/>
      <c r="AQ291" s="926"/>
      <c r="AR291" s="926"/>
      <c r="AS291" s="926"/>
      <c r="AT291" s="926"/>
      <c r="AU291" s="927"/>
      <c r="AV291" s="927"/>
      <c r="AW291" s="927"/>
      <c r="AX291" s="927"/>
      <c r="AY291" s="927"/>
      <c r="AZ291" s="927"/>
      <c r="BA291" s="927"/>
      <c r="BB291" s="927"/>
      <c r="BC291" s="928"/>
      <c r="BD291" s="929"/>
      <c r="BE291" s="930"/>
      <c r="BF291" s="930"/>
      <c r="BG291" s="931"/>
      <c r="BH291" s="931"/>
      <c r="BI291" s="926"/>
      <c r="BJ291" s="926"/>
      <c r="BK291" s="926"/>
      <c r="BL291" s="926"/>
      <c r="BM291" s="926"/>
      <c r="BN291" s="926"/>
      <c r="BO291" s="926"/>
      <c r="BP291" s="926"/>
      <c r="BQ291" s="926"/>
      <c r="BR291" s="926"/>
      <c r="BS291" s="926"/>
      <c r="BT291" s="926"/>
      <c r="BU291" s="926"/>
      <c r="BV291" s="926"/>
      <c r="BW291" s="926"/>
      <c r="BX291" s="926"/>
      <c r="BY291" s="932"/>
      <c r="BZ291" s="932"/>
      <c r="CA291" s="932"/>
      <c r="CB291" s="932"/>
      <c r="CC291" s="932"/>
      <c r="CD291" s="932"/>
      <c r="CE291" s="932"/>
      <c r="CF291" s="932"/>
    </row>
    <row r="292" spans="1:84" x14ac:dyDescent="0.25">
      <c r="A292" s="876">
        <v>39800</v>
      </c>
      <c r="B292" s="873" t="s">
        <v>1504</v>
      </c>
      <c r="C292" s="921">
        <v>612478561</v>
      </c>
      <c r="D292" s="924">
        <v>3.769536E-3</v>
      </c>
      <c r="E292" s="925"/>
      <c r="F292" s="926"/>
      <c r="G292" s="926"/>
      <c r="H292" s="926"/>
      <c r="I292" s="926"/>
      <c r="J292" s="926"/>
      <c r="K292" s="926"/>
      <c r="L292" s="926"/>
      <c r="M292" s="926"/>
      <c r="N292" s="926"/>
      <c r="O292" s="926"/>
      <c r="P292" s="926"/>
      <c r="Q292" s="926"/>
      <c r="R292" s="926"/>
      <c r="S292" s="926"/>
      <c r="T292" s="926"/>
      <c r="U292" s="926"/>
      <c r="V292" s="926"/>
      <c r="W292" s="926"/>
      <c r="X292" s="926"/>
      <c r="Y292" s="926"/>
      <c r="Z292" s="926"/>
      <c r="AA292" s="926"/>
      <c r="AB292" s="926"/>
      <c r="AC292" s="926"/>
      <c r="AD292" s="926"/>
      <c r="AE292" s="926"/>
      <c r="AF292" s="926"/>
      <c r="AG292" s="926"/>
      <c r="AH292" s="926"/>
      <c r="AI292" s="926"/>
      <c r="AJ292" s="926"/>
      <c r="AK292" s="926"/>
      <c r="AL292" s="926"/>
      <c r="AM292" s="926"/>
      <c r="AN292" s="926"/>
      <c r="AO292" s="926"/>
      <c r="AP292" s="926"/>
      <c r="AQ292" s="926"/>
      <c r="AR292" s="926"/>
      <c r="AS292" s="926"/>
      <c r="AT292" s="926"/>
      <c r="AU292" s="927"/>
      <c r="AV292" s="927"/>
      <c r="AW292" s="927"/>
      <c r="AX292" s="927"/>
      <c r="AY292" s="927"/>
      <c r="AZ292" s="927"/>
      <c r="BA292" s="927"/>
      <c r="BB292" s="927"/>
      <c r="BC292" s="928"/>
      <c r="BD292" s="929"/>
      <c r="BE292" s="930"/>
      <c r="BF292" s="930"/>
      <c r="BG292" s="931"/>
      <c r="BH292" s="931"/>
      <c r="BI292" s="926"/>
      <c r="BJ292" s="926"/>
      <c r="BK292" s="926"/>
      <c r="BL292" s="926"/>
      <c r="BM292" s="926"/>
      <c r="BN292" s="926"/>
      <c r="BO292" s="926"/>
      <c r="BP292" s="926"/>
      <c r="BQ292" s="926"/>
      <c r="BR292" s="926"/>
      <c r="BS292" s="926"/>
      <c r="BT292" s="926"/>
      <c r="BU292" s="926"/>
      <c r="BV292" s="926"/>
      <c r="BW292" s="926"/>
      <c r="BX292" s="926"/>
      <c r="BY292" s="932"/>
      <c r="BZ292" s="932"/>
      <c r="CA292" s="932"/>
      <c r="CB292" s="932"/>
      <c r="CC292" s="932"/>
      <c r="CD292" s="932"/>
      <c r="CE292" s="932"/>
      <c r="CF292" s="932"/>
    </row>
    <row r="293" spans="1:84" x14ac:dyDescent="0.25">
      <c r="A293" s="876">
        <v>39805</v>
      </c>
      <c r="B293" s="873" t="s">
        <v>1505</v>
      </c>
      <c r="C293" s="921">
        <v>65691757</v>
      </c>
      <c r="D293" s="924">
        <v>4.0430400000000002E-4</v>
      </c>
      <c r="E293" s="925"/>
      <c r="F293" s="926"/>
      <c r="G293" s="926"/>
      <c r="H293" s="926"/>
      <c r="I293" s="926"/>
      <c r="J293" s="926"/>
      <c r="K293" s="926"/>
      <c r="L293" s="926"/>
      <c r="M293" s="926"/>
      <c r="N293" s="926"/>
      <c r="O293" s="926"/>
      <c r="P293" s="926"/>
      <c r="Q293" s="926"/>
      <c r="R293" s="926"/>
      <c r="S293" s="926"/>
      <c r="T293" s="926"/>
      <c r="U293" s="926"/>
      <c r="V293" s="926"/>
      <c r="W293" s="926"/>
      <c r="X293" s="926"/>
      <c r="Y293" s="926"/>
      <c r="Z293" s="926"/>
      <c r="AA293" s="926"/>
      <c r="AB293" s="926"/>
      <c r="AC293" s="926"/>
      <c r="AD293" s="926"/>
      <c r="AE293" s="926"/>
      <c r="AF293" s="926"/>
      <c r="AG293" s="926"/>
      <c r="AH293" s="926"/>
      <c r="AI293" s="926"/>
      <c r="AJ293" s="926"/>
      <c r="AK293" s="926"/>
      <c r="AL293" s="926"/>
      <c r="AM293" s="926"/>
      <c r="AN293" s="926"/>
      <c r="AO293" s="926"/>
      <c r="AP293" s="926"/>
      <c r="AQ293" s="926"/>
      <c r="AR293" s="926"/>
      <c r="AS293" s="926"/>
      <c r="AT293" s="926"/>
      <c r="AU293" s="927"/>
      <c r="AV293" s="927"/>
      <c r="AW293" s="927"/>
      <c r="AX293" s="927"/>
      <c r="AY293" s="927"/>
      <c r="AZ293" s="927"/>
      <c r="BA293" s="927"/>
      <c r="BB293" s="927"/>
      <c r="BC293" s="928"/>
      <c r="BD293" s="929"/>
      <c r="BE293" s="930"/>
      <c r="BF293" s="930"/>
      <c r="BG293" s="931"/>
      <c r="BH293" s="931"/>
      <c r="BI293" s="926"/>
      <c r="BJ293" s="926"/>
      <c r="BK293" s="926"/>
      <c r="BL293" s="926"/>
      <c r="BM293" s="926"/>
      <c r="BN293" s="926"/>
      <c r="BO293" s="926"/>
      <c r="BP293" s="926"/>
      <c r="BQ293" s="926"/>
      <c r="BR293" s="926"/>
      <c r="BS293" s="926"/>
      <c r="BT293" s="926"/>
      <c r="BU293" s="926"/>
      <c r="BV293" s="926"/>
      <c r="BW293" s="926"/>
      <c r="BX293" s="926"/>
      <c r="BY293" s="932"/>
      <c r="BZ293" s="932"/>
      <c r="CA293" s="932"/>
      <c r="CB293" s="932"/>
      <c r="CC293" s="932"/>
      <c r="CD293" s="932"/>
      <c r="CE293" s="932"/>
      <c r="CF293" s="932"/>
    </row>
    <row r="294" spans="1:84" x14ac:dyDescent="0.25">
      <c r="A294" s="876">
        <v>39900</v>
      </c>
      <c r="B294" s="873" t="s">
        <v>1506</v>
      </c>
      <c r="C294" s="921">
        <v>303538837</v>
      </c>
      <c r="D294" s="924">
        <v>1.868148E-3</v>
      </c>
      <c r="E294" s="925"/>
      <c r="F294" s="926"/>
      <c r="G294" s="926"/>
      <c r="H294" s="926"/>
      <c r="I294" s="926"/>
      <c r="J294" s="926"/>
      <c r="K294" s="926"/>
      <c r="L294" s="926"/>
      <c r="M294" s="926"/>
      <c r="N294" s="926"/>
      <c r="O294" s="926"/>
      <c r="P294" s="926"/>
      <c r="Q294" s="926"/>
      <c r="R294" s="926"/>
      <c r="S294" s="926"/>
      <c r="T294" s="926"/>
      <c r="U294" s="926"/>
      <c r="V294" s="926"/>
      <c r="W294" s="926"/>
      <c r="X294" s="926"/>
      <c r="Y294" s="926"/>
      <c r="Z294" s="926"/>
      <c r="AA294" s="926"/>
      <c r="AB294" s="926"/>
      <c r="AC294" s="926"/>
      <c r="AD294" s="926"/>
      <c r="AE294" s="926"/>
      <c r="AF294" s="926"/>
      <c r="AG294" s="926"/>
      <c r="AH294" s="926"/>
      <c r="AI294" s="926"/>
      <c r="AJ294" s="926"/>
      <c r="AK294" s="926"/>
      <c r="AL294" s="926"/>
      <c r="AM294" s="926"/>
      <c r="AN294" s="926"/>
      <c r="AO294" s="926"/>
      <c r="AP294" s="926"/>
      <c r="AQ294" s="926"/>
      <c r="AR294" s="926"/>
      <c r="AS294" s="926"/>
      <c r="AT294" s="926"/>
      <c r="AU294" s="927"/>
      <c r="AV294" s="927"/>
      <c r="AW294" s="927"/>
      <c r="AX294" s="927"/>
      <c r="AY294" s="927"/>
      <c r="AZ294" s="927"/>
      <c r="BA294" s="927"/>
      <c r="BB294" s="927"/>
      <c r="BC294" s="928"/>
      <c r="BD294" s="929"/>
      <c r="BE294" s="930"/>
      <c r="BF294" s="930"/>
      <c r="BG294" s="931"/>
      <c r="BH294" s="931"/>
      <c r="BI294" s="926"/>
      <c r="BJ294" s="926"/>
      <c r="BK294" s="926"/>
      <c r="BL294" s="926"/>
      <c r="BM294" s="926"/>
      <c r="BN294" s="926"/>
      <c r="BO294" s="926"/>
      <c r="BP294" s="926"/>
      <c r="BQ294" s="926"/>
      <c r="BR294" s="926"/>
      <c r="BS294" s="926"/>
      <c r="BT294" s="926"/>
      <c r="BU294" s="926"/>
      <c r="BV294" s="926"/>
      <c r="BW294" s="926"/>
      <c r="BX294" s="926"/>
      <c r="BY294" s="932"/>
      <c r="BZ294" s="932"/>
      <c r="CA294" s="932"/>
      <c r="CB294" s="932"/>
      <c r="CC294" s="932"/>
      <c r="CD294" s="932"/>
      <c r="CE294" s="932"/>
      <c r="CF294" s="932"/>
    </row>
    <row r="295" spans="1:84" x14ac:dyDescent="0.25">
      <c r="A295" s="876">
        <v>40000</v>
      </c>
      <c r="B295" s="873" t="s">
        <v>1507</v>
      </c>
      <c r="C295" s="921">
        <v>370700418</v>
      </c>
      <c r="D295" s="924">
        <v>2.2814979999999999E-3</v>
      </c>
      <c r="E295" s="925"/>
      <c r="F295" s="926"/>
      <c r="G295" s="926"/>
      <c r="H295" s="926"/>
      <c r="I295" s="926"/>
      <c r="J295" s="926"/>
      <c r="K295" s="926"/>
      <c r="L295" s="926"/>
      <c r="M295" s="926"/>
      <c r="N295" s="926"/>
      <c r="O295" s="926"/>
      <c r="P295" s="926"/>
      <c r="Q295" s="926"/>
      <c r="R295" s="926"/>
      <c r="S295" s="926"/>
      <c r="T295" s="926"/>
      <c r="U295" s="926"/>
      <c r="V295" s="926"/>
      <c r="W295" s="926"/>
      <c r="X295" s="926"/>
      <c r="Y295" s="926"/>
      <c r="Z295" s="926"/>
      <c r="AA295" s="926"/>
      <c r="AB295" s="926"/>
      <c r="AC295" s="926"/>
      <c r="AD295" s="926"/>
      <c r="AE295" s="926"/>
      <c r="AF295" s="926"/>
      <c r="AG295" s="926"/>
      <c r="AH295" s="926"/>
      <c r="AI295" s="926"/>
      <c r="AJ295" s="926"/>
      <c r="AK295" s="926"/>
      <c r="AL295" s="926"/>
      <c r="AM295" s="926"/>
      <c r="AN295" s="926"/>
      <c r="AO295" s="926"/>
      <c r="AP295" s="926"/>
      <c r="AQ295" s="926"/>
      <c r="AR295" s="926"/>
      <c r="AS295" s="926"/>
      <c r="AT295" s="926"/>
      <c r="AU295" s="927"/>
      <c r="AV295" s="927"/>
      <c r="AW295" s="927"/>
      <c r="AX295" s="927"/>
      <c r="AY295" s="927"/>
      <c r="AZ295" s="927"/>
      <c r="BA295" s="927"/>
      <c r="BB295" s="927"/>
      <c r="BC295" s="928"/>
      <c r="BD295" s="929"/>
      <c r="BE295" s="930"/>
      <c r="BF295" s="930"/>
      <c r="BG295" s="931"/>
      <c r="BH295" s="931"/>
      <c r="BI295" s="926"/>
      <c r="BJ295" s="926"/>
      <c r="BK295" s="926"/>
      <c r="BL295" s="926"/>
      <c r="BM295" s="926"/>
      <c r="BN295" s="926"/>
      <c r="BO295" s="926"/>
      <c r="BP295" s="926"/>
      <c r="BQ295" s="926"/>
      <c r="BR295" s="926"/>
      <c r="BS295" s="926"/>
      <c r="BT295" s="926"/>
      <c r="BU295" s="926"/>
      <c r="BV295" s="926"/>
      <c r="BW295" s="926"/>
      <c r="BX295" s="926"/>
      <c r="BY295" s="932"/>
      <c r="BZ295" s="932"/>
      <c r="CA295" s="932"/>
      <c r="CB295" s="932"/>
      <c r="CC295" s="932"/>
      <c r="CD295" s="932"/>
      <c r="CE295" s="932"/>
      <c r="CF295" s="932"/>
    </row>
    <row r="296" spans="1:84" x14ac:dyDescent="0.25">
      <c r="A296" s="876">
        <v>51000</v>
      </c>
      <c r="B296" s="873" t="s">
        <v>1508</v>
      </c>
      <c r="C296" s="921">
        <v>4094358490</v>
      </c>
      <c r="D296" s="924">
        <v>2.5198976000000001E-2</v>
      </c>
      <c r="E296" s="925"/>
      <c r="F296" s="926"/>
      <c r="G296" s="926"/>
      <c r="H296" s="926"/>
      <c r="I296" s="926"/>
      <c r="J296" s="926"/>
      <c r="K296" s="926"/>
      <c r="L296" s="926"/>
      <c r="M296" s="926"/>
      <c r="N296" s="926"/>
      <c r="O296" s="926"/>
      <c r="P296" s="926"/>
      <c r="Q296" s="926"/>
      <c r="R296" s="926"/>
      <c r="S296" s="926"/>
      <c r="T296" s="926"/>
      <c r="U296" s="926"/>
      <c r="V296" s="926"/>
      <c r="W296" s="926"/>
      <c r="X296" s="926"/>
      <c r="Y296" s="926"/>
      <c r="Z296" s="926"/>
      <c r="AA296" s="926"/>
      <c r="AB296" s="926"/>
      <c r="AC296" s="926"/>
      <c r="AD296" s="926"/>
      <c r="AE296" s="926"/>
      <c r="AF296" s="926"/>
      <c r="AG296" s="926"/>
      <c r="AH296" s="926"/>
      <c r="AI296" s="926"/>
      <c r="AJ296" s="926"/>
      <c r="AK296" s="926"/>
      <c r="AL296" s="926"/>
      <c r="AM296" s="926"/>
      <c r="AN296" s="926"/>
      <c r="AO296" s="926"/>
      <c r="AP296" s="926"/>
      <c r="AQ296" s="926"/>
      <c r="AR296" s="926"/>
      <c r="AS296" s="926"/>
      <c r="AT296" s="926"/>
      <c r="AU296" s="927"/>
      <c r="AV296" s="927"/>
      <c r="AW296" s="927"/>
      <c r="AX296" s="927"/>
      <c r="AY296" s="927"/>
      <c r="AZ296" s="927"/>
      <c r="BA296" s="927"/>
      <c r="BB296" s="927"/>
      <c r="BC296" s="928"/>
      <c r="BD296" s="929"/>
      <c r="BE296" s="930"/>
      <c r="BF296" s="930"/>
      <c r="BG296" s="931"/>
      <c r="BH296" s="931"/>
      <c r="BI296" s="926"/>
      <c r="BJ296" s="926"/>
      <c r="BK296" s="926"/>
      <c r="BL296" s="926"/>
      <c r="BM296" s="926"/>
      <c r="BN296" s="926"/>
      <c r="BO296" s="926"/>
      <c r="BP296" s="926"/>
      <c r="BQ296" s="926"/>
      <c r="BR296" s="926"/>
      <c r="BS296" s="926"/>
      <c r="BT296" s="926"/>
      <c r="BU296" s="926"/>
      <c r="BV296" s="926"/>
      <c r="BW296" s="926"/>
      <c r="BX296" s="926"/>
      <c r="BY296" s="932"/>
      <c r="BZ296" s="932"/>
      <c r="CA296" s="932"/>
      <c r="CB296" s="932"/>
      <c r="CC296" s="932"/>
      <c r="CD296" s="932"/>
      <c r="CE296" s="932"/>
      <c r="CF296" s="932"/>
    </row>
    <row r="297" spans="1:84" x14ac:dyDescent="0.25">
      <c r="A297" s="876">
        <v>51000.1</v>
      </c>
      <c r="B297" s="873" t="s">
        <v>1509</v>
      </c>
      <c r="C297" s="921">
        <v>3460829</v>
      </c>
      <c r="D297" s="924">
        <v>2.1299999999999999E-5</v>
      </c>
      <c r="E297" s="925"/>
      <c r="F297" s="926"/>
      <c r="G297" s="926"/>
      <c r="H297" s="926"/>
      <c r="I297" s="926"/>
      <c r="J297" s="926"/>
      <c r="K297" s="926"/>
      <c r="L297" s="926"/>
      <c r="M297" s="926"/>
      <c r="N297" s="926"/>
      <c r="O297" s="926"/>
      <c r="P297" s="926"/>
      <c r="Q297" s="926"/>
      <c r="R297" s="926"/>
      <c r="S297" s="926"/>
      <c r="T297" s="926"/>
      <c r="U297" s="926"/>
      <c r="V297" s="926"/>
      <c r="W297" s="926"/>
      <c r="X297" s="926"/>
      <c r="Y297" s="926"/>
      <c r="Z297" s="926"/>
      <c r="AA297" s="926"/>
      <c r="AB297" s="926"/>
      <c r="AC297" s="926"/>
      <c r="AD297" s="926"/>
      <c r="AE297" s="926"/>
      <c r="AF297" s="926"/>
      <c r="AG297" s="926"/>
      <c r="AH297" s="926"/>
      <c r="AI297" s="926"/>
      <c r="AJ297" s="926"/>
      <c r="AK297" s="926"/>
      <c r="AL297" s="926"/>
      <c r="AM297" s="926"/>
      <c r="AN297" s="926"/>
      <c r="AO297" s="926"/>
      <c r="AP297" s="926"/>
      <c r="AQ297" s="926"/>
      <c r="AR297" s="926"/>
      <c r="AS297" s="926"/>
      <c r="AT297" s="926"/>
      <c r="AU297" s="927"/>
      <c r="AV297" s="927"/>
      <c r="AW297" s="927"/>
      <c r="AX297" s="927"/>
      <c r="AY297" s="927"/>
      <c r="AZ297" s="927"/>
      <c r="BA297" s="927"/>
      <c r="BB297" s="927"/>
      <c r="BC297" s="928"/>
      <c r="BD297" s="929"/>
      <c r="BE297" s="930"/>
      <c r="BF297" s="930"/>
      <c r="BG297" s="931"/>
      <c r="BH297" s="931"/>
      <c r="BI297" s="926"/>
      <c r="BJ297" s="926"/>
      <c r="BK297" s="926"/>
      <c r="BL297" s="926"/>
      <c r="BM297" s="926"/>
      <c r="BN297" s="926"/>
      <c r="BO297" s="926"/>
      <c r="BP297" s="926"/>
      <c r="BQ297" s="926"/>
      <c r="BR297" s="926"/>
      <c r="BS297" s="926"/>
      <c r="BT297" s="926"/>
      <c r="BU297" s="926"/>
      <c r="BV297" s="926"/>
      <c r="BW297" s="926"/>
      <c r="BX297" s="926"/>
      <c r="BY297" s="932"/>
      <c r="BZ297" s="932"/>
      <c r="CA297" s="932"/>
      <c r="CB297" s="932"/>
      <c r="CC297" s="932"/>
      <c r="CD297" s="932"/>
      <c r="CE297" s="932"/>
      <c r="CF297" s="932"/>
    </row>
    <row r="298" spans="1:84" x14ac:dyDescent="0.25">
      <c r="A298" s="876">
        <v>51000.2</v>
      </c>
      <c r="B298" s="873" t="s">
        <v>1510</v>
      </c>
      <c r="C298" s="921">
        <v>105757340</v>
      </c>
      <c r="D298" s="924">
        <v>6.5089E-4</v>
      </c>
      <c r="E298" s="925"/>
      <c r="F298" s="926"/>
      <c r="G298" s="926"/>
      <c r="H298" s="926"/>
      <c r="I298" s="926"/>
      <c r="J298" s="926"/>
      <c r="K298" s="926"/>
      <c r="L298" s="926"/>
      <c r="M298" s="926"/>
      <c r="N298" s="926"/>
      <c r="O298" s="926"/>
      <c r="P298" s="926"/>
      <c r="Q298" s="926"/>
      <c r="R298" s="926"/>
      <c r="S298" s="926"/>
      <c r="T298" s="926"/>
      <c r="U298" s="926"/>
      <c r="V298" s="926"/>
      <c r="W298" s="926"/>
      <c r="X298" s="926"/>
      <c r="Y298" s="926"/>
      <c r="Z298" s="926"/>
      <c r="AA298" s="926"/>
      <c r="AB298" s="926"/>
      <c r="AC298" s="926"/>
      <c r="AD298" s="926"/>
      <c r="AE298" s="926"/>
      <c r="AF298" s="926"/>
      <c r="AG298" s="926"/>
      <c r="AH298" s="926"/>
      <c r="AI298" s="926"/>
      <c r="AJ298" s="926"/>
      <c r="AK298" s="926"/>
      <c r="AL298" s="926"/>
      <c r="AM298" s="926"/>
      <c r="AN298" s="926"/>
      <c r="AO298" s="926"/>
      <c r="AP298" s="926"/>
      <c r="AQ298" s="926"/>
      <c r="AR298" s="926"/>
      <c r="AS298" s="926"/>
      <c r="AT298" s="926"/>
      <c r="AU298" s="927"/>
      <c r="AV298" s="927"/>
      <c r="AW298" s="927"/>
      <c r="AX298" s="927"/>
      <c r="AY298" s="927"/>
      <c r="AZ298" s="927"/>
      <c r="BA298" s="927"/>
      <c r="BB298" s="927"/>
      <c r="BC298" s="928"/>
      <c r="BD298" s="929"/>
      <c r="BE298" s="930"/>
      <c r="BF298" s="930"/>
      <c r="BG298" s="931"/>
      <c r="BH298" s="931"/>
      <c r="BI298" s="926"/>
      <c r="BJ298" s="926"/>
      <c r="BK298" s="926"/>
      <c r="BL298" s="926"/>
      <c r="BM298" s="926"/>
      <c r="BN298" s="926"/>
      <c r="BO298" s="926"/>
      <c r="BP298" s="926"/>
      <c r="BQ298" s="926"/>
      <c r="BR298" s="926"/>
      <c r="BS298" s="926"/>
      <c r="BT298" s="926"/>
      <c r="BU298" s="926"/>
      <c r="BV298" s="926"/>
      <c r="BW298" s="926"/>
      <c r="BX298" s="926"/>
      <c r="BY298" s="932"/>
      <c r="BZ298" s="932"/>
      <c r="CA298" s="932"/>
      <c r="CB298" s="932"/>
      <c r="CC298" s="932"/>
      <c r="CD298" s="932"/>
      <c r="CE298" s="932"/>
      <c r="CF298" s="932"/>
    </row>
    <row r="299" spans="1:84" x14ac:dyDescent="0.25">
      <c r="A299" s="876">
        <v>60000</v>
      </c>
      <c r="B299" s="873" t="s">
        <v>1511</v>
      </c>
      <c r="C299" s="921">
        <v>17582535</v>
      </c>
      <c r="D299" s="924">
        <v>1.08213E-4</v>
      </c>
      <c r="E299" s="925"/>
      <c r="F299" s="926"/>
      <c r="G299" s="926"/>
      <c r="H299" s="926"/>
      <c r="I299" s="926"/>
      <c r="J299" s="926"/>
      <c r="K299" s="926"/>
      <c r="L299" s="926"/>
      <c r="M299" s="926"/>
      <c r="N299" s="926"/>
      <c r="O299" s="926"/>
      <c r="P299" s="926"/>
      <c r="Q299" s="926"/>
      <c r="R299" s="926"/>
      <c r="S299" s="926"/>
      <c r="T299" s="926"/>
      <c r="U299" s="926"/>
      <c r="V299" s="926"/>
      <c r="W299" s="926"/>
      <c r="X299" s="926"/>
      <c r="Y299" s="926"/>
      <c r="Z299" s="926"/>
      <c r="AA299" s="926"/>
      <c r="AB299" s="926"/>
      <c r="AC299" s="926"/>
      <c r="AD299" s="926"/>
      <c r="AE299" s="926"/>
      <c r="AF299" s="926"/>
      <c r="AG299" s="926"/>
      <c r="AH299" s="926"/>
      <c r="AI299" s="926"/>
      <c r="AJ299" s="926"/>
      <c r="AK299" s="926"/>
      <c r="AL299" s="926"/>
      <c r="AM299" s="926"/>
      <c r="AN299" s="926"/>
      <c r="AO299" s="926"/>
      <c r="AP299" s="926"/>
      <c r="AQ299" s="926"/>
      <c r="AR299" s="926"/>
      <c r="AS299" s="926"/>
      <c r="AT299" s="926"/>
      <c r="AU299" s="927"/>
      <c r="AV299" s="927"/>
      <c r="AW299" s="927"/>
      <c r="AX299" s="927"/>
      <c r="AY299" s="927"/>
      <c r="AZ299" s="927"/>
      <c r="BA299" s="927"/>
      <c r="BB299" s="927"/>
      <c r="BC299" s="928"/>
      <c r="BD299" s="929"/>
      <c r="BE299" s="930"/>
      <c r="BF299" s="930"/>
      <c r="BG299" s="931"/>
      <c r="BH299" s="931"/>
      <c r="BI299" s="926"/>
      <c r="BJ299" s="926"/>
      <c r="BK299" s="926"/>
      <c r="BL299" s="926"/>
      <c r="BM299" s="926"/>
      <c r="BN299" s="926"/>
      <c r="BO299" s="926"/>
      <c r="BP299" s="926"/>
      <c r="BQ299" s="926"/>
      <c r="BR299" s="926"/>
      <c r="BS299" s="926"/>
      <c r="BT299" s="926"/>
      <c r="BU299" s="926"/>
      <c r="BV299" s="926"/>
      <c r="BW299" s="926"/>
      <c r="BX299" s="926"/>
      <c r="BY299" s="932"/>
      <c r="BZ299" s="932"/>
      <c r="CA299" s="932"/>
      <c r="CB299" s="932"/>
      <c r="CC299" s="932"/>
      <c r="CD299" s="932"/>
      <c r="CE299" s="932"/>
      <c r="CF299" s="932"/>
    </row>
    <row r="300" spans="1:84" x14ac:dyDescent="0.25">
      <c r="A300" s="876">
        <v>90901</v>
      </c>
      <c r="B300" s="873" t="s">
        <v>1512</v>
      </c>
      <c r="C300" s="921">
        <v>127162685</v>
      </c>
      <c r="D300" s="924">
        <v>7.8262999999999998E-4</v>
      </c>
      <c r="E300" s="925"/>
      <c r="F300" s="926"/>
      <c r="G300" s="926"/>
      <c r="H300" s="926"/>
      <c r="I300" s="926"/>
      <c r="J300" s="926"/>
      <c r="K300" s="926"/>
      <c r="L300" s="926"/>
      <c r="M300" s="926"/>
      <c r="N300" s="926"/>
      <c r="O300" s="926"/>
      <c r="P300" s="926"/>
      <c r="Q300" s="926"/>
      <c r="R300" s="926"/>
      <c r="S300" s="926"/>
      <c r="T300" s="926"/>
      <c r="U300" s="926"/>
      <c r="V300" s="926"/>
      <c r="W300" s="926"/>
      <c r="X300" s="926"/>
      <c r="Y300" s="926"/>
      <c r="Z300" s="926"/>
      <c r="AA300" s="926"/>
      <c r="AB300" s="926"/>
      <c r="AC300" s="926"/>
      <c r="AD300" s="926"/>
      <c r="AE300" s="926"/>
      <c r="AF300" s="926"/>
      <c r="AG300" s="926"/>
      <c r="AH300" s="926"/>
      <c r="AI300" s="926"/>
      <c r="AJ300" s="926"/>
      <c r="AK300" s="926"/>
      <c r="AL300" s="926"/>
      <c r="AM300" s="926"/>
      <c r="AN300" s="926"/>
      <c r="AO300" s="926"/>
      <c r="AP300" s="926"/>
      <c r="AQ300" s="926"/>
      <c r="AR300" s="926"/>
      <c r="AS300" s="926"/>
      <c r="AT300" s="926"/>
      <c r="AU300" s="927"/>
      <c r="AV300" s="927"/>
      <c r="AW300" s="927"/>
      <c r="AX300" s="927"/>
      <c r="AY300" s="927"/>
      <c r="AZ300" s="927"/>
      <c r="BA300" s="927"/>
      <c r="BB300" s="927"/>
      <c r="BC300" s="928"/>
      <c r="BD300" s="929"/>
      <c r="BE300" s="930"/>
      <c r="BF300" s="930"/>
      <c r="BG300" s="931"/>
      <c r="BH300" s="931"/>
      <c r="BI300" s="926"/>
      <c r="BJ300" s="926"/>
      <c r="BK300" s="926"/>
      <c r="BL300" s="926"/>
      <c r="BM300" s="926"/>
      <c r="BN300" s="926"/>
      <c r="BO300" s="926"/>
      <c r="BP300" s="926"/>
      <c r="BQ300" s="926"/>
      <c r="BR300" s="926"/>
      <c r="BS300" s="926"/>
      <c r="BT300" s="926"/>
      <c r="BU300" s="926"/>
      <c r="BV300" s="926"/>
      <c r="BW300" s="926"/>
      <c r="BX300" s="926"/>
      <c r="BY300" s="932"/>
      <c r="BZ300" s="932"/>
      <c r="CA300" s="932"/>
      <c r="CB300" s="932"/>
      <c r="CC300" s="932"/>
      <c r="CD300" s="932"/>
      <c r="CE300" s="932"/>
      <c r="CF300" s="932"/>
    </row>
    <row r="301" spans="1:84" x14ac:dyDescent="0.25">
      <c r="A301" s="876">
        <v>91041</v>
      </c>
      <c r="B301" s="873" t="s">
        <v>1513</v>
      </c>
      <c r="C301" s="921">
        <v>25134612</v>
      </c>
      <c r="D301" s="924">
        <v>1.54692E-4</v>
      </c>
      <c r="E301" s="925"/>
      <c r="F301" s="926"/>
      <c r="G301" s="926"/>
      <c r="H301" s="926"/>
      <c r="I301" s="926"/>
      <c r="J301" s="926"/>
      <c r="K301" s="926"/>
      <c r="L301" s="926"/>
      <c r="M301" s="926"/>
      <c r="N301" s="926"/>
      <c r="O301" s="926"/>
      <c r="P301" s="926"/>
      <c r="Q301" s="926"/>
      <c r="R301" s="926"/>
      <c r="S301" s="926"/>
      <c r="T301" s="926"/>
      <c r="U301" s="926"/>
      <c r="V301" s="926"/>
      <c r="W301" s="926"/>
      <c r="X301" s="926"/>
      <c r="Y301" s="926"/>
      <c r="Z301" s="926"/>
      <c r="AA301" s="926"/>
      <c r="AB301" s="926"/>
      <c r="AC301" s="926"/>
      <c r="AD301" s="926"/>
      <c r="AE301" s="926"/>
      <c r="AF301" s="926"/>
      <c r="AG301" s="926"/>
      <c r="AH301" s="926"/>
      <c r="AI301" s="926"/>
      <c r="AJ301" s="926"/>
      <c r="AK301" s="926"/>
      <c r="AL301" s="926"/>
      <c r="AM301" s="926"/>
      <c r="AN301" s="926"/>
      <c r="AO301" s="926"/>
      <c r="AP301" s="926"/>
      <c r="AQ301" s="926"/>
      <c r="AR301" s="926"/>
      <c r="AS301" s="926"/>
      <c r="AT301" s="926"/>
      <c r="AU301" s="927"/>
      <c r="AV301" s="927"/>
      <c r="AW301" s="927"/>
      <c r="AX301" s="927"/>
      <c r="AY301" s="927"/>
      <c r="AZ301" s="927"/>
      <c r="BA301" s="927"/>
      <c r="BB301" s="927"/>
      <c r="BC301" s="928"/>
      <c r="BD301" s="929"/>
      <c r="BE301" s="930"/>
      <c r="BF301" s="930"/>
      <c r="BG301" s="931"/>
      <c r="BH301" s="931"/>
      <c r="BI301" s="926"/>
      <c r="BJ301" s="926"/>
      <c r="BK301" s="926"/>
      <c r="BL301" s="926"/>
      <c r="BM301" s="926"/>
      <c r="BN301" s="926"/>
      <c r="BO301" s="926"/>
      <c r="BP301" s="926"/>
      <c r="BQ301" s="926"/>
      <c r="BR301" s="926"/>
      <c r="BS301" s="926"/>
      <c r="BT301" s="926"/>
      <c r="BU301" s="926"/>
      <c r="BV301" s="926"/>
      <c r="BW301" s="926"/>
      <c r="BX301" s="926"/>
      <c r="BY301" s="932"/>
      <c r="BZ301" s="932"/>
      <c r="CA301" s="932"/>
      <c r="CB301" s="932"/>
      <c r="CC301" s="932"/>
      <c r="CD301" s="932"/>
      <c r="CE301" s="932"/>
      <c r="CF301" s="932"/>
    </row>
    <row r="302" spans="1:84" x14ac:dyDescent="0.25">
      <c r="A302" s="876">
        <v>91111</v>
      </c>
      <c r="B302" s="873" t="s">
        <v>1514</v>
      </c>
      <c r="C302" s="921">
        <v>12767952</v>
      </c>
      <c r="D302" s="924">
        <v>7.8580999999999999E-5</v>
      </c>
      <c r="E302" s="925"/>
      <c r="F302" s="926"/>
      <c r="G302" s="926"/>
      <c r="H302" s="926"/>
      <c r="I302" s="926"/>
      <c r="J302" s="926"/>
      <c r="K302" s="926"/>
      <c r="L302" s="926"/>
      <c r="M302" s="926"/>
      <c r="N302" s="926"/>
      <c r="O302" s="926"/>
      <c r="P302" s="926"/>
      <c r="Q302" s="926"/>
      <c r="R302" s="926"/>
      <c r="S302" s="926"/>
      <c r="T302" s="926"/>
      <c r="U302" s="926"/>
      <c r="V302" s="926"/>
      <c r="W302" s="926"/>
      <c r="X302" s="926"/>
      <c r="Y302" s="926"/>
      <c r="Z302" s="926"/>
      <c r="AA302" s="926"/>
      <c r="AB302" s="926"/>
      <c r="AC302" s="926"/>
      <c r="AD302" s="926"/>
      <c r="AE302" s="926"/>
      <c r="AF302" s="926"/>
      <c r="AG302" s="926"/>
      <c r="AH302" s="926"/>
      <c r="AI302" s="926"/>
      <c r="AJ302" s="926"/>
      <c r="AK302" s="926"/>
      <c r="AL302" s="926"/>
      <c r="AM302" s="926"/>
      <c r="AN302" s="926"/>
      <c r="AO302" s="926"/>
      <c r="AP302" s="926"/>
      <c r="AQ302" s="926"/>
      <c r="AR302" s="926"/>
      <c r="AS302" s="926"/>
      <c r="AT302" s="926"/>
      <c r="AU302" s="927"/>
      <c r="AV302" s="927"/>
      <c r="AW302" s="927"/>
      <c r="AX302" s="927"/>
      <c r="AY302" s="927"/>
      <c r="AZ302" s="927"/>
      <c r="BA302" s="927"/>
      <c r="BB302" s="927"/>
      <c r="BC302" s="928"/>
      <c r="BD302" s="929"/>
      <c r="BE302" s="930"/>
      <c r="BF302" s="930"/>
      <c r="BG302" s="931"/>
      <c r="BH302" s="931"/>
      <c r="BI302" s="926"/>
      <c r="BJ302" s="926"/>
      <c r="BK302" s="926"/>
      <c r="BL302" s="926"/>
      <c r="BM302" s="926"/>
      <c r="BN302" s="926"/>
      <c r="BO302" s="926"/>
      <c r="BP302" s="926"/>
      <c r="BQ302" s="926"/>
      <c r="BR302" s="926"/>
      <c r="BS302" s="926"/>
      <c r="BT302" s="926"/>
      <c r="BU302" s="926"/>
      <c r="BV302" s="926"/>
      <c r="BW302" s="926"/>
      <c r="BX302" s="926"/>
      <c r="BY302" s="932"/>
      <c r="BZ302" s="932"/>
      <c r="CA302" s="932"/>
      <c r="CB302" s="932"/>
      <c r="CC302" s="932"/>
      <c r="CD302" s="932"/>
      <c r="CE302" s="932"/>
      <c r="CF302" s="932"/>
    </row>
    <row r="303" spans="1:84" x14ac:dyDescent="0.25">
      <c r="A303" s="876">
        <v>91151</v>
      </c>
      <c r="B303" s="873" t="s">
        <v>1515</v>
      </c>
      <c r="C303" s="921">
        <v>35519853</v>
      </c>
      <c r="D303" s="924">
        <v>2.1860900000000001E-4</v>
      </c>
      <c r="E303" s="925"/>
      <c r="F303" s="926"/>
      <c r="G303" s="926"/>
      <c r="H303" s="926"/>
      <c r="I303" s="926"/>
      <c r="J303" s="926"/>
      <c r="K303" s="926"/>
      <c r="L303" s="926"/>
      <c r="M303" s="926"/>
      <c r="N303" s="926"/>
      <c r="O303" s="926"/>
      <c r="P303" s="926"/>
      <c r="Q303" s="926"/>
      <c r="R303" s="926"/>
      <c r="S303" s="926"/>
      <c r="T303" s="926"/>
      <c r="U303" s="926"/>
      <c r="V303" s="926"/>
      <c r="W303" s="926"/>
      <c r="X303" s="926"/>
      <c r="Y303" s="926"/>
      <c r="Z303" s="926"/>
      <c r="AA303" s="926"/>
      <c r="AB303" s="926"/>
      <c r="AC303" s="926"/>
      <c r="AD303" s="926"/>
      <c r="AE303" s="926"/>
      <c r="AF303" s="926"/>
      <c r="AG303" s="926"/>
      <c r="AH303" s="926"/>
      <c r="AI303" s="926"/>
      <c r="AJ303" s="926"/>
      <c r="AK303" s="926"/>
      <c r="AL303" s="926"/>
      <c r="AM303" s="926"/>
      <c r="AN303" s="926"/>
      <c r="AO303" s="926"/>
      <c r="AP303" s="926"/>
      <c r="AQ303" s="926"/>
      <c r="AR303" s="926"/>
      <c r="AS303" s="926"/>
      <c r="AT303" s="926"/>
      <c r="AU303" s="927"/>
      <c r="AV303" s="927"/>
      <c r="AW303" s="927"/>
      <c r="AX303" s="927"/>
      <c r="AY303" s="927"/>
      <c r="AZ303" s="927"/>
      <c r="BA303" s="927"/>
      <c r="BB303" s="927"/>
      <c r="BC303" s="928"/>
      <c r="BD303" s="929"/>
      <c r="BE303" s="930"/>
      <c r="BF303" s="930"/>
      <c r="BG303" s="931"/>
      <c r="BH303" s="931"/>
      <c r="BI303" s="926"/>
      <c r="BJ303" s="926"/>
      <c r="BK303" s="926"/>
      <c r="BL303" s="926"/>
      <c r="BM303" s="926"/>
      <c r="BN303" s="926"/>
      <c r="BO303" s="926"/>
      <c r="BP303" s="926"/>
      <c r="BQ303" s="926"/>
      <c r="BR303" s="926"/>
      <c r="BS303" s="926"/>
      <c r="BT303" s="926"/>
      <c r="BU303" s="926"/>
      <c r="BV303" s="926"/>
      <c r="BW303" s="926"/>
      <c r="BX303" s="926"/>
      <c r="BY303" s="932"/>
      <c r="BZ303" s="932"/>
      <c r="CA303" s="932"/>
      <c r="CB303" s="932"/>
      <c r="CC303" s="932"/>
      <c r="CD303" s="932"/>
      <c r="CE303" s="932"/>
      <c r="CF303" s="932"/>
    </row>
    <row r="304" spans="1:84" x14ac:dyDescent="0.25">
      <c r="A304" s="876">
        <v>98101</v>
      </c>
      <c r="B304" s="873" t="s">
        <v>1516</v>
      </c>
      <c r="C304" s="921">
        <v>158400551</v>
      </c>
      <c r="D304" s="924">
        <v>9.74886E-4</v>
      </c>
      <c r="E304" s="925"/>
      <c r="F304" s="926"/>
      <c r="G304" s="926"/>
      <c r="H304" s="926"/>
      <c r="I304" s="926"/>
      <c r="J304" s="926"/>
      <c r="K304" s="926"/>
      <c r="L304" s="926"/>
      <c r="M304" s="926"/>
      <c r="N304" s="926"/>
      <c r="O304" s="926"/>
      <c r="P304" s="926"/>
      <c r="Q304" s="926"/>
      <c r="R304" s="926"/>
      <c r="S304" s="926"/>
      <c r="T304" s="926"/>
      <c r="U304" s="926"/>
      <c r="V304" s="926"/>
      <c r="W304" s="926"/>
      <c r="X304" s="926"/>
      <c r="Y304" s="926"/>
      <c r="Z304" s="926"/>
      <c r="AA304" s="926"/>
      <c r="AB304" s="926"/>
      <c r="AC304" s="926"/>
      <c r="AD304" s="926"/>
      <c r="AE304" s="926"/>
      <c r="AF304" s="926"/>
      <c r="AG304" s="926"/>
      <c r="AH304" s="926"/>
      <c r="AI304" s="926"/>
      <c r="AJ304" s="926"/>
      <c r="AK304" s="926"/>
      <c r="AL304" s="926"/>
      <c r="AM304" s="926"/>
      <c r="AN304" s="926"/>
      <c r="AO304" s="926"/>
      <c r="AP304" s="926"/>
      <c r="AQ304" s="926"/>
      <c r="AR304" s="926"/>
      <c r="AS304" s="926"/>
      <c r="AT304" s="926"/>
      <c r="AU304" s="927"/>
      <c r="AV304" s="927"/>
      <c r="AW304" s="927"/>
      <c r="AX304" s="927"/>
      <c r="AY304" s="927"/>
      <c r="AZ304" s="927"/>
      <c r="BA304" s="927"/>
      <c r="BB304" s="927"/>
      <c r="BC304" s="928"/>
      <c r="BD304" s="929"/>
      <c r="BE304" s="930"/>
      <c r="BF304" s="930"/>
      <c r="BG304" s="931"/>
      <c r="BH304" s="931"/>
      <c r="BI304" s="926"/>
      <c r="BJ304" s="926"/>
      <c r="BK304" s="926"/>
      <c r="BL304" s="926"/>
      <c r="BM304" s="926"/>
      <c r="BN304" s="926"/>
      <c r="BO304" s="926"/>
      <c r="BP304" s="926"/>
      <c r="BQ304" s="926"/>
      <c r="BR304" s="926"/>
      <c r="BS304" s="926"/>
      <c r="BT304" s="926"/>
      <c r="BU304" s="926"/>
      <c r="BV304" s="926"/>
      <c r="BW304" s="926"/>
      <c r="BX304" s="926"/>
      <c r="BY304" s="932"/>
      <c r="BZ304" s="932"/>
      <c r="CA304" s="932"/>
      <c r="CB304" s="932"/>
      <c r="CC304" s="932"/>
      <c r="CD304" s="932"/>
      <c r="CE304" s="932"/>
      <c r="CF304" s="932"/>
    </row>
    <row r="305" spans="1:84" x14ac:dyDescent="0.25">
      <c r="A305" s="876">
        <v>98103</v>
      </c>
      <c r="B305" s="873" t="s">
        <v>1517</v>
      </c>
      <c r="C305" s="921">
        <v>29019518</v>
      </c>
      <c r="D305" s="924">
        <v>1.7860200000000001E-4</v>
      </c>
      <c r="E305" s="925"/>
      <c r="F305" s="926"/>
      <c r="G305" s="926"/>
      <c r="H305" s="926"/>
      <c r="I305" s="926"/>
      <c r="J305" s="926"/>
      <c r="K305" s="926"/>
      <c r="L305" s="926"/>
      <c r="M305" s="926"/>
      <c r="N305" s="926"/>
      <c r="O305" s="926"/>
      <c r="P305" s="926"/>
      <c r="Q305" s="926"/>
      <c r="R305" s="926"/>
      <c r="S305" s="926"/>
      <c r="T305" s="926"/>
      <c r="U305" s="926"/>
      <c r="V305" s="926"/>
      <c r="W305" s="926"/>
      <c r="X305" s="926"/>
      <c r="Y305" s="926"/>
      <c r="Z305" s="926"/>
      <c r="AA305" s="926"/>
      <c r="AB305" s="926"/>
      <c r="AC305" s="926"/>
      <c r="AD305" s="926"/>
      <c r="AE305" s="926"/>
      <c r="AF305" s="926"/>
      <c r="AG305" s="926"/>
      <c r="AH305" s="926"/>
      <c r="AI305" s="926"/>
      <c r="AJ305" s="926"/>
      <c r="AK305" s="926"/>
      <c r="AL305" s="926"/>
      <c r="AM305" s="926"/>
      <c r="AN305" s="926"/>
      <c r="AO305" s="926"/>
      <c r="AP305" s="926"/>
      <c r="AQ305" s="926"/>
      <c r="AR305" s="926"/>
      <c r="AS305" s="926"/>
      <c r="AT305" s="926"/>
      <c r="AU305" s="927"/>
      <c r="AV305" s="927"/>
      <c r="AW305" s="927"/>
      <c r="AX305" s="927"/>
      <c r="AY305" s="927"/>
      <c r="AZ305" s="927"/>
      <c r="BA305" s="927"/>
      <c r="BB305" s="927"/>
      <c r="BC305" s="928"/>
      <c r="BD305" s="929"/>
      <c r="BE305" s="930"/>
      <c r="BF305" s="930"/>
      <c r="BG305" s="931"/>
      <c r="BH305" s="931"/>
      <c r="BI305" s="926"/>
      <c r="BJ305" s="926"/>
      <c r="BK305" s="926"/>
      <c r="BL305" s="926"/>
      <c r="BM305" s="926"/>
      <c r="BN305" s="926"/>
      <c r="BO305" s="926"/>
      <c r="BP305" s="926"/>
      <c r="BQ305" s="926"/>
      <c r="BR305" s="926"/>
      <c r="BS305" s="926"/>
      <c r="BT305" s="926"/>
      <c r="BU305" s="926"/>
      <c r="BV305" s="926"/>
      <c r="BW305" s="926"/>
      <c r="BX305" s="926"/>
      <c r="BY305" s="932"/>
      <c r="BZ305" s="932"/>
      <c r="CA305" s="932"/>
      <c r="CB305" s="932"/>
      <c r="CC305" s="932"/>
      <c r="CD305" s="932"/>
      <c r="CE305" s="932"/>
      <c r="CF305" s="932"/>
    </row>
    <row r="306" spans="1:84" x14ac:dyDescent="0.25">
      <c r="A306" s="876">
        <v>98111</v>
      </c>
      <c r="B306" s="873" t="s">
        <v>1518</v>
      </c>
      <c r="C306" s="921">
        <v>59777419</v>
      </c>
      <c r="D306" s="924">
        <v>3.6790400000000001E-4</v>
      </c>
      <c r="E306" s="925"/>
      <c r="F306" s="926"/>
      <c r="G306" s="926"/>
      <c r="H306" s="926"/>
      <c r="I306" s="926"/>
      <c r="J306" s="926"/>
      <c r="K306" s="926"/>
      <c r="L306" s="926"/>
      <c r="M306" s="926"/>
      <c r="N306" s="926"/>
      <c r="O306" s="926"/>
      <c r="P306" s="926"/>
      <c r="Q306" s="926"/>
      <c r="R306" s="926"/>
      <c r="S306" s="926"/>
      <c r="T306" s="926"/>
      <c r="U306" s="926"/>
      <c r="V306" s="926"/>
      <c r="W306" s="926"/>
      <c r="X306" s="926"/>
      <c r="Y306" s="926"/>
      <c r="Z306" s="926"/>
      <c r="AA306" s="926"/>
      <c r="AB306" s="926"/>
      <c r="AC306" s="926"/>
      <c r="AD306" s="926"/>
      <c r="AE306" s="926"/>
      <c r="AF306" s="926"/>
      <c r="AG306" s="926"/>
      <c r="AH306" s="926"/>
      <c r="AI306" s="926"/>
      <c r="AJ306" s="926"/>
      <c r="AK306" s="926"/>
      <c r="AL306" s="926"/>
      <c r="AM306" s="926"/>
      <c r="AN306" s="926"/>
      <c r="AO306" s="926"/>
      <c r="AP306" s="926"/>
      <c r="AQ306" s="926"/>
      <c r="AR306" s="926"/>
      <c r="AS306" s="926"/>
      <c r="AT306" s="926"/>
      <c r="AU306" s="927"/>
      <c r="AV306" s="927"/>
      <c r="AW306" s="927"/>
      <c r="AX306" s="927"/>
      <c r="AY306" s="927"/>
      <c r="AZ306" s="927"/>
      <c r="BA306" s="927"/>
      <c r="BB306" s="927"/>
      <c r="BC306" s="928"/>
      <c r="BD306" s="929"/>
      <c r="BE306" s="930"/>
      <c r="BF306" s="930"/>
      <c r="BG306" s="931"/>
      <c r="BH306" s="931"/>
      <c r="BI306" s="926"/>
      <c r="BJ306" s="926"/>
      <c r="BK306" s="926"/>
      <c r="BL306" s="926"/>
      <c r="BM306" s="926"/>
      <c r="BN306" s="926"/>
      <c r="BO306" s="926"/>
      <c r="BP306" s="926"/>
      <c r="BQ306" s="926"/>
      <c r="BR306" s="926"/>
      <c r="BS306" s="926"/>
      <c r="BT306" s="926"/>
      <c r="BU306" s="926"/>
      <c r="BV306" s="926"/>
      <c r="BW306" s="926"/>
      <c r="BX306" s="926"/>
      <c r="BY306" s="932"/>
      <c r="BZ306" s="932"/>
      <c r="CA306" s="932"/>
      <c r="CB306" s="932"/>
      <c r="CC306" s="932"/>
      <c r="CD306" s="932"/>
      <c r="CE306" s="932"/>
      <c r="CF306" s="932"/>
    </row>
    <row r="307" spans="1:84" x14ac:dyDescent="0.25">
      <c r="A307" s="876">
        <v>98131</v>
      </c>
      <c r="B307" s="873" t="s">
        <v>1519</v>
      </c>
      <c r="C307" s="921">
        <v>12795843</v>
      </c>
      <c r="D307" s="924">
        <v>7.8752999999999996E-5</v>
      </c>
      <c r="E307" s="925"/>
      <c r="F307" s="926"/>
      <c r="G307" s="926"/>
      <c r="H307" s="926"/>
      <c r="I307" s="926"/>
      <c r="J307" s="926"/>
      <c r="K307" s="926"/>
      <c r="L307" s="926"/>
      <c r="M307" s="926"/>
      <c r="N307" s="926"/>
      <c r="O307" s="926"/>
      <c r="P307" s="926"/>
      <c r="Q307" s="926"/>
      <c r="R307" s="926"/>
      <c r="S307" s="926"/>
      <c r="T307" s="926"/>
      <c r="U307" s="926"/>
      <c r="V307" s="926"/>
      <c r="W307" s="926"/>
      <c r="X307" s="926"/>
      <c r="Y307" s="926"/>
      <c r="Z307" s="926"/>
      <c r="AA307" s="926"/>
      <c r="AB307" s="926"/>
      <c r="AC307" s="926"/>
      <c r="AD307" s="926"/>
      <c r="AE307" s="926"/>
      <c r="AF307" s="926"/>
      <c r="AG307" s="926"/>
      <c r="AH307" s="926"/>
      <c r="AI307" s="926"/>
      <c r="AJ307" s="926"/>
      <c r="AK307" s="926"/>
      <c r="AL307" s="926"/>
      <c r="AM307" s="926"/>
      <c r="AN307" s="926"/>
      <c r="AO307" s="926"/>
      <c r="AP307" s="926"/>
      <c r="AQ307" s="926"/>
      <c r="AR307" s="926"/>
      <c r="AS307" s="926"/>
      <c r="AT307" s="926"/>
      <c r="AU307" s="927"/>
      <c r="AV307" s="927"/>
      <c r="AW307" s="927"/>
      <c r="AX307" s="927"/>
      <c r="AY307" s="927"/>
      <c r="AZ307" s="927"/>
      <c r="BA307" s="927"/>
      <c r="BB307" s="927"/>
      <c r="BC307" s="928"/>
      <c r="BD307" s="929"/>
      <c r="BE307" s="930"/>
      <c r="BF307" s="930"/>
      <c r="BG307" s="931"/>
      <c r="BH307" s="931"/>
      <c r="BI307" s="926"/>
      <c r="BJ307" s="926"/>
      <c r="BK307" s="926"/>
      <c r="BL307" s="926"/>
      <c r="BM307" s="926"/>
      <c r="BN307" s="926"/>
      <c r="BO307" s="926"/>
      <c r="BP307" s="926"/>
      <c r="BQ307" s="926"/>
      <c r="BR307" s="926"/>
      <c r="BS307" s="926"/>
      <c r="BT307" s="926"/>
      <c r="BU307" s="926"/>
      <c r="BV307" s="926"/>
      <c r="BW307" s="926"/>
      <c r="BX307" s="926"/>
      <c r="BY307" s="932"/>
      <c r="BZ307" s="932"/>
      <c r="CA307" s="932"/>
      <c r="CB307" s="932"/>
      <c r="CC307" s="932"/>
      <c r="CD307" s="932"/>
      <c r="CE307" s="932"/>
      <c r="CF307" s="932"/>
    </row>
    <row r="308" spans="1:84" x14ac:dyDescent="0.25">
      <c r="A308" s="876">
        <v>99401</v>
      </c>
      <c r="B308" s="873" t="s">
        <v>1520</v>
      </c>
      <c r="C308" s="921">
        <v>48325680</v>
      </c>
      <c r="D308" s="924">
        <v>2.97423E-4</v>
      </c>
      <c r="E308" s="925"/>
      <c r="F308" s="926"/>
      <c r="G308" s="926"/>
      <c r="H308" s="926"/>
      <c r="I308" s="926"/>
      <c r="J308" s="926"/>
      <c r="K308" s="926"/>
      <c r="L308" s="926"/>
      <c r="M308" s="926"/>
      <c r="N308" s="926"/>
      <c r="O308" s="926"/>
      <c r="P308" s="926"/>
      <c r="Q308" s="926"/>
      <c r="R308" s="926"/>
      <c r="S308" s="926"/>
      <c r="T308" s="926"/>
      <c r="U308" s="926"/>
      <c r="V308" s="926"/>
      <c r="W308" s="926"/>
      <c r="X308" s="926"/>
      <c r="Y308" s="926"/>
      <c r="Z308" s="926"/>
      <c r="AA308" s="926"/>
      <c r="AB308" s="926"/>
      <c r="AC308" s="926"/>
      <c r="AD308" s="926"/>
      <c r="AE308" s="926"/>
      <c r="AF308" s="926"/>
      <c r="AG308" s="926"/>
      <c r="AH308" s="926"/>
      <c r="AI308" s="926"/>
      <c r="AJ308" s="926"/>
      <c r="AK308" s="926"/>
      <c r="AL308" s="926"/>
      <c r="AM308" s="926"/>
      <c r="AN308" s="926"/>
      <c r="AO308" s="926"/>
      <c r="AP308" s="926"/>
      <c r="AQ308" s="926"/>
      <c r="AR308" s="926"/>
      <c r="AS308" s="926"/>
      <c r="AT308" s="926"/>
      <c r="AU308" s="927"/>
      <c r="AV308" s="927"/>
      <c r="AW308" s="927"/>
      <c r="AX308" s="927"/>
      <c r="AY308" s="927"/>
      <c r="AZ308" s="927"/>
      <c r="BA308" s="927"/>
      <c r="BB308" s="927"/>
      <c r="BC308" s="928"/>
      <c r="BD308" s="929"/>
      <c r="BE308" s="930"/>
      <c r="BF308" s="930"/>
      <c r="BG308" s="931"/>
      <c r="BH308" s="931"/>
      <c r="BI308" s="926"/>
      <c r="BJ308" s="926"/>
      <c r="BK308" s="926"/>
      <c r="BL308" s="926"/>
      <c r="BM308" s="926"/>
      <c r="BN308" s="926"/>
      <c r="BO308" s="926"/>
      <c r="BP308" s="926"/>
      <c r="BQ308" s="926"/>
      <c r="BR308" s="926"/>
      <c r="BS308" s="926"/>
      <c r="BT308" s="926"/>
      <c r="BU308" s="926"/>
      <c r="BV308" s="926"/>
      <c r="BW308" s="926"/>
      <c r="BX308" s="926"/>
      <c r="BY308" s="932"/>
      <c r="BZ308" s="932"/>
      <c r="CA308" s="932"/>
      <c r="CB308" s="932"/>
      <c r="CC308" s="932"/>
      <c r="CD308" s="932"/>
      <c r="CE308" s="932"/>
      <c r="CF308" s="932"/>
    </row>
    <row r="309" spans="1:84" x14ac:dyDescent="0.25">
      <c r="A309" s="876">
        <v>99521</v>
      </c>
      <c r="B309" s="873" t="s">
        <v>1521</v>
      </c>
      <c r="C309" s="921">
        <v>27116003</v>
      </c>
      <c r="D309" s="924">
        <v>1.66887E-4</v>
      </c>
      <c r="E309" s="925"/>
      <c r="F309" s="926"/>
      <c r="G309" s="926"/>
      <c r="H309" s="926"/>
      <c r="I309" s="926"/>
      <c r="J309" s="926"/>
      <c r="K309" s="926"/>
      <c r="L309" s="926"/>
      <c r="M309" s="926"/>
      <c r="N309" s="926"/>
      <c r="O309" s="926"/>
      <c r="P309" s="926"/>
      <c r="Q309" s="926"/>
      <c r="R309" s="926"/>
      <c r="S309" s="926"/>
      <c r="T309" s="926"/>
      <c r="U309" s="926"/>
      <c r="V309" s="926"/>
      <c r="W309" s="926"/>
      <c r="X309" s="926"/>
      <c r="Y309" s="926"/>
      <c r="Z309" s="926"/>
      <c r="AA309" s="926"/>
      <c r="AB309" s="926"/>
      <c r="AC309" s="926"/>
      <c r="AD309" s="926"/>
      <c r="AE309" s="926"/>
      <c r="AF309" s="926"/>
      <c r="AG309" s="926"/>
      <c r="AH309" s="926"/>
      <c r="AI309" s="926"/>
      <c r="AJ309" s="926"/>
      <c r="AK309" s="926"/>
      <c r="AL309" s="926"/>
      <c r="AM309" s="926"/>
      <c r="AN309" s="926"/>
      <c r="AO309" s="926"/>
      <c r="AP309" s="926"/>
      <c r="AQ309" s="926"/>
      <c r="AR309" s="926"/>
      <c r="AS309" s="926"/>
      <c r="AT309" s="926"/>
      <c r="AU309" s="927"/>
      <c r="AV309" s="927"/>
      <c r="AW309" s="927"/>
      <c r="AX309" s="927"/>
      <c r="AY309" s="927"/>
      <c r="AZ309" s="927"/>
      <c r="BA309" s="927"/>
      <c r="BB309" s="927"/>
      <c r="BC309" s="928"/>
      <c r="BD309" s="929"/>
      <c r="BE309" s="930"/>
      <c r="BF309" s="930"/>
      <c r="BG309" s="931"/>
      <c r="BH309" s="931"/>
      <c r="BI309" s="926"/>
      <c r="BJ309" s="926"/>
      <c r="BK309" s="926"/>
      <c r="BL309" s="926"/>
      <c r="BM309" s="926"/>
      <c r="BN309" s="926"/>
      <c r="BO309" s="926"/>
      <c r="BP309" s="926"/>
      <c r="BQ309" s="926"/>
      <c r="BR309" s="926"/>
      <c r="BS309" s="926"/>
      <c r="BT309" s="926"/>
      <c r="BU309" s="926"/>
      <c r="BV309" s="926"/>
      <c r="BW309" s="926"/>
      <c r="BX309" s="926"/>
      <c r="BY309" s="932"/>
      <c r="BZ309" s="932"/>
      <c r="CA309" s="932"/>
      <c r="CB309" s="932"/>
      <c r="CC309" s="932"/>
      <c r="CD309" s="932"/>
      <c r="CE309" s="932"/>
      <c r="CF309" s="932"/>
    </row>
    <row r="310" spans="1:84" x14ac:dyDescent="0.25">
      <c r="A310" s="876">
        <v>99831</v>
      </c>
      <c r="B310" s="873" t="s">
        <v>1522</v>
      </c>
      <c r="C310" s="921">
        <v>2963949</v>
      </c>
      <c r="D310" s="924">
        <v>1.8241999999999999E-5</v>
      </c>
      <c r="E310" s="925"/>
      <c r="F310" s="926"/>
      <c r="G310" s="926"/>
      <c r="H310" s="926"/>
      <c r="I310" s="926"/>
      <c r="J310" s="926"/>
      <c r="K310" s="926"/>
      <c r="L310" s="926"/>
      <c r="M310" s="926"/>
      <c r="N310" s="926"/>
      <c r="O310" s="926"/>
      <c r="P310" s="926"/>
      <c r="Q310" s="926"/>
      <c r="R310" s="926"/>
      <c r="S310" s="926"/>
      <c r="T310" s="926"/>
      <c r="U310" s="926"/>
      <c r="V310" s="926"/>
      <c r="W310" s="926"/>
      <c r="X310" s="926"/>
      <c r="Y310" s="926"/>
      <c r="Z310" s="926"/>
      <c r="AA310" s="926"/>
      <c r="AB310" s="926"/>
      <c r="AC310" s="926"/>
      <c r="AD310" s="926"/>
      <c r="AE310" s="926"/>
      <c r="AF310" s="926"/>
      <c r="AG310" s="926"/>
      <c r="AH310" s="926"/>
      <c r="AI310" s="926"/>
      <c r="AJ310" s="926"/>
      <c r="AK310" s="926"/>
      <c r="AL310" s="926"/>
      <c r="AM310" s="926"/>
      <c r="AN310" s="926"/>
      <c r="AO310" s="926"/>
      <c r="AP310" s="926"/>
      <c r="AQ310" s="926"/>
      <c r="AR310" s="926"/>
      <c r="AS310" s="926"/>
      <c r="AT310" s="926"/>
      <c r="AU310" s="927"/>
      <c r="AV310" s="927"/>
      <c r="AW310" s="927"/>
      <c r="AX310" s="927"/>
      <c r="AY310" s="927"/>
      <c r="AZ310" s="927"/>
      <c r="BA310" s="927"/>
      <c r="BB310" s="927"/>
      <c r="BC310" s="928"/>
      <c r="BD310" s="929"/>
      <c r="BE310" s="930"/>
      <c r="BF310" s="930"/>
      <c r="BG310" s="931"/>
      <c r="BH310" s="931"/>
      <c r="BI310" s="926"/>
      <c r="BJ310" s="926"/>
      <c r="BK310" s="926"/>
      <c r="BL310" s="926"/>
      <c r="BM310" s="926"/>
      <c r="BN310" s="926"/>
      <c r="BO310" s="926"/>
      <c r="BP310" s="926"/>
      <c r="BQ310" s="926"/>
      <c r="BR310" s="926"/>
      <c r="BS310" s="926"/>
      <c r="BT310" s="926"/>
      <c r="BU310" s="926"/>
      <c r="BV310" s="926"/>
      <c r="BW310" s="926"/>
      <c r="BX310" s="926"/>
      <c r="BY310" s="932"/>
      <c r="BZ310" s="932"/>
      <c r="CA310" s="932"/>
      <c r="CB310" s="932"/>
      <c r="CC310" s="932"/>
      <c r="CD310" s="932"/>
      <c r="CE310" s="932"/>
      <c r="CF310" s="932"/>
    </row>
    <row r="311" spans="1:84" x14ac:dyDescent="0.25">
      <c r="A311" s="876">
        <v>36303</v>
      </c>
      <c r="B311" s="873" t="s">
        <v>1710</v>
      </c>
      <c r="C311" s="921">
        <v>22838069</v>
      </c>
      <c r="D311" s="924">
        <v>1.4055799999999999E-4</v>
      </c>
      <c r="E311" s="925"/>
      <c r="F311" s="926"/>
      <c r="G311" s="926"/>
      <c r="H311" s="926"/>
      <c r="I311" s="926"/>
      <c r="J311" s="926"/>
      <c r="K311" s="926"/>
      <c r="L311" s="926"/>
      <c r="M311" s="926"/>
      <c r="N311" s="926"/>
      <c r="O311" s="926"/>
      <c r="P311" s="926"/>
      <c r="Q311" s="926"/>
      <c r="R311" s="926"/>
      <c r="S311" s="926"/>
      <c r="T311" s="926"/>
      <c r="U311" s="926"/>
      <c r="V311" s="926"/>
      <c r="W311" s="926"/>
      <c r="X311" s="926"/>
      <c r="Y311" s="926"/>
      <c r="Z311" s="926"/>
      <c r="AA311" s="926"/>
      <c r="AB311" s="926"/>
      <c r="AC311" s="926"/>
      <c r="AD311" s="926"/>
      <c r="AE311" s="926"/>
      <c r="AF311" s="926"/>
      <c r="AG311" s="926"/>
      <c r="AH311" s="926"/>
      <c r="AI311" s="926"/>
      <c r="AJ311" s="926"/>
      <c r="AK311" s="926"/>
      <c r="AL311" s="926"/>
      <c r="AM311" s="926"/>
      <c r="AN311" s="926"/>
      <c r="AO311" s="926"/>
      <c r="AP311" s="926"/>
      <c r="AQ311" s="926"/>
      <c r="AR311" s="926"/>
      <c r="AS311" s="926"/>
      <c r="AT311" s="926"/>
      <c r="AU311" s="927"/>
      <c r="AV311" s="927"/>
      <c r="AW311" s="927"/>
      <c r="AX311" s="927"/>
      <c r="AY311" s="927"/>
      <c r="AZ311" s="927"/>
      <c r="BA311" s="927"/>
      <c r="BB311" s="927"/>
      <c r="BC311" s="928"/>
      <c r="BD311" s="929"/>
      <c r="BE311" s="930"/>
      <c r="BF311" s="930"/>
      <c r="BG311" s="931"/>
      <c r="BH311" s="931"/>
      <c r="BI311" s="926"/>
      <c r="BJ311" s="926"/>
      <c r="BK311" s="926"/>
      <c r="BL311" s="926"/>
      <c r="BM311" s="926"/>
      <c r="BN311" s="926"/>
      <c r="BO311" s="926"/>
      <c r="BP311" s="926"/>
      <c r="BQ311" s="926"/>
      <c r="BR311" s="926"/>
      <c r="BS311" s="926"/>
      <c r="BT311" s="926"/>
      <c r="BU311" s="926"/>
      <c r="BV311" s="926"/>
      <c r="BW311" s="926"/>
      <c r="BX311" s="926"/>
      <c r="BY311" s="932"/>
      <c r="BZ311" s="932"/>
      <c r="CA311" s="932"/>
      <c r="CB311" s="932"/>
      <c r="CC311" s="932"/>
      <c r="CD311" s="932"/>
      <c r="CE311" s="932"/>
      <c r="CF311" s="932"/>
    </row>
    <row r="312" spans="1:84" x14ac:dyDescent="0.25">
      <c r="A312" s="876">
        <v>18640</v>
      </c>
      <c r="B312" s="873" t="s">
        <v>1709</v>
      </c>
      <c r="C312" s="921">
        <v>148814</v>
      </c>
      <c r="D312" s="924">
        <v>9.16E-7</v>
      </c>
      <c r="E312" s="925"/>
      <c r="F312" s="926"/>
      <c r="G312" s="926"/>
      <c r="H312" s="926"/>
      <c r="I312" s="926"/>
      <c r="J312" s="926"/>
      <c r="K312" s="926"/>
      <c r="L312" s="926"/>
      <c r="M312" s="926"/>
      <c r="N312" s="926"/>
      <c r="O312" s="926"/>
      <c r="P312" s="926"/>
      <c r="Q312" s="926"/>
      <c r="R312" s="926"/>
      <c r="S312" s="926"/>
      <c r="T312" s="926"/>
      <c r="U312" s="926"/>
      <c r="V312" s="926"/>
      <c r="W312" s="926"/>
      <c r="X312" s="926"/>
      <c r="Y312" s="926"/>
      <c r="Z312" s="926"/>
      <c r="AA312" s="926"/>
      <c r="AB312" s="926"/>
      <c r="AC312" s="926"/>
      <c r="AD312" s="926"/>
      <c r="AE312" s="926"/>
      <c r="AF312" s="926"/>
      <c r="AG312" s="926"/>
      <c r="AH312" s="926"/>
      <c r="AI312" s="926"/>
      <c r="AJ312" s="926"/>
      <c r="AK312" s="926"/>
      <c r="AL312" s="926"/>
      <c r="AM312" s="926"/>
      <c r="AN312" s="926"/>
      <c r="AO312" s="926"/>
      <c r="AP312" s="926"/>
      <c r="AQ312" s="926"/>
      <c r="AR312" s="926"/>
      <c r="AS312" s="926"/>
      <c r="AT312" s="926"/>
      <c r="AU312" s="927"/>
      <c r="AV312" s="927"/>
      <c r="AW312" s="927"/>
      <c r="AX312" s="927"/>
      <c r="AY312" s="927"/>
      <c r="AZ312" s="927"/>
      <c r="BA312" s="927"/>
      <c r="BB312" s="927"/>
      <c r="BC312" s="928"/>
      <c r="BD312" s="929"/>
      <c r="BE312" s="930"/>
      <c r="BF312" s="930"/>
      <c r="BG312" s="931"/>
      <c r="BH312" s="931"/>
      <c r="BI312" s="926"/>
      <c r="BJ312" s="926"/>
      <c r="BK312" s="926"/>
      <c r="BL312" s="926"/>
      <c r="BM312" s="926"/>
      <c r="BN312" s="926"/>
      <c r="BO312" s="926"/>
      <c r="BP312" s="926"/>
      <c r="BQ312" s="926"/>
      <c r="BR312" s="926"/>
      <c r="BS312" s="926"/>
      <c r="BT312" s="926"/>
      <c r="BU312" s="926"/>
      <c r="BV312" s="926"/>
      <c r="BW312" s="926"/>
      <c r="BX312" s="926"/>
      <c r="BY312" s="932"/>
      <c r="BZ312" s="932"/>
      <c r="CA312" s="932"/>
      <c r="CB312" s="932"/>
      <c r="CC312" s="932"/>
      <c r="CD312" s="932"/>
      <c r="CE312" s="932"/>
      <c r="CF312" s="932"/>
    </row>
    <row r="313" spans="1:84" x14ac:dyDescent="0.25">
      <c r="A313" s="876">
        <v>11050</v>
      </c>
      <c r="B313" s="873" t="s">
        <v>1708</v>
      </c>
      <c r="C313" s="921">
        <v>32299255</v>
      </c>
      <c r="D313" s="924">
        <v>1.9878800000000001E-4</v>
      </c>
      <c r="E313" s="925"/>
      <c r="F313" s="926"/>
      <c r="G313" s="926"/>
      <c r="H313" s="926"/>
      <c r="I313" s="926"/>
      <c r="J313" s="926"/>
      <c r="K313" s="926"/>
      <c r="L313" s="926"/>
      <c r="M313" s="926"/>
      <c r="N313" s="926"/>
      <c r="O313" s="926"/>
      <c r="P313" s="926"/>
      <c r="Q313" s="926"/>
      <c r="R313" s="926"/>
      <c r="S313" s="926"/>
      <c r="T313" s="926"/>
      <c r="U313" s="926"/>
      <c r="V313" s="926"/>
      <c r="W313" s="926"/>
      <c r="X313" s="926"/>
      <c r="Y313" s="926"/>
      <c r="Z313" s="926"/>
      <c r="AA313" s="926"/>
      <c r="AB313" s="926"/>
      <c r="AC313" s="926"/>
      <c r="AD313" s="926"/>
      <c r="AE313" s="926"/>
      <c r="AF313" s="926"/>
      <c r="AG313" s="926"/>
      <c r="AH313" s="926"/>
      <c r="AI313" s="926"/>
      <c r="AJ313" s="926"/>
      <c r="AK313" s="926"/>
      <c r="AL313" s="926"/>
      <c r="AM313" s="926"/>
      <c r="AN313" s="926"/>
      <c r="AO313" s="926"/>
      <c r="AP313" s="926"/>
      <c r="AQ313" s="926"/>
      <c r="AR313" s="926"/>
      <c r="AS313" s="926"/>
      <c r="AT313" s="926"/>
      <c r="AU313" s="927"/>
      <c r="AV313" s="927"/>
      <c r="AW313" s="927"/>
      <c r="AX313" s="927"/>
      <c r="AY313" s="927"/>
      <c r="AZ313" s="927"/>
      <c r="BA313" s="927"/>
      <c r="BB313" s="927"/>
      <c r="BC313" s="928"/>
      <c r="BD313" s="929"/>
      <c r="BE313" s="930"/>
      <c r="BF313" s="930"/>
      <c r="BG313" s="931"/>
      <c r="BH313" s="931"/>
      <c r="BI313" s="926"/>
      <c r="BJ313" s="926"/>
      <c r="BK313" s="926"/>
      <c r="BL313" s="926"/>
      <c r="BM313" s="926"/>
      <c r="BN313" s="926"/>
      <c r="BO313" s="926"/>
      <c r="BP313" s="926"/>
      <c r="BQ313" s="926"/>
      <c r="BR313" s="926"/>
      <c r="BS313" s="926"/>
      <c r="BT313" s="926"/>
      <c r="BU313" s="926"/>
      <c r="BV313" s="926"/>
      <c r="BW313" s="926"/>
      <c r="BX313" s="926"/>
      <c r="BY313" s="932"/>
      <c r="BZ313" s="932"/>
      <c r="CA313" s="932"/>
      <c r="CB313" s="932"/>
      <c r="CC313" s="932"/>
      <c r="CD313" s="932"/>
      <c r="CE313" s="932"/>
      <c r="CF313" s="932"/>
    </row>
    <row r="314" spans="1:84" x14ac:dyDescent="0.25">
      <c r="A314" s="985" t="s">
        <v>1157</v>
      </c>
      <c r="B314" s="873" t="s">
        <v>1163</v>
      </c>
      <c r="C314" s="921">
        <v>6236085</v>
      </c>
      <c r="D314" s="924">
        <v>3.8380000000000002E-5</v>
      </c>
      <c r="E314" s="925"/>
      <c r="F314" s="926"/>
      <c r="G314" s="926"/>
      <c r="H314" s="926"/>
      <c r="I314" s="926"/>
      <c r="J314" s="926"/>
      <c r="K314" s="926"/>
      <c r="L314" s="926"/>
      <c r="M314" s="926"/>
      <c r="N314" s="926"/>
      <c r="O314" s="926"/>
      <c r="P314" s="926"/>
      <c r="Q314" s="926"/>
      <c r="R314" s="926"/>
      <c r="S314" s="926"/>
      <c r="T314" s="926"/>
      <c r="U314" s="926"/>
      <c r="V314" s="926"/>
      <c r="W314" s="926"/>
      <c r="X314" s="926"/>
      <c r="Y314" s="926"/>
      <c r="Z314" s="926"/>
      <c r="AA314" s="926"/>
      <c r="AB314" s="926"/>
      <c r="AC314" s="926"/>
      <c r="AD314" s="926"/>
      <c r="AE314" s="926"/>
      <c r="AF314" s="926"/>
      <c r="AG314" s="926"/>
      <c r="AH314" s="926"/>
      <c r="AI314" s="926"/>
      <c r="AJ314" s="926"/>
      <c r="AK314" s="926"/>
      <c r="AL314" s="926"/>
      <c r="AM314" s="926"/>
      <c r="AN314" s="926"/>
      <c r="AO314" s="926"/>
      <c r="AP314" s="926"/>
      <c r="AQ314" s="926"/>
      <c r="AR314" s="926"/>
      <c r="AS314" s="926"/>
      <c r="AT314" s="926"/>
      <c r="AU314" s="927"/>
      <c r="AV314" s="927"/>
      <c r="AW314" s="927"/>
      <c r="AX314" s="927"/>
      <c r="AY314" s="927"/>
      <c r="AZ314" s="927"/>
      <c r="BA314" s="927"/>
      <c r="BB314" s="927"/>
      <c r="BC314" s="928"/>
      <c r="BD314" s="929"/>
      <c r="BE314" s="930"/>
      <c r="BF314" s="930"/>
      <c r="BG314" s="931"/>
      <c r="BH314" s="931"/>
      <c r="BI314" s="926"/>
      <c r="BJ314" s="926"/>
      <c r="BK314" s="926"/>
      <c r="BL314" s="926"/>
      <c r="BM314" s="926"/>
      <c r="BN314" s="926"/>
      <c r="BO314" s="926"/>
      <c r="BP314" s="926"/>
      <c r="BQ314" s="926"/>
      <c r="BR314" s="926"/>
      <c r="BS314" s="926"/>
      <c r="BT314" s="926"/>
      <c r="BU314" s="926"/>
      <c r="BV314" s="926"/>
      <c r="BW314" s="926"/>
      <c r="BX314" s="926"/>
      <c r="BY314" s="932"/>
      <c r="BZ314" s="932"/>
      <c r="CA314" s="932"/>
      <c r="CB314" s="932"/>
      <c r="CC314" s="932"/>
      <c r="CD314" s="932"/>
      <c r="CE314" s="932"/>
      <c r="CF314" s="932"/>
    </row>
    <row r="315" spans="1:84" ht="18" customHeight="1" x14ac:dyDescent="0.25">
      <c r="A315" s="881"/>
      <c r="B315" s="882" t="s">
        <v>466</v>
      </c>
      <c r="C315" s="934">
        <f>SUM(C7:C313)</f>
        <v>162481142714</v>
      </c>
      <c r="D315" s="935">
        <f>SUM(D7:D313)</f>
        <v>1</v>
      </c>
      <c r="E315" s="936"/>
      <c r="F315" s="937"/>
      <c r="G315" s="937"/>
      <c r="H315" s="937"/>
      <c r="I315" s="937"/>
      <c r="J315" s="937"/>
      <c r="K315" s="937"/>
      <c r="L315" s="937"/>
      <c r="M315" s="937"/>
      <c r="N315" s="937"/>
      <c r="O315" s="937"/>
      <c r="P315" s="937"/>
      <c r="Q315" s="937"/>
      <c r="R315" s="937"/>
      <c r="S315" s="937"/>
      <c r="T315" s="937"/>
      <c r="U315" s="937"/>
      <c r="V315" s="937"/>
      <c r="W315" s="937"/>
      <c r="X315" s="937"/>
      <c r="Y315" s="937"/>
      <c r="Z315" s="937"/>
      <c r="AA315" s="937"/>
      <c r="AB315" s="937"/>
      <c r="AC315" s="937"/>
      <c r="AD315" s="936"/>
      <c r="AE315" s="936"/>
      <c r="AF315" s="936"/>
      <c r="AG315" s="936"/>
      <c r="AH315" s="926"/>
      <c r="AI315" s="926"/>
      <c r="AJ315" s="926"/>
      <c r="AK315" s="926"/>
      <c r="AL315" s="926"/>
      <c r="AM315" s="926"/>
      <c r="AN315" s="926"/>
      <c r="AO315" s="926"/>
      <c r="AP315" s="926"/>
      <c r="AQ315" s="926"/>
      <c r="AR315" s="926"/>
      <c r="AS315" s="926"/>
      <c r="AT315" s="937"/>
      <c r="AU315" s="936"/>
      <c r="AV315" s="936"/>
      <c r="AW315" s="936"/>
      <c r="AX315" s="936"/>
      <c r="AY315" s="936"/>
      <c r="AZ315" s="936"/>
      <c r="BA315" s="936"/>
      <c r="BB315" s="936"/>
      <c r="BC315" s="938"/>
      <c r="BD315" s="939"/>
      <c r="BE315" s="925"/>
      <c r="BF315" s="925"/>
      <c r="BG315" s="940"/>
      <c r="BH315" s="940"/>
      <c r="BI315" s="926"/>
      <c r="BJ315" s="926"/>
      <c r="BK315" s="926"/>
      <c r="BL315" s="926"/>
      <c r="BM315" s="926"/>
      <c r="BN315" s="926"/>
      <c r="BO315" s="926"/>
      <c r="BP315" s="926"/>
      <c r="BQ315" s="926"/>
      <c r="BR315" s="926"/>
      <c r="BS315" s="926"/>
      <c r="BT315" s="926"/>
      <c r="BU315" s="926"/>
      <c r="BV315" s="926"/>
      <c r="BW315" s="926"/>
      <c r="BX315" s="926"/>
    </row>
    <row r="316" spans="1:84" ht="18" customHeight="1" x14ac:dyDescent="0.25">
      <c r="A316" s="884"/>
      <c r="B316" s="885"/>
      <c r="C316" s="921"/>
      <c r="D316" s="941"/>
      <c r="E316" s="942"/>
      <c r="F316" s="942"/>
      <c r="G316" s="942"/>
      <c r="H316" s="942"/>
      <c r="I316" s="942"/>
      <c r="J316" s="942"/>
      <c r="K316" s="942"/>
      <c r="L316" s="942"/>
      <c r="M316" s="942"/>
      <c r="N316" s="942"/>
      <c r="O316" s="886"/>
      <c r="P316" s="943"/>
      <c r="Q316" s="886"/>
      <c r="R316" s="943"/>
      <c r="S316" s="886"/>
      <c r="T316" s="886"/>
      <c r="U316" s="942"/>
      <c r="V316" s="942"/>
      <c r="W316" s="942"/>
      <c r="X316" s="942"/>
      <c r="Y316" s="942"/>
      <c r="Z316" s="942"/>
      <c r="AA316" s="942"/>
      <c r="AB316" s="942"/>
      <c r="AC316" s="942"/>
      <c r="AD316" s="942"/>
      <c r="AE316" s="942"/>
      <c r="AF316" s="942"/>
      <c r="AG316" s="942"/>
      <c r="AH316" s="942"/>
      <c r="AI316" s="942"/>
      <c r="AJ316" s="942"/>
      <c r="AK316" s="942"/>
      <c r="AL316" s="942"/>
      <c r="AM316" s="942"/>
      <c r="AN316" s="942"/>
      <c r="AO316" s="942"/>
      <c r="AP316" s="942"/>
      <c r="AQ316" s="942"/>
      <c r="AR316" s="942"/>
      <c r="AS316" s="942"/>
      <c r="AT316" s="942"/>
      <c r="AU316" s="944"/>
      <c r="AV316" s="944"/>
      <c r="AW316" s="944"/>
      <c r="AX316" s="944"/>
      <c r="AY316" s="944"/>
      <c r="AZ316" s="944"/>
      <c r="BA316" s="944"/>
      <c r="BB316" s="945"/>
      <c r="BC316" s="945"/>
      <c r="BD316" s="942"/>
      <c r="BE316" s="942"/>
      <c r="BF316" s="942"/>
      <c r="BG316" s="942"/>
      <c r="BH316" s="942"/>
      <c r="BI316" s="942"/>
      <c r="BJ316" s="942"/>
      <c r="BK316" s="942"/>
      <c r="BL316" s="942"/>
      <c r="BM316" s="942"/>
      <c r="BN316" s="942"/>
      <c r="BO316" s="942"/>
      <c r="BP316" s="942"/>
      <c r="BQ316" s="942"/>
      <c r="BR316" s="942"/>
      <c r="BS316" s="942"/>
      <c r="BT316" s="942"/>
      <c r="BU316" s="942"/>
      <c r="BV316" s="942"/>
      <c r="BW316" s="942"/>
      <c r="BX316" s="942"/>
    </row>
    <row r="317" spans="1:84" ht="18" customHeight="1" x14ac:dyDescent="0.25">
      <c r="AU317" s="948"/>
      <c r="AV317" s="948"/>
      <c r="AW317" s="948"/>
      <c r="AX317" s="948"/>
      <c r="AY317" s="948"/>
      <c r="AZ317" s="948"/>
      <c r="BA317" s="948"/>
      <c r="BB317" s="948"/>
      <c r="BC317" s="948"/>
    </row>
    <row r="318" spans="1:84" ht="18" customHeight="1" x14ac:dyDescent="0.25">
      <c r="P318" s="889"/>
      <c r="Q318" s="889"/>
      <c r="R318" s="889"/>
      <c r="AU318" s="949"/>
      <c r="AV318" s="949"/>
      <c r="AW318" s="949"/>
      <c r="AX318" s="949"/>
      <c r="AY318" s="949"/>
      <c r="AZ318" s="949"/>
      <c r="BA318" s="949"/>
      <c r="BB318" s="949"/>
      <c r="BC318" s="950"/>
    </row>
    <row r="319" spans="1:84" ht="18" customHeight="1" x14ac:dyDescent="0.25">
      <c r="P319" s="889"/>
      <c r="Q319" s="889"/>
      <c r="R319" s="889"/>
      <c r="AU319" s="949"/>
      <c r="AV319" s="949"/>
      <c r="AW319" s="949"/>
      <c r="AX319" s="949"/>
      <c r="AY319" s="949"/>
      <c r="AZ319" s="949"/>
      <c r="BA319" s="949"/>
      <c r="BB319" s="949"/>
      <c r="BC319" s="950"/>
    </row>
    <row r="320" spans="1:84" ht="18" customHeight="1" x14ac:dyDescent="0.25">
      <c r="P320" s="890"/>
      <c r="Q320" s="889"/>
      <c r="R320" s="889"/>
    </row>
    <row r="321" spans="13:55" ht="18" customHeight="1" x14ac:dyDescent="0.25">
      <c r="O321" s="889"/>
      <c r="Q321" s="889"/>
      <c r="R321" s="889"/>
    </row>
    <row r="322" spans="13:55" ht="18" customHeight="1" x14ac:dyDescent="0.25">
      <c r="Q322" s="889"/>
      <c r="R322" s="889"/>
    </row>
    <row r="323" spans="13:55" ht="18" customHeight="1" x14ac:dyDescent="0.25">
      <c r="P323" s="889"/>
      <c r="Q323" s="889"/>
      <c r="R323" s="889"/>
      <c r="S323" s="889"/>
      <c r="T323" s="889"/>
    </row>
    <row r="324" spans="13:55" ht="18" customHeight="1" x14ac:dyDescent="0.25">
      <c r="P324" s="889"/>
      <c r="Q324" s="889"/>
      <c r="R324" s="889"/>
      <c r="AU324" s="951"/>
      <c r="AV324" s="951"/>
      <c r="AW324" s="951"/>
      <c r="AX324" s="951"/>
      <c r="AY324" s="951"/>
      <c r="AZ324" s="951"/>
      <c r="BA324" s="951"/>
      <c r="BB324" s="951"/>
      <c r="BC324" s="951"/>
    </row>
    <row r="325" spans="13:55" ht="18" customHeight="1" x14ac:dyDescent="0.25">
      <c r="M325" s="952"/>
      <c r="P325" s="889"/>
      <c r="Q325" s="889"/>
    </row>
    <row r="326" spans="13:55" ht="18" customHeight="1" x14ac:dyDescent="0.25">
      <c r="P326" s="889"/>
      <c r="Q326" s="889"/>
    </row>
    <row r="327" spans="13:55" ht="18" customHeight="1" x14ac:dyDescent="0.25">
      <c r="P327" s="889"/>
      <c r="R327" s="889"/>
    </row>
    <row r="328" spans="13:55" ht="18" customHeight="1" x14ac:dyDescent="0.25">
      <c r="P328" s="889"/>
      <c r="R328" s="889"/>
    </row>
    <row r="329" spans="13:55" ht="18" customHeight="1" x14ac:dyDescent="0.25">
      <c r="P329" s="889"/>
      <c r="Q329" s="889"/>
      <c r="R329" s="889"/>
    </row>
    <row r="330" spans="13:55" ht="18" customHeight="1" x14ac:dyDescent="0.25">
      <c r="P330" s="890"/>
      <c r="Q330" s="890"/>
      <c r="R330" s="889"/>
    </row>
    <row r="331" spans="13:55" ht="18" customHeight="1" x14ac:dyDescent="0.25">
      <c r="O331" s="889"/>
      <c r="Q331" s="889"/>
      <c r="R331" s="889"/>
      <c r="S331" s="889"/>
      <c r="T331" s="889"/>
    </row>
    <row r="332" spans="13:55" ht="18" customHeight="1" x14ac:dyDescent="0.25">
      <c r="P332" s="889"/>
      <c r="Q332" s="889"/>
      <c r="R332" s="889"/>
      <c r="S332" s="890"/>
      <c r="T332" s="890"/>
    </row>
    <row r="333" spans="13:55" ht="18" customHeight="1" x14ac:dyDescent="0.25">
      <c r="O333" s="889"/>
      <c r="P333" s="889"/>
      <c r="Q333" s="889"/>
      <c r="R333" s="889"/>
      <c r="S333" s="889"/>
      <c r="T333" s="889"/>
    </row>
    <row r="334" spans="13:55" ht="18" customHeight="1" x14ac:dyDescent="0.25">
      <c r="P334" s="889"/>
      <c r="Q334" s="889"/>
      <c r="R334" s="889"/>
    </row>
    <row r="335" spans="13:55" ht="18" customHeight="1" x14ac:dyDescent="0.25">
      <c r="M335" s="952"/>
      <c r="O335" s="889"/>
      <c r="P335" s="889"/>
      <c r="Q335" s="889"/>
    </row>
    <row r="336" spans="13:55" ht="18" customHeight="1" x14ac:dyDescent="0.25">
      <c r="M336" s="952"/>
      <c r="O336" s="889"/>
      <c r="P336" s="889"/>
      <c r="Q336" s="889"/>
    </row>
    <row r="337" spans="1:84" ht="18" customHeight="1" x14ac:dyDescent="0.25">
      <c r="M337" s="953"/>
      <c r="O337" s="889"/>
    </row>
    <row r="338" spans="1:84" s="857" customFormat="1" ht="18" customHeight="1" x14ac:dyDescent="0.25">
      <c r="A338" s="887"/>
      <c r="B338" s="856"/>
      <c r="C338" s="946"/>
      <c r="D338" s="947"/>
      <c r="E338" s="933"/>
      <c r="F338" s="933"/>
      <c r="G338" s="933"/>
      <c r="H338" s="933"/>
      <c r="I338" s="933"/>
      <c r="J338" s="933"/>
      <c r="K338" s="933"/>
      <c r="L338" s="933"/>
      <c r="M338" s="952"/>
      <c r="N338" s="933"/>
      <c r="U338" s="933"/>
      <c r="V338" s="933"/>
      <c r="W338" s="933"/>
      <c r="X338" s="933"/>
      <c r="Y338" s="933"/>
      <c r="Z338" s="933"/>
      <c r="AA338" s="933"/>
      <c r="AB338" s="933"/>
      <c r="AC338" s="933"/>
      <c r="AD338" s="933"/>
      <c r="AE338" s="933"/>
      <c r="AF338" s="933"/>
      <c r="AG338" s="933"/>
      <c r="AH338" s="933"/>
      <c r="AI338" s="933"/>
      <c r="AJ338" s="933"/>
      <c r="AK338" s="933"/>
      <c r="AL338" s="933"/>
      <c r="AM338" s="933"/>
      <c r="AN338" s="933"/>
      <c r="AO338" s="933"/>
      <c r="AP338" s="933"/>
      <c r="AQ338" s="933"/>
      <c r="AR338" s="933"/>
      <c r="AS338" s="933"/>
      <c r="AT338" s="933"/>
      <c r="AU338" s="860"/>
      <c r="AV338" s="860"/>
      <c r="AW338" s="860"/>
      <c r="AX338" s="860"/>
      <c r="AY338" s="860"/>
      <c r="AZ338" s="860"/>
      <c r="BA338" s="860"/>
      <c r="BB338" s="860"/>
      <c r="BC338" s="860"/>
      <c r="BD338" s="933"/>
      <c r="BE338" s="933"/>
      <c r="BF338" s="933"/>
      <c r="BG338" s="933"/>
      <c r="BH338" s="933"/>
      <c r="BI338" s="933"/>
      <c r="BJ338" s="933"/>
      <c r="BK338" s="933"/>
      <c r="BL338" s="933"/>
      <c r="BM338" s="933"/>
      <c r="BN338" s="933"/>
      <c r="BO338" s="933"/>
      <c r="BP338" s="933"/>
      <c r="BQ338" s="933"/>
      <c r="BR338" s="933"/>
      <c r="BS338" s="933"/>
      <c r="BT338" s="933"/>
      <c r="BU338" s="933"/>
      <c r="BV338" s="933"/>
      <c r="BW338" s="933"/>
      <c r="BX338" s="933"/>
      <c r="BY338" s="933"/>
      <c r="BZ338" s="933"/>
      <c r="CA338" s="933"/>
      <c r="CB338" s="933"/>
      <c r="CC338" s="933"/>
      <c r="CD338" s="933"/>
      <c r="CE338" s="933"/>
      <c r="CF338" s="933"/>
    </row>
    <row r="339" spans="1:84" s="857" customFormat="1" ht="18" customHeight="1" x14ac:dyDescent="0.25">
      <c r="A339" s="887"/>
      <c r="B339" s="856"/>
      <c r="C339" s="946"/>
      <c r="D339" s="947"/>
      <c r="E339" s="933"/>
      <c r="F339" s="933"/>
      <c r="G339" s="933"/>
      <c r="H339" s="933"/>
      <c r="I339" s="933"/>
      <c r="J339" s="933"/>
      <c r="K339" s="933"/>
      <c r="L339" s="933"/>
      <c r="M339" s="952"/>
      <c r="N339" s="933"/>
      <c r="U339" s="933"/>
      <c r="V339" s="933"/>
      <c r="W339" s="933"/>
      <c r="X339" s="933"/>
      <c r="Y339" s="933"/>
      <c r="Z339" s="933"/>
      <c r="AA339" s="933"/>
      <c r="AB339" s="933"/>
      <c r="AC339" s="933"/>
      <c r="AD339" s="933"/>
      <c r="AE339" s="933"/>
      <c r="AF339" s="933"/>
      <c r="AG339" s="933"/>
      <c r="AH339" s="933"/>
      <c r="AI339" s="933"/>
      <c r="AJ339" s="933"/>
      <c r="AK339" s="933"/>
      <c r="AL339" s="933"/>
      <c r="AM339" s="933"/>
      <c r="AN339" s="933"/>
      <c r="AO339" s="933"/>
      <c r="AP339" s="933"/>
      <c r="AQ339" s="933"/>
      <c r="AR339" s="933"/>
      <c r="AS339" s="933"/>
      <c r="AT339" s="933"/>
      <c r="AU339" s="860"/>
      <c r="AV339" s="860"/>
      <c r="AW339" s="860"/>
      <c r="AX339" s="860"/>
      <c r="AY339" s="860"/>
      <c r="AZ339" s="860"/>
      <c r="BA339" s="860"/>
      <c r="BB339" s="860"/>
      <c r="BC339" s="860"/>
      <c r="BD339" s="933"/>
      <c r="BE339" s="933"/>
      <c r="BF339" s="933"/>
      <c r="BG339" s="933"/>
      <c r="BH339" s="933"/>
      <c r="BI339" s="933"/>
      <c r="BJ339" s="933"/>
      <c r="BK339" s="933"/>
      <c r="BL339" s="933"/>
      <c r="BM339" s="933"/>
      <c r="BN339" s="933"/>
      <c r="BO339" s="933"/>
      <c r="BP339" s="933"/>
      <c r="BQ339" s="933"/>
      <c r="BR339" s="933"/>
      <c r="BS339" s="933"/>
      <c r="BT339" s="933"/>
      <c r="BU339" s="933"/>
      <c r="BV339" s="933"/>
      <c r="BW339" s="933"/>
      <c r="BX339" s="933"/>
      <c r="BY339" s="933"/>
      <c r="BZ339" s="933"/>
      <c r="CA339" s="933"/>
      <c r="CB339" s="933"/>
      <c r="CC339" s="933"/>
      <c r="CD339" s="933"/>
      <c r="CE339" s="933"/>
      <c r="CF339" s="933"/>
    </row>
    <row r="340" spans="1:84" s="857" customFormat="1" ht="18" customHeight="1" x14ac:dyDescent="0.25">
      <c r="A340" s="887"/>
      <c r="B340" s="856"/>
      <c r="C340" s="946"/>
      <c r="D340" s="947"/>
      <c r="E340" s="933"/>
      <c r="F340" s="933"/>
      <c r="G340" s="933"/>
      <c r="H340" s="933"/>
      <c r="I340" s="933"/>
      <c r="J340" s="933"/>
      <c r="K340" s="933"/>
      <c r="L340" s="933"/>
      <c r="M340" s="952"/>
      <c r="N340" s="954"/>
      <c r="U340" s="933"/>
      <c r="V340" s="933"/>
      <c r="W340" s="933"/>
      <c r="X340" s="933"/>
      <c r="Y340" s="933"/>
      <c r="Z340" s="933"/>
      <c r="AA340" s="933"/>
      <c r="AB340" s="933"/>
      <c r="AC340" s="933"/>
      <c r="AD340" s="933"/>
      <c r="AE340" s="933"/>
      <c r="AF340" s="933"/>
      <c r="AG340" s="933"/>
      <c r="AH340" s="933"/>
      <c r="AI340" s="933"/>
      <c r="AJ340" s="933"/>
      <c r="AK340" s="933"/>
      <c r="AL340" s="933"/>
      <c r="AM340" s="933"/>
      <c r="AN340" s="933"/>
      <c r="AO340" s="933"/>
      <c r="AP340" s="933"/>
      <c r="AQ340" s="933"/>
      <c r="AR340" s="933"/>
      <c r="AS340" s="933"/>
      <c r="AT340" s="933"/>
      <c r="AU340" s="860"/>
      <c r="AV340" s="860"/>
      <c r="AW340" s="860"/>
      <c r="AX340" s="860"/>
      <c r="AY340" s="860"/>
      <c r="AZ340" s="860"/>
      <c r="BA340" s="860"/>
      <c r="BB340" s="860"/>
      <c r="BC340" s="860"/>
      <c r="BD340" s="933"/>
      <c r="BE340" s="933"/>
      <c r="BF340" s="933"/>
      <c r="BG340" s="933"/>
      <c r="BH340" s="933"/>
      <c r="BI340" s="933"/>
      <c r="BJ340" s="933"/>
      <c r="BK340" s="933"/>
      <c r="BL340" s="933"/>
      <c r="BM340" s="933"/>
      <c r="BN340" s="933"/>
      <c r="BO340" s="933"/>
      <c r="BP340" s="933"/>
      <c r="BQ340" s="933"/>
      <c r="BR340" s="933"/>
      <c r="BS340" s="933"/>
      <c r="BT340" s="933"/>
      <c r="BU340" s="933"/>
      <c r="BV340" s="933"/>
      <c r="BW340" s="933"/>
      <c r="BX340" s="933"/>
      <c r="BY340" s="933"/>
      <c r="BZ340" s="933"/>
      <c r="CA340" s="933"/>
      <c r="CB340" s="933"/>
      <c r="CC340" s="933"/>
      <c r="CD340" s="933"/>
      <c r="CE340" s="933"/>
      <c r="CF340" s="933"/>
    </row>
    <row r="341" spans="1:84" s="857" customFormat="1" ht="18" customHeight="1" x14ac:dyDescent="0.25">
      <c r="A341" s="887"/>
      <c r="B341" s="856"/>
      <c r="C341" s="946"/>
      <c r="D341" s="947"/>
      <c r="E341" s="933"/>
      <c r="F341" s="933"/>
      <c r="G341" s="933"/>
      <c r="H341" s="933"/>
      <c r="I341" s="933"/>
      <c r="J341" s="933"/>
      <c r="K341" s="933"/>
      <c r="L341" s="933"/>
      <c r="M341" s="953"/>
      <c r="N341" s="952"/>
      <c r="U341" s="933"/>
      <c r="V341" s="933"/>
      <c r="W341" s="933"/>
      <c r="X341" s="933"/>
      <c r="Y341" s="933"/>
      <c r="Z341" s="933"/>
      <c r="AA341" s="933"/>
      <c r="AB341" s="933"/>
      <c r="AC341" s="933"/>
      <c r="AD341" s="933"/>
      <c r="AE341" s="933"/>
      <c r="AF341" s="933"/>
      <c r="AG341" s="933"/>
      <c r="AH341" s="933"/>
      <c r="AI341" s="933"/>
      <c r="AJ341" s="933"/>
      <c r="AK341" s="933"/>
      <c r="AL341" s="933"/>
      <c r="AM341" s="933"/>
      <c r="AN341" s="933"/>
      <c r="AO341" s="933"/>
      <c r="AP341" s="933"/>
      <c r="AQ341" s="933"/>
      <c r="AR341" s="933"/>
      <c r="AS341" s="933"/>
      <c r="AT341" s="933"/>
      <c r="AU341" s="860"/>
      <c r="AV341" s="860"/>
      <c r="AW341" s="860"/>
      <c r="AX341" s="860"/>
      <c r="AY341" s="860"/>
      <c r="AZ341" s="860"/>
      <c r="BA341" s="860"/>
      <c r="BB341" s="860"/>
      <c r="BC341" s="860"/>
      <c r="BD341" s="933"/>
      <c r="BE341" s="933"/>
      <c r="BF341" s="933"/>
      <c r="BG341" s="933"/>
      <c r="BH341" s="933"/>
      <c r="BI341" s="933"/>
      <c r="BJ341" s="933"/>
      <c r="BK341" s="933"/>
      <c r="BL341" s="933"/>
      <c r="BM341" s="933"/>
      <c r="BN341" s="933"/>
      <c r="BO341" s="933"/>
      <c r="BP341" s="933"/>
      <c r="BQ341" s="933"/>
      <c r="BR341" s="933"/>
      <c r="BS341" s="933"/>
      <c r="BT341" s="933"/>
      <c r="BU341" s="933"/>
      <c r="BV341" s="933"/>
      <c r="BW341" s="933"/>
      <c r="BX341" s="933"/>
      <c r="BY341" s="933"/>
      <c r="BZ341" s="933"/>
      <c r="CA341" s="933"/>
      <c r="CB341" s="933"/>
      <c r="CC341" s="933"/>
      <c r="CD341" s="933"/>
      <c r="CE341" s="933"/>
      <c r="CF341" s="933"/>
    </row>
    <row r="342" spans="1:84" s="857" customFormat="1" ht="18" customHeight="1" x14ac:dyDescent="0.25">
      <c r="A342" s="887"/>
      <c r="B342" s="856"/>
      <c r="C342" s="946"/>
      <c r="D342" s="947"/>
      <c r="E342" s="933"/>
      <c r="F342" s="933"/>
      <c r="G342" s="933"/>
      <c r="H342" s="933"/>
      <c r="I342" s="933"/>
      <c r="J342" s="933"/>
      <c r="K342" s="933"/>
      <c r="L342" s="933"/>
      <c r="M342" s="952"/>
      <c r="N342" s="933"/>
      <c r="U342" s="933"/>
      <c r="V342" s="933"/>
      <c r="W342" s="933"/>
      <c r="X342" s="933"/>
      <c r="Y342" s="933"/>
      <c r="Z342" s="933"/>
      <c r="AA342" s="933"/>
      <c r="AB342" s="933"/>
      <c r="AC342" s="933"/>
      <c r="AD342" s="933"/>
      <c r="AE342" s="933"/>
      <c r="AF342" s="933"/>
      <c r="AG342" s="933"/>
      <c r="AH342" s="933"/>
      <c r="AI342" s="933"/>
      <c r="AJ342" s="933"/>
      <c r="AK342" s="933"/>
      <c r="AL342" s="933"/>
      <c r="AM342" s="933"/>
      <c r="AN342" s="933"/>
      <c r="AO342" s="933"/>
      <c r="AP342" s="933"/>
      <c r="AQ342" s="933"/>
      <c r="AR342" s="933"/>
      <c r="AS342" s="933"/>
      <c r="AT342" s="933"/>
      <c r="AU342" s="860"/>
      <c r="AV342" s="860"/>
      <c r="AW342" s="860"/>
      <c r="AX342" s="860"/>
      <c r="AY342" s="860"/>
      <c r="AZ342" s="860"/>
      <c r="BA342" s="860"/>
      <c r="BB342" s="860"/>
      <c r="BC342" s="860"/>
      <c r="BD342" s="933"/>
      <c r="BE342" s="933"/>
      <c r="BF342" s="933"/>
      <c r="BG342" s="933"/>
      <c r="BH342" s="933"/>
      <c r="BI342" s="933"/>
      <c r="BJ342" s="933"/>
      <c r="BK342" s="933"/>
      <c r="BL342" s="933"/>
      <c r="BM342" s="933"/>
      <c r="BN342" s="933"/>
      <c r="BO342" s="933"/>
      <c r="BP342" s="933"/>
      <c r="BQ342" s="933"/>
      <c r="BR342" s="933"/>
      <c r="BS342" s="933"/>
      <c r="BT342" s="933"/>
      <c r="BU342" s="933"/>
      <c r="BV342" s="933"/>
      <c r="BW342" s="933"/>
      <c r="BX342" s="933"/>
      <c r="BY342" s="933"/>
      <c r="BZ342" s="933"/>
      <c r="CA342" s="933"/>
      <c r="CB342" s="933"/>
      <c r="CC342" s="933"/>
      <c r="CD342" s="933"/>
      <c r="CE342" s="933"/>
      <c r="CF342" s="933"/>
    </row>
    <row r="343" spans="1:84" s="857" customFormat="1" ht="18" customHeight="1" x14ac:dyDescent="0.25">
      <c r="A343" s="887"/>
      <c r="B343" s="856"/>
      <c r="C343" s="946"/>
      <c r="D343" s="947"/>
      <c r="E343" s="933"/>
      <c r="F343" s="933"/>
      <c r="G343" s="933"/>
      <c r="H343" s="933"/>
      <c r="I343" s="933"/>
      <c r="J343" s="933"/>
      <c r="K343" s="933"/>
      <c r="L343" s="933"/>
      <c r="M343" s="952"/>
      <c r="N343" s="933"/>
      <c r="U343" s="933"/>
      <c r="V343" s="933"/>
      <c r="W343" s="933"/>
      <c r="X343" s="933"/>
      <c r="Y343" s="933"/>
      <c r="Z343" s="933"/>
      <c r="AA343" s="933"/>
      <c r="AB343" s="933"/>
      <c r="AC343" s="933"/>
      <c r="AD343" s="933"/>
      <c r="AE343" s="933"/>
      <c r="AF343" s="933"/>
      <c r="AG343" s="933"/>
      <c r="AH343" s="933"/>
      <c r="AI343" s="933"/>
      <c r="AJ343" s="933"/>
      <c r="AK343" s="933"/>
      <c r="AL343" s="933"/>
      <c r="AM343" s="933"/>
      <c r="AN343" s="933"/>
      <c r="AO343" s="933"/>
      <c r="AP343" s="933"/>
      <c r="AQ343" s="933"/>
      <c r="AR343" s="933"/>
      <c r="AS343" s="933"/>
      <c r="AT343" s="933"/>
      <c r="AU343" s="860"/>
      <c r="AV343" s="860"/>
      <c r="AW343" s="860"/>
      <c r="AX343" s="860"/>
      <c r="AY343" s="860"/>
      <c r="AZ343" s="860"/>
      <c r="BA343" s="860"/>
      <c r="BB343" s="860"/>
      <c r="BC343" s="860"/>
      <c r="BD343" s="933"/>
      <c r="BE343" s="933"/>
      <c r="BF343" s="933"/>
      <c r="BG343" s="933"/>
      <c r="BH343" s="933"/>
      <c r="BI343" s="933"/>
      <c r="BJ343" s="933"/>
      <c r="BK343" s="933"/>
      <c r="BL343" s="933"/>
      <c r="BM343" s="933"/>
      <c r="BN343" s="933"/>
      <c r="BO343" s="933"/>
      <c r="BP343" s="933"/>
      <c r="BQ343" s="933"/>
      <c r="BR343" s="933"/>
      <c r="BS343" s="933"/>
      <c r="BT343" s="933"/>
      <c r="BU343" s="933"/>
      <c r="BV343" s="933"/>
      <c r="BW343" s="933"/>
      <c r="BX343" s="933"/>
      <c r="BY343" s="933"/>
      <c r="BZ343" s="933"/>
      <c r="CA343" s="933"/>
      <c r="CB343" s="933"/>
      <c r="CC343" s="933"/>
      <c r="CD343" s="933"/>
      <c r="CE343" s="933"/>
      <c r="CF343" s="933"/>
    </row>
    <row r="344" spans="1:84" s="857" customFormat="1" ht="18" customHeight="1" x14ac:dyDescent="0.25">
      <c r="A344" s="887"/>
      <c r="B344" s="856"/>
      <c r="C344" s="946"/>
      <c r="D344" s="947"/>
      <c r="E344" s="933"/>
      <c r="F344" s="933"/>
      <c r="G344" s="933"/>
      <c r="H344" s="933"/>
      <c r="I344" s="933"/>
      <c r="J344" s="933"/>
      <c r="K344" s="933"/>
      <c r="L344" s="933"/>
      <c r="M344" s="933"/>
      <c r="N344" s="933"/>
      <c r="U344" s="933"/>
      <c r="V344" s="933"/>
      <c r="W344" s="933"/>
      <c r="X344" s="933"/>
      <c r="Y344" s="933"/>
      <c r="Z344" s="933"/>
      <c r="AA344" s="933"/>
      <c r="AB344" s="933"/>
      <c r="AC344" s="933"/>
      <c r="AD344" s="933"/>
      <c r="AE344" s="933"/>
      <c r="AF344" s="933"/>
      <c r="AG344" s="933"/>
      <c r="AH344" s="933"/>
      <c r="AI344" s="933"/>
      <c r="AJ344" s="933"/>
      <c r="AK344" s="933"/>
      <c r="AL344" s="933"/>
      <c r="AM344" s="933"/>
      <c r="AN344" s="933"/>
      <c r="AO344" s="933"/>
      <c r="AP344" s="933"/>
      <c r="AQ344" s="933"/>
      <c r="AR344" s="933"/>
      <c r="AS344" s="933"/>
      <c r="AT344" s="933"/>
      <c r="AU344" s="860"/>
      <c r="AV344" s="860"/>
      <c r="AW344" s="860"/>
      <c r="AX344" s="860"/>
      <c r="AY344" s="860"/>
      <c r="AZ344" s="860"/>
      <c r="BA344" s="860"/>
      <c r="BB344" s="860"/>
      <c r="BC344" s="860"/>
      <c r="BD344" s="933"/>
      <c r="BE344" s="933"/>
      <c r="BF344" s="933"/>
      <c r="BG344" s="933"/>
      <c r="BH344" s="933"/>
      <c r="BI344" s="933"/>
      <c r="BJ344" s="933"/>
      <c r="BK344" s="933"/>
      <c r="BL344" s="933"/>
      <c r="BM344" s="933"/>
      <c r="BN344" s="933"/>
      <c r="BO344" s="933"/>
      <c r="BP344" s="933"/>
      <c r="BQ344" s="933"/>
      <c r="BR344" s="933"/>
      <c r="BS344" s="933"/>
      <c r="BT344" s="933"/>
      <c r="BU344" s="933"/>
      <c r="BV344" s="933"/>
      <c r="BW344" s="933"/>
      <c r="BX344" s="933"/>
      <c r="BY344" s="933"/>
      <c r="BZ344" s="933"/>
      <c r="CA344" s="933"/>
      <c r="CB344" s="933"/>
      <c r="CC344" s="933"/>
      <c r="CD344" s="933"/>
      <c r="CE344" s="933"/>
      <c r="CF344" s="933"/>
    </row>
    <row r="345" spans="1:84" s="857" customFormat="1" ht="36" customHeight="1" x14ac:dyDescent="0.25">
      <c r="A345" s="887"/>
      <c r="B345" s="856"/>
      <c r="C345" s="946"/>
      <c r="D345" s="947"/>
      <c r="E345" s="933"/>
      <c r="F345" s="933"/>
      <c r="G345" s="933"/>
      <c r="H345" s="933"/>
      <c r="I345" s="933"/>
      <c r="J345" s="933"/>
      <c r="K345" s="933"/>
      <c r="L345" s="933"/>
      <c r="M345" s="933"/>
      <c r="N345" s="933"/>
      <c r="U345" s="933"/>
      <c r="V345" s="933"/>
      <c r="W345" s="933"/>
      <c r="X345" s="933"/>
      <c r="Y345" s="933"/>
      <c r="Z345" s="933"/>
      <c r="AA345" s="933"/>
      <c r="AB345" s="933"/>
      <c r="AC345" s="933"/>
      <c r="AD345" s="933"/>
      <c r="AE345" s="933"/>
      <c r="AF345" s="933"/>
      <c r="AG345" s="933"/>
      <c r="AH345" s="933"/>
      <c r="AI345" s="933"/>
      <c r="AJ345" s="933"/>
      <c r="AK345" s="933"/>
      <c r="AL345" s="933"/>
      <c r="AM345" s="933"/>
      <c r="AN345" s="933"/>
      <c r="AO345" s="933"/>
      <c r="AP345" s="933"/>
      <c r="AQ345" s="933"/>
      <c r="AR345" s="933"/>
      <c r="AS345" s="933"/>
      <c r="AT345" s="933"/>
      <c r="AU345" s="860"/>
      <c r="AV345" s="860"/>
      <c r="AW345" s="860"/>
      <c r="AX345" s="860"/>
      <c r="AY345" s="860"/>
      <c r="AZ345" s="860"/>
      <c r="BA345" s="860"/>
      <c r="BB345" s="860"/>
      <c r="BC345" s="860"/>
      <c r="BD345" s="933"/>
      <c r="BE345" s="933"/>
      <c r="BF345" s="933"/>
      <c r="BG345" s="933"/>
      <c r="BH345" s="933"/>
      <c r="BI345" s="933"/>
      <c r="BJ345" s="933"/>
      <c r="BK345" s="933"/>
      <c r="BL345" s="933"/>
      <c r="BM345" s="933"/>
      <c r="BN345" s="933"/>
      <c r="BO345" s="933"/>
      <c r="BP345" s="933"/>
      <c r="BQ345" s="933"/>
      <c r="BR345" s="933"/>
      <c r="BS345" s="933"/>
      <c r="BT345" s="933"/>
      <c r="BU345" s="933"/>
      <c r="BV345" s="933"/>
      <c r="BW345" s="933"/>
      <c r="BX345" s="933"/>
      <c r="BY345" s="933"/>
      <c r="BZ345" s="933"/>
      <c r="CA345" s="933"/>
      <c r="CB345" s="933"/>
      <c r="CC345" s="933"/>
      <c r="CD345" s="933"/>
      <c r="CE345" s="933"/>
      <c r="CF345" s="933"/>
    </row>
    <row r="346" spans="1:84" s="857" customFormat="1" ht="18" customHeight="1" x14ac:dyDescent="0.25">
      <c r="A346" s="887"/>
      <c r="B346" s="856"/>
      <c r="C346" s="946"/>
      <c r="D346" s="947"/>
      <c r="E346" s="933"/>
      <c r="F346" s="933"/>
      <c r="G346" s="933"/>
      <c r="H346" s="933"/>
      <c r="I346" s="933"/>
      <c r="J346" s="933"/>
      <c r="K346" s="933"/>
      <c r="L346" s="933"/>
      <c r="M346" s="933"/>
      <c r="N346" s="933"/>
      <c r="U346" s="933"/>
      <c r="V346" s="933"/>
      <c r="W346" s="933"/>
      <c r="X346" s="933"/>
      <c r="Y346" s="933"/>
      <c r="Z346" s="933"/>
      <c r="AA346" s="933"/>
      <c r="AB346" s="933"/>
      <c r="AC346" s="933"/>
      <c r="AD346" s="933"/>
      <c r="AE346" s="933"/>
      <c r="AF346" s="933"/>
      <c r="AG346" s="933"/>
      <c r="AH346" s="933"/>
      <c r="AI346" s="933"/>
      <c r="AJ346" s="933"/>
      <c r="AK346" s="933"/>
      <c r="AL346" s="933"/>
      <c r="AM346" s="933"/>
      <c r="AN346" s="933"/>
      <c r="AO346" s="933"/>
      <c r="AP346" s="933"/>
      <c r="AQ346" s="933"/>
      <c r="AR346" s="933"/>
      <c r="AS346" s="933"/>
      <c r="AT346" s="933"/>
      <c r="AU346" s="860"/>
      <c r="AV346" s="860"/>
      <c r="AW346" s="860"/>
      <c r="AX346" s="860"/>
      <c r="AY346" s="860"/>
      <c r="AZ346" s="860"/>
      <c r="BA346" s="860"/>
      <c r="BB346" s="860"/>
      <c r="BC346" s="860"/>
      <c r="BD346" s="933"/>
      <c r="BE346" s="933"/>
      <c r="BF346" s="933"/>
      <c r="BG346" s="933"/>
      <c r="BH346" s="933"/>
      <c r="BI346" s="933"/>
      <c r="BJ346" s="933"/>
      <c r="BK346" s="933"/>
      <c r="BL346" s="933"/>
      <c r="BM346" s="933"/>
      <c r="BN346" s="933"/>
      <c r="BO346" s="933"/>
      <c r="BP346" s="933"/>
      <c r="BQ346" s="933"/>
      <c r="BR346" s="933"/>
      <c r="BS346" s="933"/>
      <c r="BT346" s="933"/>
      <c r="BU346" s="933"/>
      <c r="BV346" s="933"/>
      <c r="BW346" s="933"/>
      <c r="BX346" s="933"/>
      <c r="BY346" s="933"/>
      <c r="BZ346" s="933"/>
      <c r="CA346" s="933"/>
      <c r="CB346" s="933"/>
      <c r="CC346" s="933"/>
      <c r="CD346" s="933"/>
      <c r="CE346" s="933"/>
      <c r="CF346" s="933"/>
    </row>
    <row r="347" spans="1:84" s="857" customFormat="1" ht="18" customHeight="1" x14ac:dyDescent="0.25">
      <c r="A347" s="887"/>
      <c r="B347" s="856"/>
      <c r="C347" s="946"/>
      <c r="D347" s="947"/>
      <c r="E347" s="933"/>
      <c r="F347" s="933"/>
      <c r="G347" s="933"/>
      <c r="H347" s="933"/>
      <c r="I347" s="933"/>
      <c r="J347" s="933"/>
      <c r="K347" s="933"/>
      <c r="L347" s="933"/>
      <c r="M347" s="933"/>
      <c r="N347" s="933"/>
      <c r="U347" s="933"/>
      <c r="V347" s="933"/>
      <c r="W347" s="933"/>
      <c r="X347" s="933"/>
      <c r="Y347" s="933"/>
      <c r="Z347" s="933"/>
      <c r="AA347" s="933"/>
      <c r="AB347" s="933"/>
      <c r="AC347" s="933"/>
      <c r="AD347" s="933"/>
      <c r="AE347" s="933"/>
      <c r="AF347" s="933"/>
      <c r="AG347" s="933"/>
      <c r="AH347" s="933"/>
      <c r="AI347" s="933"/>
      <c r="AJ347" s="933"/>
      <c r="AK347" s="933"/>
      <c r="AL347" s="933"/>
      <c r="AM347" s="933"/>
      <c r="AN347" s="933"/>
      <c r="AO347" s="933"/>
      <c r="AP347" s="933"/>
      <c r="AQ347" s="933"/>
      <c r="AR347" s="933"/>
      <c r="AS347" s="933"/>
      <c r="AT347" s="933"/>
      <c r="AU347" s="860"/>
      <c r="AV347" s="860"/>
      <c r="AW347" s="860"/>
      <c r="AX347" s="860"/>
      <c r="AY347" s="860"/>
      <c r="AZ347" s="860"/>
      <c r="BA347" s="860"/>
      <c r="BB347" s="860"/>
      <c r="BC347" s="860"/>
      <c r="BD347" s="933"/>
      <c r="BE347" s="933"/>
      <c r="BF347" s="933"/>
      <c r="BG347" s="933"/>
      <c r="BH347" s="933"/>
      <c r="BI347" s="933"/>
      <c r="BJ347" s="933"/>
      <c r="BK347" s="933"/>
      <c r="BL347" s="933"/>
      <c r="BM347" s="933"/>
      <c r="BN347" s="933"/>
      <c r="BO347" s="933"/>
      <c r="BP347" s="933"/>
      <c r="BQ347" s="933"/>
      <c r="BR347" s="933"/>
      <c r="BS347" s="933"/>
      <c r="BT347" s="933"/>
      <c r="BU347" s="933"/>
      <c r="BV347" s="933"/>
      <c r="BW347" s="933"/>
      <c r="BX347" s="933"/>
      <c r="BY347" s="933"/>
      <c r="BZ347" s="933"/>
      <c r="CA347" s="933"/>
      <c r="CB347" s="933"/>
      <c r="CC347" s="933"/>
      <c r="CD347" s="933"/>
      <c r="CE347" s="933"/>
      <c r="CF347" s="933"/>
    </row>
    <row r="348" spans="1:84" s="857" customFormat="1" ht="18" customHeight="1" x14ac:dyDescent="0.25">
      <c r="A348" s="887"/>
      <c r="B348" s="856"/>
      <c r="C348" s="946"/>
      <c r="D348" s="947"/>
      <c r="E348" s="933"/>
      <c r="F348" s="933"/>
      <c r="G348" s="933"/>
      <c r="H348" s="933"/>
      <c r="I348" s="933"/>
      <c r="J348" s="933"/>
      <c r="K348" s="933"/>
      <c r="L348" s="933"/>
      <c r="M348" s="933"/>
      <c r="N348" s="933"/>
      <c r="U348" s="933"/>
      <c r="V348" s="933"/>
      <c r="W348" s="933"/>
      <c r="X348" s="933"/>
      <c r="Y348" s="933"/>
      <c r="Z348" s="933"/>
      <c r="AA348" s="933"/>
      <c r="AB348" s="933"/>
      <c r="AC348" s="933"/>
      <c r="AD348" s="933"/>
      <c r="AE348" s="933"/>
      <c r="AF348" s="933"/>
      <c r="AG348" s="933"/>
      <c r="AH348" s="933"/>
      <c r="AI348" s="933"/>
      <c r="AJ348" s="933"/>
      <c r="AK348" s="933"/>
      <c r="AL348" s="933"/>
      <c r="AM348" s="933"/>
      <c r="AN348" s="933"/>
      <c r="AO348" s="933"/>
      <c r="AP348" s="933"/>
      <c r="AQ348" s="933"/>
      <c r="AR348" s="933"/>
      <c r="AS348" s="933"/>
      <c r="AT348" s="933"/>
      <c r="AU348" s="860"/>
      <c r="AV348" s="860"/>
      <c r="AW348" s="860"/>
      <c r="AX348" s="860"/>
      <c r="AY348" s="860"/>
      <c r="AZ348" s="860"/>
      <c r="BA348" s="860"/>
      <c r="BB348" s="860"/>
      <c r="BC348" s="860"/>
      <c r="BD348" s="933"/>
      <c r="BE348" s="933"/>
      <c r="BF348" s="933"/>
      <c r="BG348" s="933"/>
      <c r="BH348" s="933"/>
      <c r="BI348" s="933"/>
      <c r="BJ348" s="933"/>
      <c r="BK348" s="933"/>
      <c r="BL348" s="933"/>
      <c r="BM348" s="933"/>
      <c r="BN348" s="933"/>
      <c r="BO348" s="933"/>
      <c r="BP348" s="933"/>
      <c r="BQ348" s="933"/>
      <c r="BR348" s="933"/>
      <c r="BS348" s="933"/>
      <c r="BT348" s="933"/>
      <c r="BU348" s="933"/>
      <c r="BV348" s="933"/>
      <c r="BW348" s="933"/>
      <c r="BX348" s="933"/>
      <c r="BY348" s="933"/>
      <c r="BZ348" s="933"/>
      <c r="CA348" s="933"/>
      <c r="CB348" s="933"/>
      <c r="CC348" s="933"/>
      <c r="CD348" s="933"/>
      <c r="CE348" s="933"/>
      <c r="CF348" s="933"/>
    </row>
    <row r="349" spans="1:84" s="857" customFormat="1" ht="18" customHeight="1" x14ac:dyDescent="0.25">
      <c r="A349" s="887"/>
      <c r="B349" s="856"/>
      <c r="C349" s="946"/>
      <c r="D349" s="947"/>
      <c r="E349" s="933"/>
      <c r="F349" s="933"/>
      <c r="G349" s="933"/>
      <c r="H349" s="933"/>
      <c r="I349" s="933"/>
      <c r="J349" s="933"/>
      <c r="K349" s="933"/>
      <c r="L349" s="933"/>
      <c r="M349" s="933"/>
      <c r="N349" s="933"/>
      <c r="U349" s="933"/>
      <c r="V349" s="933"/>
      <c r="W349" s="933"/>
      <c r="X349" s="933"/>
      <c r="Y349" s="933"/>
      <c r="Z349" s="933"/>
      <c r="AA349" s="933"/>
      <c r="AB349" s="933"/>
      <c r="AC349" s="933"/>
      <c r="AD349" s="933"/>
      <c r="AE349" s="933"/>
      <c r="AF349" s="933"/>
      <c r="AG349" s="933"/>
      <c r="AH349" s="933"/>
      <c r="AI349" s="933"/>
      <c r="AJ349" s="933"/>
      <c r="AK349" s="933"/>
      <c r="AL349" s="933"/>
      <c r="AM349" s="933"/>
      <c r="AN349" s="933"/>
      <c r="AO349" s="933"/>
      <c r="AP349" s="933"/>
      <c r="AQ349" s="933"/>
      <c r="AR349" s="933"/>
      <c r="AS349" s="933"/>
      <c r="AT349" s="933"/>
      <c r="AU349" s="860"/>
      <c r="AV349" s="860"/>
      <c r="AW349" s="860"/>
      <c r="AX349" s="860"/>
      <c r="AY349" s="860"/>
      <c r="AZ349" s="860"/>
      <c r="BA349" s="860"/>
      <c r="BB349" s="860"/>
      <c r="BC349" s="860"/>
      <c r="BD349" s="933"/>
      <c r="BE349" s="933"/>
      <c r="BF349" s="933"/>
      <c r="BG349" s="933"/>
      <c r="BH349" s="933"/>
      <c r="BI349" s="933"/>
      <c r="BJ349" s="933"/>
      <c r="BK349" s="933"/>
      <c r="BL349" s="933"/>
      <c r="BM349" s="933"/>
      <c r="BN349" s="933"/>
      <c r="BO349" s="933"/>
      <c r="BP349" s="933"/>
      <c r="BQ349" s="933"/>
      <c r="BR349" s="933"/>
      <c r="BS349" s="933"/>
      <c r="BT349" s="933"/>
      <c r="BU349" s="933"/>
      <c r="BV349" s="933"/>
      <c r="BW349" s="933"/>
      <c r="BX349" s="933"/>
      <c r="BY349" s="933"/>
      <c r="BZ349" s="933"/>
      <c r="CA349" s="933"/>
      <c r="CB349" s="933"/>
      <c r="CC349" s="933"/>
      <c r="CD349" s="933"/>
      <c r="CE349" s="933"/>
      <c r="CF349" s="933"/>
    </row>
    <row r="350" spans="1:84" s="857" customFormat="1" ht="18" customHeight="1" x14ac:dyDescent="0.25">
      <c r="A350" s="887"/>
      <c r="B350" s="856"/>
      <c r="C350" s="946"/>
      <c r="D350" s="947"/>
      <c r="E350" s="933"/>
      <c r="F350" s="933"/>
      <c r="G350" s="933"/>
      <c r="H350" s="933"/>
      <c r="I350" s="933"/>
      <c r="J350" s="933"/>
      <c r="K350" s="933"/>
      <c r="L350" s="933"/>
      <c r="M350" s="933"/>
      <c r="N350" s="933"/>
      <c r="U350" s="933"/>
      <c r="V350" s="933"/>
      <c r="W350" s="933"/>
      <c r="X350" s="933"/>
      <c r="Y350" s="933"/>
      <c r="Z350" s="933"/>
      <c r="AA350" s="933"/>
      <c r="AB350" s="933"/>
      <c r="AC350" s="933"/>
      <c r="AD350" s="933"/>
      <c r="AE350" s="933"/>
      <c r="AF350" s="933"/>
      <c r="AG350" s="933"/>
      <c r="AH350" s="933"/>
      <c r="AI350" s="933"/>
      <c r="AJ350" s="933"/>
      <c r="AK350" s="933"/>
      <c r="AL350" s="933"/>
      <c r="AM350" s="933"/>
      <c r="AN350" s="933"/>
      <c r="AO350" s="933"/>
      <c r="AP350" s="933"/>
      <c r="AQ350" s="933"/>
      <c r="AR350" s="933"/>
      <c r="AS350" s="933"/>
      <c r="AT350" s="933"/>
      <c r="AU350" s="860"/>
      <c r="AV350" s="860"/>
      <c r="AW350" s="860"/>
      <c r="AX350" s="860"/>
      <c r="AY350" s="860"/>
      <c r="AZ350" s="860"/>
      <c r="BA350" s="860"/>
      <c r="BB350" s="860"/>
      <c r="BC350" s="860"/>
      <c r="BD350" s="933"/>
      <c r="BE350" s="933"/>
      <c r="BF350" s="933"/>
      <c r="BG350" s="933"/>
      <c r="BH350" s="933"/>
      <c r="BI350" s="933"/>
      <c r="BJ350" s="933"/>
      <c r="BK350" s="933"/>
      <c r="BL350" s="933"/>
      <c r="BM350" s="933"/>
      <c r="BN350" s="933"/>
      <c r="BO350" s="933"/>
      <c r="BP350" s="933"/>
      <c r="BQ350" s="933"/>
      <c r="BR350" s="933"/>
      <c r="BS350" s="933"/>
      <c r="BT350" s="933"/>
      <c r="BU350" s="933"/>
      <c r="BV350" s="933"/>
      <c r="BW350" s="933"/>
      <c r="BX350" s="933"/>
      <c r="BY350" s="933"/>
      <c r="BZ350" s="933"/>
      <c r="CA350" s="933"/>
      <c r="CB350" s="933"/>
      <c r="CC350" s="933"/>
      <c r="CD350" s="933"/>
      <c r="CE350" s="933"/>
      <c r="CF350" s="933"/>
    </row>
    <row r="351" spans="1:84" s="857" customFormat="1" ht="18" customHeight="1" x14ac:dyDescent="0.25">
      <c r="A351" s="887"/>
      <c r="B351" s="856"/>
      <c r="C351" s="946"/>
      <c r="D351" s="947"/>
      <c r="E351" s="933"/>
      <c r="F351" s="933"/>
      <c r="G351" s="933"/>
      <c r="H351" s="933"/>
      <c r="I351" s="933"/>
      <c r="J351" s="933"/>
      <c r="K351" s="933"/>
      <c r="L351" s="933"/>
      <c r="M351" s="933"/>
      <c r="N351" s="933"/>
      <c r="U351" s="933"/>
      <c r="V351" s="933"/>
      <c r="W351" s="933"/>
      <c r="X351" s="933"/>
      <c r="Y351" s="933"/>
      <c r="Z351" s="933"/>
      <c r="AA351" s="933"/>
      <c r="AB351" s="933"/>
      <c r="AC351" s="933"/>
      <c r="AD351" s="933"/>
      <c r="AE351" s="933"/>
      <c r="AF351" s="933"/>
      <c r="AG351" s="933"/>
      <c r="AH351" s="933"/>
      <c r="AI351" s="933"/>
      <c r="AJ351" s="933"/>
      <c r="AK351" s="933"/>
      <c r="AL351" s="933"/>
      <c r="AM351" s="933"/>
      <c r="AN351" s="933"/>
      <c r="AO351" s="933"/>
      <c r="AP351" s="933"/>
      <c r="AQ351" s="933"/>
      <c r="AR351" s="933"/>
      <c r="AS351" s="933"/>
      <c r="AT351" s="933"/>
      <c r="AU351" s="860"/>
      <c r="AV351" s="860"/>
      <c r="AW351" s="860"/>
      <c r="AX351" s="860"/>
      <c r="AY351" s="860"/>
      <c r="AZ351" s="860"/>
      <c r="BA351" s="860"/>
      <c r="BB351" s="860"/>
      <c r="BC351" s="860"/>
      <c r="BD351" s="933"/>
      <c r="BE351" s="933"/>
      <c r="BF351" s="933"/>
      <c r="BG351" s="933"/>
      <c r="BH351" s="933"/>
      <c r="BI351" s="933"/>
      <c r="BJ351" s="933"/>
      <c r="BK351" s="933"/>
      <c r="BL351" s="933"/>
      <c r="BM351" s="933"/>
      <c r="BN351" s="933"/>
      <c r="BO351" s="933"/>
      <c r="BP351" s="933"/>
      <c r="BQ351" s="933"/>
      <c r="BR351" s="933"/>
      <c r="BS351" s="933"/>
      <c r="BT351" s="933"/>
      <c r="BU351" s="933"/>
      <c r="BV351" s="933"/>
      <c r="BW351" s="933"/>
      <c r="BX351" s="933"/>
      <c r="BY351" s="933"/>
      <c r="BZ351" s="933"/>
      <c r="CA351" s="933"/>
      <c r="CB351" s="933"/>
      <c r="CC351" s="933"/>
      <c r="CD351" s="933"/>
      <c r="CE351" s="933"/>
      <c r="CF351" s="933"/>
    </row>
    <row r="352" spans="1:84" s="857" customFormat="1" ht="18" customHeight="1" x14ac:dyDescent="0.25">
      <c r="A352" s="887"/>
      <c r="B352" s="856"/>
      <c r="C352" s="946"/>
      <c r="D352" s="947"/>
      <c r="E352" s="933"/>
      <c r="F352" s="933"/>
      <c r="G352" s="933"/>
      <c r="H352" s="933"/>
      <c r="I352" s="933"/>
      <c r="J352" s="933"/>
      <c r="K352" s="933"/>
      <c r="L352" s="933"/>
      <c r="M352" s="933"/>
      <c r="N352" s="933"/>
      <c r="U352" s="933"/>
      <c r="V352" s="933"/>
      <c r="W352" s="933"/>
      <c r="X352" s="933"/>
      <c r="Y352" s="933"/>
      <c r="Z352" s="933"/>
      <c r="AA352" s="933"/>
      <c r="AB352" s="933"/>
      <c r="AC352" s="933"/>
      <c r="AD352" s="933"/>
      <c r="AE352" s="933"/>
      <c r="AF352" s="933"/>
      <c r="AG352" s="933"/>
      <c r="AH352" s="933"/>
      <c r="AI352" s="933"/>
      <c r="AJ352" s="933"/>
      <c r="AK352" s="933"/>
      <c r="AL352" s="933"/>
      <c r="AM352" s="933"/>
      <c r="AN352" s="933"/>
      <c r="AO352" s="933"/>
      <c r="AP352" s="933"/>
      <c r="AQ352" s="933"/>
      <c r="AR352" s="933"/>
      <c r="AS352" s="933"/>
      <c r="AT352" s="933"/>
      <c r="AU352" s="860"/>
      <c r="AV352" s="860"/>
      <c r="AW352" s="860"/>
      <c r="AX352" s="860"/>
      <c r="AY352" s="860"/>
      <c r="AZ352" s="860"/>
      <c r="BA352" s="860"/>
      <c r="BB352" s="860"/>
      <c r="BC352" s="860"/>
      <c r="BD352" s="933"/>
      <c r="BE352" s="933"/>
      <c r="BF352" s="933"/>
      <c r="BG352" s="933"/>
      <c r="BH352" s="933"/>
      <c r="BI352" s="933"/>
      <c r="BJ352" s="933"/>
      <c r="BK352" s="933"/>
      <c r="BL352" s="933"/>
      <c r="BM352" s="933"/>
      <c r="BN352" s="933"/>
      <c r="BO352" s="933"/>
      <c r="BP352" s="933"/>
      <c r="BQ352" s="933"/>
      <c r="BR352" s="933"/>
      <c r="BS352" s="933"/>
      <c r="BT352" s="933"/>
      <c r="BU352" s="933"/>
      <c r="BV352" s="933"/>
      <c r="BW352" s="933"/>
      <c r="BX352" s="933"/>
      <c r="BY352" s="933"/>
      <c r="BZ352" s="933"/>
      <c r="CA352" s="933"/>
      <c r="CB352" s="933"/>
      <c r="CC352" s="933"/>
      <c r="CD352" s="933"/>
      <c r="CE352" s="933"/>
      <c r="CF352" s="933"/>
    </row>
    <row r="353" spans="1:84" s="857" customFormat="1" ht="18" customHeight="1" x14ac:dyDescent="0.25">
      <c r="A353" s="887"/>
      <c r="B353" s="856"/>
      <c r="C353" s="946"/>
      <c r="D353" s="947"/>
      <c r="E353" s="933"/>
      <c r="F353" s="933"/>
      <c r="G353" s="933"/>
      <c r="H353" s="933"/>
      <c r="I353" s="933"/>
      <c r="J353" s="933"/>
      <c r="K353" s="933"/>
      <c r="L353" s="933"/>
      <c r="M353" s="933"/>
      <c r="N353" s="933"/>
      <c r="U353" s="933"/>
      <c r="V353" s="933"/>
      <c r="W353" s="933"/>
      <c r="X353" s="933"/>
      <c r="Y353" s="933"/>
      <c r="Z353" s="933"/>
      <c r="AA353" s="933"/>
      <c r="AB353" s="933"/>
      <c r="AC353" s="933"/>
      <c r="AD353" s="933"/>
      <c r="AE353" s="933"/>
      <c r="AF353" s="933"/>
      <c r="AG353" s="933"/>
      <c r="AH353" s="933"/>
      <c r="AI353" s="933"/>
      <c r="AJ353" s="933"/>
      <c r="AK353" s="933"/>
      <c r="AL353" s="933"/>
      <c r="AM353" s="933"/>
      <c r="AN353" s="933"/>
      <c r="AO353" s="933"/>
      <c r="AP353" s="933"/>
      <c r="AQ353" s="933"/>
      <c r="AR353" s="933"/>
      <c r="AS353" s="933"/>
      <c r="AT353" s="933"/>
      <c r="AU353" s="860"/>
      <c r="AV353" s="860"/>
      <c r="AW353" s="860"/>
      <c r="AX353" s="860"/>
      <c r="AY353" s="860"/>
      <c r="AZ353" s="860"/>
      <c r="BA353" s="860"/>
      <c r="BB353" s="860"/>
      <c r="BC353" s="860"/>
      <c r="BD353" s="933"/>
      <c r="BE353" s="933"/>
      <c r="BF353" s="933"/>
      <c r="BG353" s="933"/>
      <c r="BH353" s="933"/>
      <c r="BI353" s="933"/>
      <c r="BJ353" s="933"/>
      <c r="BK353" s="933"/>
      <c r="BL353" s="933"/>
      <c r="BM353" s="933"/>
      <c r="BN353" s="933"/>
      <c r="BO353" s="933"/>
      <c r="BP353" s="933"/>
      <c r="BQ353" s="933"/>
      <c r="BR353" s="933"/>
      <c r="BS353" s="933"/>
      <c r="BT353" s="933"/>
      <c r="BU353" s="933"/>
      <c r="BV353" s="933"/>
      <c r="BW353" s="933"/>
      <c r="BX353" s="933"/>
      <c r="BY353" s="933"/>
      <c r="BZ353" s="933"/>
      <c r="CA353" s="933"/>
      <c r="CB353" s="933"/>
      <c r="CC353" s="933"/>
      <c r="CD353" s="933"/>
      <c r="CE353" s="933"/>
      <c r="CF353" s="933"/>
    </row>
    <row r="354" spans="1:84" s="887" customFormat="1" ht="18" customHeight="1" x14ac:dyDescent="0.25">
      <c r="B354" s="856"/>
      <c r="C354" s="946"/>
      <c r="D354" s="947"/>
      <c r="E354" s="933"/>
      <c r="F354" s="933"/>
      <c r="G354" s="933"/>
      <c r="H354" s="933"/>
      <c r="I354" s="933"/>
      <c r="J354" s="933"/>
      <c r="K354" s="933"/>
      <c r="L354" s="933"/>
      <c r="M354" s="933"/>
      <c r="N354" s="933"/>
      <c r="O354" s="857"/>
      <c r="P354" s="857"/>
      <c r="Q354" s="857"/>
      <c r="R354" s="857"/>
      <c r="S354" s="857"/>
      <c r="T354" s="857"/>
      <c r="U354" s="933"/>
      <c r="V354" s="933"/>
      <c r="W354" s="933"/>
      <c r="X354" s="933"/>
      <c r="Y354" s="933"/>
      <c r="Z354" s="933"/>
      <c r="AA354" s="933"/>
      <c r="AB354" s="933"/>
      <c r="AC354" s="933"/>
      <c r="AD354" s="933"/>
      <c r="AE354" s="933"/>
      <c r="AF354" s="933"/>
      <c r="AG354" s="933"/>
      <c r="AH354" s="933"/>
      <c r="AI354" s="933"/>
      <c r="AJ354" s="933"/>
      <c r="AK354" s="933"/>
      <c r="AL354" s="933"/>
      <c r="AM354" s="933"/>
      <c r="AN354" s="933"/>
      <c r="AO354" s="933"/>
      <c r="AP354" s="933"/>
      <c r="AQ354" s="933"/>
      <c r="AR354" s="933"/>
      <c r="AS354" s="933"/>
      <c r="AT354" s="933"/>
      <c r="AU354" s="860"/>
      <c r="AV354" s="860"/>
      <c r="AW354" s="860"/>
      <c r="AX354" s="860"/>
      <c r="AY354" s="860"/>
      <c r="AZ354" s="860"/>
      <c r="BA354" s="860"/>
      <c r="BB354" s="860"/>
      <c r="BC354" s="860"/>
      <c r="BD354" s="933"/>
      <c r="BE354" s="933"/>
      <c r="BF354" s="933"/>
      <c r="BG354" s="933"/>
      <c r="BH354" s="933"/>
      <c r="BI354" s="933"/>
      <c r="BJ354" s="933"/>
      <c r="BK354" s="933"/>
      <c r="BL354" s="933"/>
      <c r="BM354" s="933"/>
      <c r="BN354" s="933"/>
      <c r="BO354" s="933"/>
      <c r="BP354" s="933"/>
      <c r="BQ354" s="933"/>
      <c r="BR354" s="933"/>
      <c r="BS354" s="933"/>
      <c r="BT354" s="933"/>
      <c r="BU354" s="933"/>
      <c r="BV354" s="933"/>
      <c r="BW354" s="933"/>
      <c r="BX354" s="933"/>
      <c r="BY354" s="933"/>
      <c r="BZ354" s="933"/>
      <c r="CA354" s="933"/>
      <c r="CB354" s="933"/>
      <c r="CC354" s="933"/>
      <c r="CD354" s="933"/>
      <c r="CE354" s="933"/>
      <c r="CF354" s="933"/>
    </row>
    <row r="355" spans="1:84" s="887" customFormat="1" ht="18" customHeight="1" x14ac:dyDescent="0.25">
      <c r="B355" s="856"/>
      <c r="C355" s="946"/>
      <c r="D355" s="947"/>
      <c r="E355" s="933"/>
      <c r="F355" s="933"/>
      <c r="G355" s="933"/>
      <c r="H355" s="933"/>
      <c r="I355" s="933"/>
      <c r="J355" s="933"/>
      <c r="K355" s="933"/>
      <c r="L355" s="933"/>
      <c r="M355" s="933"/>
      <c r="N355" s="933"/>
      <c r="O355" s="857"/>
      <c r="P355" s="857"/>
      <c r="Q355" s="857"/>
      <c r="R355" s="857"/>
      <c r="S355" s="857"/>
      <c r="T355" s="857"/>
      <c r="U355" s="933"/>
      <c r="V355" s="933"/>
      <c r="W355" s="933"/>
      <c r="X355" s="933"/>
      <c r="Y355" s="933"/>
      <c r="Z355" s="933"/>
      <c r="AA355" s="933"/>
      <c r="AB355" s="933"/>
      <c r="AC355" s="933"/>
      <c r="AD355" s="933"/>
      <c r="AE355" s="933"/>
      <c r="AF355" s="933"/>
      <c r="AG355" s="933"/>
      <c r="AH355" s="933"/>
      <c r="AI355" s="933"/>
      <c r="AJ355" s="933"/>
      <c r="AK355" s="933"/>
      <c r="AL355" s="933"/>
      <c r="AM355" s="933"/>
      <c r="AN355" s="933"/>
      <c r="AO355" s="933"/>
      <c r="AP355" s="933"/>
      <c r="AQ355" s="933"/>
      <c r="AR355" s="933"/>
      <c r="AS355" s="933"/>
      <c r="AT355" s="933"/>
      <c r="AU355" s="860"/>
      <c r="AV355" s="860"/>
      <c r="AW355" s="860"/>
      <c r="AX355" s="860"/>
      <c r="AY355" s="860"/>
      <c r="AZ355" s="860"/>
      <c r="BA355" s="860"/>
      <c r="BB355" s="860"/>
      <c r="BC355" s="860"/>
      <c r="BD355" s="933"/>
      <c r="BE355" s="933"/>
      <c r="BF355" s="933"/>
      <c r="BG355" s="933"/>
      <c r="BH355" s="933"/>
      <c r="BI355" s="933"/>
      <c r="BJ355" s="933"/>
      <c r="BK355" s="933"/>
      <c r="BL355" s="933"/>
      <c r="BM355" s="933"/>
      <c r="BN355" s="933"/>
      <c r="BO355" s="933"/>
      <c r="BP355" s="933"/>
      <c r="BQ355" s="933"/>
      <c r="BR355" s="933"/>
      <c r="BS355" s="933"/>
      <c r="BT355" s="933"/>
      <c r="BU355" s="933"/>
      <c r="BV355" s="933"/>
      <c r="BW355" s="933"/>
      <c r="BX355" s="933"/>
      <c r="BY355" s="933"/>
      <c r="BZ355" s="933"/>
      <c r="CA355" s="933"/>
      <c r="CB355" s="933"/>
      <c r="CC355" s="933"/>
      <c r="CD355" s="933"/>
      <c r="CE355" s="933"/>
      <c r="CF355" s="933"/>
    </row>
    <row r="356" spans="1:84" s="887" customFormat="1" ht="18" customHeight="1" x14ac:dyDescent="0.25">
      <c r="B356" s="856"/>
      <c r="C356" s="946"/>
      <c r="D356" s="947"/>
      <c r="E356" s="933"/>
      <c r="F356" s="933"/>
      <c r="G356" s="933"/>
      <c r="H356" s="933"/>
      <c r="I356" s="933"/>
      <c r="J356" s="933"/>
      <c r="K356" s="933"/>
      <c r="L356" s="933"/>
      <c r="M356" s="933"/>
      <c r="N356" s="933"/>
      <c r="O356" s="857"/>
      <c r="P356" s="857"/>
      <c r="Q356" s="857"/>
      <c r="R356" s="857"/>
      <c r="S356" s="857"/>
      <c r="T356" s="857"/>
      <c r="U356" s="933"/>
      <c r="V356" s="933"/>
      <c r="W356" s="933"/>
      <c r="X356" s="933"/>
      <c r="Y356" s="933"/>
      <c r="Z356" s="933"/>
      <c r="AA356" s="933"/>
      <c r="AB356" s="933"/>
      <c r="AC356" s="933"/>
      <c r="AD356" s="933"/>
      <c r="AE356" s="933"/>
      <c r="AF356" s="933"/>
      <c r="AG356" s="933"/>
      <c r="AH356" s="933"/>
      <c r="AI356" s="933"/>
      <c r="AJ356" s="933"/>
      <c r="AK356" s="933"/>
      <c r="AL356" s="933"/>
      <c r="AM356" s="933"/>
      <c r="AN356" s="933"/>
      <c r="AO356" s="933"/>
      <c r="AP356" s="933"/>
      <c r="AQ356" s="933"/>
      <c r="AR356" s="933"/>
      <c r="AS356" s="933"/>
      <c r="AT356" s="933"/>
      <c r="AU356" s="860"/>
      <c r="AV356" s="860"/>
      <c r="AW356" s="860"/>
      <c r="AX356" s="860"/>
      <c r="AY356" s="860"/>
      <c r="AZ356" s="860"/>
      <c r="BA356" s="860"/>
      <c r="BB356" s="860"/>
      <c r="BC356" s="860"/>
      <c r="BD356" s="933"/>
      <c r="BE356" s="933"/>
      <c r="BF356" s="933"/>
      <c r="BG356" s="933"/>
      <c r="BH356" s="933"/>
      <c r="BI356" s="933"/>
      <c r="BJ356" s="933"/>
      <c r="BK356" s="933"/>
      <c r="BL356" s="933"/>
      <c r="BM356" s="933"/>
      <c r="BN356" s="933"/>
      <c r="BO356" s="933"/>
      <c r="BP356" s="933"/>
      <c r="BQ356" s="933"/>
      <c r="BR356" s="933"/>
      <c r="BS356" s="933"/>
      <c r="BT356" s="933"/>
      <c r="BU356" s="933"/>
      <c r="BV356" s="933"/>
      <c r="BW356" s="933"/>
      <c r="BX356" s="933"/>
      <c r="BY356" s="933"/>
      <c r="BZ356" s="933"/>
      <c r="CA356" s="933"/>
      <c r="CB356" s="933"/>
      <c r="CC356" s="933"/>
      <c r="CD356" s="933"/>
      <c r="CE356" s="933"/>
      <c r="CF356" s="933"/>
    </row>
    <row r="357" spans="1:84" s="887" customFormat="1" ht="18" customHeight="1" x14ac:dyDescent="0.25">
      <c r="B357" s="856"/>
      <c r="C357" s="946"/>
      <c r="D357" s="947"/>
      <c r="E357" s="933"/>
      <c r="F357" s="933"/>
      <c r="G357" s="933"/>
      <c r="H357" s="933"/>
      <c r="I357" s="933"/>
      <c r="J357" s="933"/>
      <c r="K357" s="933"/>
      <c r="L357" s="933"/>
      <c r="M357" s="933"/>
      <c r="N357" s="933"/>
      <c r="O357" s="857"/>
      <c r="P357" s="857"/>
      <c r="Q357" s="857"/>
      <c r="R357" s="857"/>
      <c r="S357" s="857"/>
      <c r="T357" s="857"/>
      <c r="U357" s="933"/>
      <c r="V357" s="933"/>
      <c r="W357" s="933"/>
      <c r="X357" s="933"/>
      <c r="Y357" s="933"/>
      <c r="Z357" s="933"/>
      <c r="AA357" s="933"/>
      <c r="AB357" s="933"/>
      <c r="AC357" s="933"/>
      <c r="AD357" s="933"/>
      <c r="AE357" s="933"/>
      <c r="AF357" s="933"/>
      <c r="AG357" s="933"/>
      <c r="AH357" s="933"/>
      <c r="AI357" s="933"/>
      <c r="AJ357" s="933"/>
      <c r="AK357" s="933"/>
      <c r="AL357" s="933"/>
      <c r="AM357" s="933"/>
      <c r="AN357" s="933"/>
      <c r="AO357" s="933"/>
      <c r="AP357" s="933"/>
      <c r="AQ357" s="933"/>
      <c r="AR357" s="933"/>
      <c r="AS357" s="933"/>
      <c r="AT357" s="933"/>
      <c r="AU357" s="860"/>
      <c r="AV357" s="860"/>
      <c r="AW357" s="860"/>
      <c r="AX357" s="860"/>
      <c r="AY357" s="860"/>
      <c r="AZ357" s="860"/>
      <c r="BA357" s="860"/>
      <c r="BB357" s="860"/>
      <c r="BC357" s="860"/>
      <c r="BD357" s="933"/>
      <c r="BE357" s="933"/>
      <c r="BF357" s="933"/>
      <c r="BG357" s="933"/>
      <c r="BH357" s="933"/>
      <c r="BI357" s="933"/>
      <c r="BJ357" s="933"/>
      <c r="BK357" s="933"/>
      <c r="BL357" s="933"/>
      <c r="BM357" s="933"/>
      <c r="BN357" s="933"/>
      <c r="BO357" s="933"/>
      <c r="BP357" s="933"/>
      <c r="BQ357" s="933"/>
      <c r="BR357" s="933"/>
      <c r="BS357" s="933"/>
      <c r="BT357" s="933"/>
      <c r="BU357" s="933"/>
      <c r="BV357" s="933"/>
      <c r="BW357" s="933"/>
      <c r="BX357" s="933"/>
      <c r="BY357" s="933"/>
      <c r="BZ357" s="933"/>
      <c r="CA357" s="933"/>
      <c r="CB357" s="933"/>
      <c r="CC357" s="933"/>
      <c r="CD357" s="933"/>
      <c r="CE357" s="933"/>
      <c r="CF357" s="933"/>
    </row>
    <row r="358" spans="1:84" s="887" customFormat="1" ht="18" customHeight="1" x14ac:dyDescent="0.25">
      <c r="B358" s="856"/>
      <c r="C358" s="946"/>
      <c r="D358" s="947"/>
      <c r="E358" s="933"/>
      <c r="F358" s="933"/>
      <c r="G358" s="933"/>
      <c r="H358" s="933"/>
      <c r="I358" s="933"/>
      <c r="J358" s="933"/>
      <c r="K358" s="933"/>
      <c r="L358" s="933"/>
      <c r="M358" s="933"/>
      <c r="N358" s="933"/>
      <c r="O358" s="857"/>
      <c r="P358" s="857"/>
      <c r="Q358" s="857"/>
      <c r="R358" s="857"/>
      <c r="S358" s="857"/>
      <c r="T358" s="857"/>
      <c r="U358" s="933"/>
      <c r="V358" s="933"/>
      <c r="W358" s="933"/>
      <c r="X358" s="933"/>
      <c r="Y358" s="933"/>
      <c r="Z358" s="933"/>
      <c r="AA358" s="933"/>
      <c r="AB358" s="933"/>
      <c r="AC358" s="933"/>
      <c r="AD358" s="933"/>
      <c r="AE358" s="933"/>
      <c r="AF358" s="933"/>
      <c r="AG358" s="933"/>
      <c r="AH358" s="933"/>
      <c r="AI358" s="933"/>
      <c r="AJ358" s="933"/>
      <c r="AK358" s="933"/>
      <c r="AL358" s="933"/>
      <c r="AM358" s="933"/>
      <c r="AN358" s="933"/>
      <c r="AO358" s="933"/>
      <c r="AP358" s="933"/>
      <c r="AQ358" s="933"/>
      <c r="AR358" s="933"/>
      <c r="AS358" s="933"/>
      <c r="AT358" s="933"/>
      <c r="AU358" s="860"/>
      <c r="AV358" s="860"/>
      <c r="AW358" s="860"/>
      <c r="AX358" s="860"/>
      <c r="AY358" s="860"/>
      <c r="AZ358" s="860"/>
      <c r="BA358" s="860"/>
      <c r="BB358" s="860"/>
      <c r="BC358" s="860"/>
      <c r="BD358" s="933"/>
      <c r="BE358" s="933"/>
      <c r="BF358" s="933"/>
      <c r="BG358" s="933"/>
      <c r="BH358" s="933"/>
      <c r="BI358" s="933"/>
      <c r="BJ358" s="933"/>
      <c r="BK358" s="933"/>
      <c r="BL358" s="933"/>
      <c r="BM358" s="933"/>
      <c r="BN358" s="933"/>
      <c r="BO358" s="933"/>
      <c r="BP358" s="933"/>
      <c r="BQ358" s="933"/>
      <c r="BR358" s="933"/>
      <c r="BS358" s="933"/>
      <c r="BT358" s="933"/>
      <c r="BU358" s="933"/>
      <c r="BV358" s="933"/>
      <c r="BW358" s="933"/>
      <c r="BX358" s="933"/>
      <c r="BY358" s="933"/>
      <c r="BZ358" s="933"/>
      <c r="CA358" s="933"/>
      <c r="CB358" s="933"/>
      <c r="CC358" s="933"/>
      <c r="CD358" s="933"/>
      <c r="CE358" s="933"/>
      <c r="CF358" s="933"/>
    </row>
    <row r="359" spans="1:84" s="887" customFormat="1" ht="54" customHeight="1" x14ac:dyDescent="0.25">
      <c r="B359" s="856"/>
      <c r="C359" s="946"/>
      <c r="D359" s="947"/>
      <c r="E359" s="933"/>
      <c r="F359" s="933"/>
      <c r="G359" s="933"/>
      <c r="H359" s="933"/>
      <c r="I359" s="933"/>
      <c r="J359" s="933"/>
      <c r="K359" s="933"/>
      <c r="L359" s="933"/>
      <c r="M359" s="933"/>
      <c r="N359" s="933"/>
      <c r="O359" s="857"/>
      <c r="P359" s="857"/>
      <c r="Q359" s="857"/>
      <c r="R359" s="857"/>
      <c r="S359" s="857"/>
      <c r="T359" s="857"/>
      <c r="U359" s="933"/>
      <c r="V359" s="933"/>
      <c r="W359" s="933"/>
      <c r="X359" s="933"/>
      <c r="Y359" s="933"/>
      <c r="Z359" s="933"/>
      <c r="AA359" s="933"/>
      <c r="AB359" s="933"/>
      <c r="AC359" s="933"/>
      <c r="AD359" s="933"/>
      <c r="AE359" s="933"/>
      <c r="AF359" s="933"/>
      <c r="AG359" s="933"/>
      <c r="AH359" s="933"/>
      <c r="AI359" s="933"/>
      <c r="AJ359" s="933"/>
      <c r="AK359" s="933"/>
      <c r="AL359" s="933"/>
      <c r="AM359" s="933"/>
      <c r="AN359" s="933"/>
      <c r="AO359" s="933"/>
      <c r="AP359" s="933"/>
      <c r="AQ359" s="933"/>
      <c r="AR359" s="933"/>
      <c r="AS359" s="933"/>
      <c r="AT359" s="933"/>
      <c r="AU359" s="860"/>
      <c r="AV359" s="860"/>
      <c r="AW359" s="860"/>
      <c r="AX359" s="860"/>
      <c r="AY359" s="860"/>
      <c r="AZ359" s="860"/>
      <c r="BA359" s="860"/>
      <c r="BB359" s="860"/>
      <c r="BC359" s="860"/>
      <c r="BD359" s="933"/>
      <c r="BE359" s="933"/>
      <c r="BF359" s="933"/>
      <c r="BG359" s="933"/>
      <c r="BH359" s="933"/>
      <c r="BI359" s="933"/>
      <c r="BJ359" s="933"/>
      <c r="BK359" s="933"/>
      <c r="BL359" s="933"/>
      <c r="BM359" s="933"/>
      <c r="BN359" s="933"/>
      <c r="BO359" s="933"/>
      <c r="BP359" s="933"/>
      <c r="BQ359" s="933"/>
      <c r="BR359" s="933"/>
      <c r="BS359" s="933"/>
      <c r="BT359" s="933"/>
      <c r="BU359" s="933"/>
      <c r="BV359" s="933"/>
      <c r="BW359" s="933"/>
      <c r="BX359" s="933"/>
      <c r="BY359" s="933"/>
      <c r="BZ359" s="933"/>
      <c r="CA359" s="933"/>
      <c r="CB359" s="933"/>
      <c r="CC359" s="933"/>
      <c r="CD359" s="933"/>
      <c r="CE359" s="933"/>
      <c r="CF359" s="933"/>
    </row>
    <row r="360" spans="1:84" s="887" customFormat="1" ht="18" customHeight="1" x14ac:dyDescent="0.25">
      <c r="B360" s="856"/>
      <c r="C360" s="946"/>
      <c r="D360" s="947"/>
      <c r="E360" s="933"/>
      <c r="F360" s="933"/>
      <c r="G360" s="933"/>
      <c r="H360" s="933"/>
      <c r="I360" s="933"/>
      <c r="J360" s="933"/>
      <c r="K360" s="933"/>
      <c r="L360" s="933"/>
      <c r="M360" s="933"/>
      <c r="N360" s="933"/>
      <c r="O360" s="857"/>
      <c r="P360" s="857"/>
      <c r="Q360" s="857"/>
      <c r="R360" s="857"/>
      <c r="S360" s="857"/>
      <c r="T360" s="857"/>
      <c r="U360" s="933"/>
      <c r="V360" s="933"/>
      <c r="W360" s="933"/>
      <c r="X360" s="933"/>
      <c r="Y360" s="933"/>
      <c r="Z360" s="933"/>
      <c r="AA360" s="933"/>
      <c r="AB360" s="933"/>
      <c r="AC360" s="933"/>
      <c r="AD360" s="933"/>
      <c r="AE360" s="933"/>
      <c r="AF360" s="933"/>
      <c r="AG360" s="933"/>
      <c r="AH360" s="933"/>
      <c r="AI360" s="933"/>
      <c r="AJ360" s="933"/>
      <c r="AK360" s="933"/>
      <c r="AL360" s="933"/>
      <c r="AM360" s="933"/>
      <c r="AN360" s="933"/>
      <c r="AO360" s="933"/>
      <c r="AP360" s="933"/>
      <c r="AQ360" s="933"/>
      <c r="AR360" s="933"/>
      <c r="AS360" s="933"/>
      <c r="AT360" s="933"/>
      <c r="AU360" s="860"/>
      <c r="AV360" s="860"/>
      <c r="AW360" s="860"/>
      <c r="AX360" s="860"/>
      <c r="AY360" s="860"/>
      <c r="AZ360" s="860"/>
      <c r="BA360" s="860"/>
      <c r="BB360" s="860"/>
      <c r="BC360" s="860"/>
      <c r="BD360" s="933"/>
      <c r="BE360" s="933"/>
      <c r="BF360" s="933"/>
      <c r="BG360" s="933"/>
      <c r="BH360" s="933"/>
      <c r="BI360" s="933"/>
      <c r="BJ360" s="933"/>
      <c r="BK360" s="933"/>
      <c r="BL360" s="933"/>
      <c r="BM360" s="933"/>
      <c r="BN360" s="933"/>
      <c r="BO360" s="933"/>
      <c r="BP360" s="933"/>
      <c r="BQ360" s="933"/>
      <c r="BR360" s="933"/>
      <c r="BS360" s="933"/>
      <c r="BT360" s="933"/>
      <c r="BU360" s="933"/>
      <c r="BV360" s="933"/>
      <c r="BW360" s="933"/>
      <c r="BX360" s="933"/>
      <c r="BY360" s="933"/>
      <c r="BZ360" s="933"/>
      <c r="CA360" s="933"/>
      <c r="CB360" s="933"/>
      <c r="CC360" s="933"/>
      <c r="CD360" s="933"/>
      <c r="CE360" s="933"/>
      <c r="CF360" s="933"/>
    </row>
    <row r="361" spans="1:84" s="887" customFormat="1" ht="18" customHeight="1" x14ac:dyDescent="0.25">
      <c r="B361" s="856"/>
      <c r="C361" s="946"/>
      <c r="D361" s="947"/>
      <c r="E361" s="933"/>
      <c r="F361" s="933"/>
      <c r="G361" s="933"/>
      <c r="H361" s="933"/>
      <c r="I361" s="933"/>
      <c r="J361" s="933"/>
      <c r="K361" s="933"/>
      <c r="L361" s="933"/>
      <c r="M361" s="933"/>
      <c r="N361" s="933"/>
      <c r="O361" s="857"/>
      <c r="P361" s="857"/>
      <c r="Q361" s="857"/>
      <c r="R361" s="857"/>
      <c r="S361" s="857"/>
      <c r="T361" s="857"/>
      <c r="U361" s="933"/>
      <c r="V361" s="933"/>
      <c r="W361" s="933"/>
      <c r="X361" s="933"/>
      <c r="Y361" s="933"/>
      <c r="Z361" s="933"/>
      <c r="AA361" s="933"/>
      <c r="AB361" s="933"/>
      <c r="AC361" s="933"/>
      <c r="AD361" s="933"/>
      <c r="AE361" s="933"/>
      <c r="AF361" s="933"/>
      <c r="AG361" s="933"/>
      <c r="AH361" s="933"/>
      <c r="AI361" s="933"/>
      <c r="AJ361" s="933"/>
      <c r="AK361" s="933"/>
      <c r="AL361" s="933"/>
      <c r="AM361" s="933"/>
      <c r="AN361" s="933"/>
      <c r="AO361" s="933"/>
      <c r="AP361" s="933"/>
      <c r="AQ361" s="933"/>
      <c r="AR361" s="933"/>
      <c r="AS361" s="933"/>
      <c r="AT361" s="933"/>
      <c r="AU361" s="860"/>
      <c r="AV361" s="860"/>
      <c r="AW361" s="860"/>
      <c r="AX361" s="860"/>
      <c r="AY361" s="860"/>
      <c r="AZ361" s="860"/>
      <c r="BA361" s="860"/>
      <c r="BB361" s="860"/>
      <c r="BC361" s="860"/>
      <c r="BD361" s="933"/>
      <c r="BE361" s="933"/>
      <c r="BF361" s="933"/>
      <c r="BG361" s="933"/>
      <c r="BH361" s="933"/>
      <c r="BI361" s="933"/>
      <c r="BJ361" s="933"/>
      <c r="BK361" s="933"/>
      <c r="BL361" s="933"/>
      <c r="BM361" s="933"/>
      <c r="BN361" s="933"/>
      <c r="BO361" s="933"/>
      <c r="BP361" s="933"/>
      <c r="BQ361" s="933"/>
      <c r="BR361" s="933"/>
      <c r="BS361" s="933"/>
      <c r="BT361" s="933"/>
      <c r="BU361" s="933"/>
      <c r="BV361" s="933"/>
      <c r="BW361" s="933"/>
      <c r="BX361" s="933"/>
      <c r="BY361" s="933"/>
      <c r="BZ361" s="933"/>
      <c r="CA361" s="933"/>
      <c r="CB361" s="933"/>
      <c r="CC361" s="933"/>
      <c r="CD361" s="933"/>
      <c r="CE361" s="933"/>
      <c r="CF361" s="933"/>
    </row>
    <row r="362" spans="1:84" s="887" customFormat="1" ht="18" customHeight="1" x14ac:dyDescent="0.25">
      <c r="B362" s="856"/>
      <c r="C362" s="946"/>
      <c r="D362" s="947"/>
      <c r="E362" s="933"/>
      <c r="F362" s="933"/>
      <c r="G362" s="933"/>
      <c r="H362" s="933"/>
      <c r="I362" s="933"/>
      <c r="J362" s="933"/>
      <c r="K362" s="933"/>
      <c r="L362" s="933"/>
      <c r="M362" s="933"/>
      <c r="N362" s="933"/>
      <c r="O362" s="857"/>
      <c r="P362" s="857"/>
      <c r="Q362" s="857"/>
      <c r="R362" s="857"/>
      <c r="S362" s="857"/>
      <c r="T362" s="857"/>
      <c r="U362" s="933"/>
      <c r="V362" s="933"/>
      <c r="W362" s="933"/>
      <c r="X362" s="933"/>
      <c r="Y362" s="933"/>
      <c r="Z362" s="933"/>
      <c r="AA362" s="933"/>
      <c r="AB362" s="933"/>
      <c r="AC362" s="933"/>
      <c r="AD362" s="933"/>
      <c r="AE362" s="933"/>
      <c r="AF362" s="933"/>
      <c r="AG362" s="933"/>
      <c r="AH362" s="933"/>
      <c r="AI362" s="933"/>
      <c r="AJ362" s="933"/>
      <c r="AK362" s="933"/>
      <c r="AL362" s="933"/>
      <c r="AM362" s="933"/>
      <c r="AN362" s="933"/>
      <c r="AO362" s="933"/>
      <c r="AP362" s="933"/>
      <c r="AQ362" s="933"/>
      <c r="AR362" s="933"/>
      <c r="AS362" s="933"/>
      <c r="AT362" s="933"/>
      <c r="AU362" s="860"/>
      <c r="AV362" s="860"/>
      <c r="AW362" s="860"/>
      <c r="AX362" s="860"/>
      <c r="AY362" s="860"/>
      <c r="AZ362" s="860"/>
      <c r="BA362" s="860"/>
      <c r="BB362" s="860"/>
      <c r="BC362" s="860"/>
      <c r="BD362" s="933"/>
      <c r="BE362" s="933"/>
      <c r="BF362" s="933"/>
      <c r="BG362" s="933"/>
      <c r="BH362" s="933"/>
      <c r="BI362" s="933"/>
      <c r="BJ362" s="933"/>
      <c r="BK362" s="933"/>
      <c r="BL362" s="933"/>
      <c r="BM362" s="933"/>
      <c r="BN362" s="933"/>
      <c r="BO362" s="933"/>
      <c r="BP362" s="933"/>
      <c r="BQ362" s="933"/>
      <c r="BR362" s="933"/>
      <c r="BS362" s="933"/>
      <c r="BT362" s="933"/>
      <c r="BU362" s="933"/>
      <c r="BV362" s="933"/>
      <c r="BW362" s="933"/>
      <c r="BX362" s="933"/>
      <c r="BY362" s="933"/>
      <c r="BZ362" s="933"/>
      <c r="CA362" s="933"/>
      <c r="CB362" s="933"/>
      <c r="CC362" s="933"/>
      <c r="CD362" s="933"/>
      <c r="CE362" s="933"/>
      <c r="CF362" s="933"/>
    </row>
    <row r="363" spans="1:84" s="887" customFormat="1" ht="18" customHeight="1" x14ac:dyDescent="0.25">
      <c r="B363" s="856"/>
      <c r="C363" s="946"/>
      <c r="D363" s="947"/>
      <c r="E363" s="933"/>
      <c r="F363" s="933"/>
      <c r="G363" s="933"/>
      <c r="H363" s="933"/>
      <c r="I363" s="933"/>
      <c r="J363" s="933"/>
      <c r="K363" s="933"/>
      <c r="L363" s="933"/>
      <c r="M363" s="933"/>
      <c r="N363" s="933"/>
      <c r="O363" s="857"/>
      <c r="P363" s="857"/>
      <c r="Q363" s="857"/>
      <c r="R363" s="857"/>
      <c r="S363" s="857"/>
      <c r="T363" s="857"/>
      <c r="U363" s="933"/>
      <c r="V363" s="933"/>
      <c r="W363" s="933"/>
      <c r="X363" s="933"/>
      <c r="Y363" s="933"/>
      <c r="Z363" s="933"/>
      <c r="AA363" s="933"/>
      <c r="AB363" s="933"/>
      <c r="AC363" s="933"/>
      <c r="AD363" s="933"/>
      <c r="AE363" s="933"/>
      <c r="AF363" s="933"/>
      <c r="AG363" s="933"/>
      <c r="AH363" s="933"/>
      <c r="AI363" s="933"/>
      <c r="AJ363" s="933"/>
      <c r="AK363" s="933"/>
      <c r="AL363" s="933"/>
      <c r="AM363" s="933"/>
      <c r="AN363" s="933"/>
      <c r="AO363" s="933"/>
      <c r="AP363" s="933"/>
      <c r="AQ363" s="933"/>
      <c r="AR363" s="933"/>
      <c r="AS363" s="933"/>
      <c r="AT363" s="933"/>
      <c r="AU363" s="860"/>
      <c r="AV363" s="860"/>
      <c r="AW363" s="860"/>
      <c r="AX363" s="860"/>
      <c r="AY363" s="860"/>
      <c r="AZ363" s="860"/>
      <c r="BA363" s="860"/>
      <c r="BB363" s="860"/>
      <c r="BC363" s="860"/>
      <c r="BD363" s="933"/>
      <c r="BE363" s="933"/>
      <c r="BF363" s="933"/>
      <c r="BG363" s="933"/>
      <c r="BH363" s="933"/>
      <c r="BI363" s="933"/>
      <c r="BJ363" s="933"/>
      <c r="BK363" s="933"/>
      <c r="BL363" s="933"/>
      <c r="BM363" s="933"/>
      <c r="BN363" s="933"/>
      <c r="BO363" s="933"/>
      <c r="BP363" s="933"/>
      <c r="BQ363" s="933"/>
      <c r="BR363" s="933"/>
      <c r="BS363" s="933"/>
      <c r="BT363" s="933"/>
      <c r="BU363" s="933"/>
      <c r="BV363" s="933"/>
      <c r="BW363" s="933"/>
      <c r="BX363" s="933"/>
      <c r="BY363" s="933"/>
      <c r="BZ363" s="933"/>
      <c r="CA363" s="933"/>
      <c r="CB363" s="933"/>
      <c r="CC363" s="933"/>
      <c r="CD363" s="933"/>
      <c r="CE363" s="933"/>
      <c r="CF363" s="933"/>
    </row>
    <row r="364" spans="1:84" s="887" customFormat="1" ht="18" customHeight="1" x14ac:dyDescent="0.25">
      <c r="B364" s="856"/>
      <c r="C364" s="946"/>
      <c r="D364" s="947"/>
      <c r="E364" s="933"/>
      <c r="F364" s="933"/>
      <c r="G364" s="933"/>
      <c r="H364" s="933"/>
      <c r="I364" s="933"/>
      <c r="J364" s="933"/>
      <c r="K364" s="933"/>
      <c r="L364" s="933"/>
      <c r="M364" s="933"/>
      <c r="N364" s="933"/>
      <c r="O364" s="857"/>
      <c r="P364" s="857"/>
      <c r="Q364" s="857"/>
      <c r="R364" s="857"/>
      <c r="S364" s="857"/>
      <c r="T364" s="857"/>
      <c r="U364" s="933"/>
      <c r="V364" s="933"/>
      <c r="W364" s="933"/>
      <c r="X364" s="933"/>
      <c r="Y364" s="933"/>
      <c r="Z364" s="933"/>
      <c r="AA364" s="933"/>
      <c r="AB364" s="933"/>
      <c r="AC364" s="933"/>
      <c r="AD364" s="933"/>
      <c r="AE364" s="933"/>
      <c r="AF364" s="933"/>
      <c r="AG364" s="933"/>
      <c r="AH364" s="933"/>
      <c r="AI364" s="933"/>
      <c r="AJ364" s="933"/>
      <c r="AK364" s="933"/>
      <c r="AL364" s="933"/>
      <c r="AM364" s="933"/>
      <c r="AN364" s="933"/>
      <c r="AO364" s="933"/>
      <c r="AP364" s="933"/>
      <c r="AQ364" s="933"/>
      <c r="AR364" s="933"/>
      <c r="AS364" s="933"/>
      <c r="AT364" s="933"/>
      <c r="AU364" s="860"/>
      <c r="AV364" s="860"/>
      <c r="AW364" s="860"/>
      <c r="AX364" s="860"/>
      <c r="AY364" s="860"/>
      <c r="AZ364" s="860"/>
      <c r="BA364" s="860"/>
      <c r="BB364" s="860"/>
      <c r="BC364" s="860"/>
      <c r="BD364" s="933"/>
      <c r="BE364" s="933"/>
      <c r="BF364" s="933"/>
      <c r="BG364" s="933"/>
      <c r="BH364" s="933"/>
      <c r="BI364" s="933"/>
      <c r="BJ364" s="933"/>
      <c r="BK364" s="933"/>
      <c r="BL364" s="933"/>
      <c r="BM364" s="933"/>
      <c r="BN364" s="933"/>
      <c r="BO364" s="933"/>
      <c r="BP364" s="933"/>
      <c r="BQ364" s="933"/>
      <c r="BR364" s="933"/>
      <c r="BS364" s="933"/>
      <c r="BT364" s="933"/>
      <c r="BU364" s="933"/>
      <c r="BV364" s="933"/>
      <c r="BW364" s="933"/>
      <c r="BX364" s="933"/>
      <c r="BY364" s="933"/>
      <c r="BZ364" s="933"/>
      <c r="CA364" s="933"/>
      <c r="CB364" s="933"/>
      <c r="CC364" s="933"/>
      <c r="CD364" s="933"/>
      <c r="CE364" s="933"/>
      <c r="CF364" s="933"/>
    </row>
    <row r="365" spans="1:84" s="887" customFormat="1" ht="18" customHeight="1" x14ac:dyDescent="0.25">
      <c r="B365" s="856"/>
      <c r="C365" s="946"/>
      <c r="D365" s="947"/>
      <c r="E365" s="933"/>
      <c r="F365" s="933"/>
      <c r="G365" s="933"/>
      <c r="H365" s="933"/>
      <c r="I365" s="933"/>
      <c r="J365" s="933"/>
      <c r="K365" s="933"/>
      <c r="L365" s="933"/>
      <c r="M365" s="933"/>
      <c r="N365" s="933"/>
      <c r="O365" s="857"/>
      <c r="P365" s="857"/>
      <c r="Q365" s="857"/>
      <c r="R365" s="857"/>
      <c r="S365" s="857"/>
      <c r="T365" s="857"/>
      <c r="U365" s="933"/>
      <c r="V365" s="933"/>
      <c r="W365" s="933"/>
      <c r="X365" s="933"/>
      <c r="Y365" s="933"/>
      <c r="Z365" s="933"/>
      <c r="AA365" s="933"/>
      <c r="AB365" s="933"/>
      <c r="AC365" s="933"/>
      <c r="AD365" s="933"/>
      <c r="AE365" s="933"/>
      <c r="AF365" s="933"/>
      <c r="AG365" s="933"/>
      <c r="AH365" s="933"/>
      <c r="AI365" s="933"/>
      <c r="AJ365" s="933"/>
      <c r="AK365" s="933"/>
      <c r="AL365" s="933"/>
      <c r="AM365" s="933"/>
      <c r="AN365" s="933"/>
      <c r="AO365" s="933"/>
      <c r="AP365" s="933"/>
      <c r="AQ365" s="933"/>
      <c r="AR365" s="933"/>
      <c r="AS365" s="933"/>
      <c r="AT365" s="933"/>
      <c r="AU365" s="860"/>
      <c r="AV365" s="860"/>
      <c r="AW365" s="860"/>
      <c r="AX365" s="860"/>
      <c r="AY365" s="860"/>
      <c r="AZ365" s="860"/>
      <c r="BA365" s="860"/>
      <c r="BB365" s="860"/>
      <c r="BC365" s="860"/>
      <c r="BD365" s="933"/>
      <c r="BE365" s="933"/>
      <c r="BF365" s="933"/>
      <c r="BG365" s="933"/>
      <c r="BH365" s="933"/>
      <c r="BI365" s="933"/>
      <c r="BJ365" s="933"/>
      <c r="BK365" s="933"/>
      <c r="BL365" s="933"/>
      <c r="BM365" s="933"/>
      <c r="BN365" s="933"/>
      <c r="BO365" s="933"/>
      <c r="BP365" s="933"/>
      <c r="BQ365" s="933"/>
      <c r="BR365" s="933"/>
      <c r="BS365" s="933"/>
      <c r="BT365" s="933"/>
      <c r="BU365" s="933"/>
      <c r="BV365" s="933"/>
      <c r="BW365" s="933"/>
      <c r="BX365" s="933"/>
      <c r="BY365" s="933"/>
      <c r="BZ365" s="933"/>
      <c r="CA365" s="933"/>
      <c r="CB365" s="933"/>
      <c r="CC365" s="933"/>
      <c r="CD365" s="933"/>
      <c r="CE365" s="933"/>
      <c r="CF365" s="933"/>
    </row>
    <row r="366" spans="1:84" s="887" customFormat="1" ht="18" customHeight="1" x14ac:dyDescent="0.25">
      <c r="B366" s="856"/>
      <c r="C366" s="946"/>
      <c r="D366" s="947"/>
      <c r="E366" s="933"/>
      <c r="F366" s="933"/>
      <c r="G366" s="933"/>
      <c r="H366" s="933"/>
      <c r="I366" s="933"/>
      <c r="J366" s="933"/>
      <c r="K366" s="933"/>
      <c r="L366" s="933"/>
      <c r="M366" s="933"/>
      <c r="N366" s="933"/>
      <c r="O366" s="857"/>
      <c r="P366" s="857"/>
      <c r="Q366" s="857"/>
      <c r="R366" s="857"/>
      <c r="S366" s="857"/>
      <c r="T366" s="857"/>
      <c r="U366" s="933"/>
      <c r="V366" s="933"/>
      <c r="W366" s="933"/>
      <c r="X366" s="933"/>
      <c r="Y366" s="933"/>
      <c r="Z366" s="933"/>
      <c r="AA366" s="933"/>
      <c r="AB366" s="933"/>
      <c r="AC366" s="933"/>
      <c r="AD366" s="933"/>
      <c r="AE366" s="933"/>
      <c r="AF366" s="933"/>
      <c r="AG366" s="933"/>
      <c r="AH366" s="933"/>
      <c r="AI366" s="933"/>
      <c r="AJ366" s="933"/>
      <c r="AK366" s="933"/>
      <c r="AL366" s="933"/>
      <c r="AM366" s="933"/>
      <c r="AN366" s="933"/>
      <c r="AO366" s="933"/>
      <c r="AP366" s="933"/>
      <c r="AQ366" s="933"/>
      <c r="AR366" s="933"/>
      <c r="AS366" s="933"/>
      <c r="AT366" s="933"/>
      <c r="AU366" s="860"/>
      <c r="AV366" s="860"/>
      <c r="AW366" s="860"/>
      <c r="AX366" s="860"/>
      <c r="AY366" s="860"/>
      <c r="AZ366" s="860"/>
      <c r="BA366" s="860"/>
      <c r="BB366" s="860"/>
      <c r="BC366" s="860"/>
      <c r="BD366" s="933"/>
      <c r="BE366" s="933"/>
      <c r="BF366" s="933"/>
      <c r="BG366" s="933"/>
      <c r="BH366" s="933"/>
      <c r="BI366" s="933"/>
      <c r="BJ366" s="933"/>
      <c r="BK366" s="933"/>
      <c r="BL366" s="933"/>
      <c r="BM366" s="933"/>
      <c r="BN366" s="933"/>
      <c r="BO366" s="933"/>
      <c r="BP366" s="933"/>
      <c r="BQ366" s="933"/>
      <c r="BR366" s="933"/>
      <c r="BS366" s="933"/>
      <c r="BT366" s="933"/>
      <c r="BU366" s="933"/>
      <c r="BV366" s="933"/>
      <c r="BW366" s="933"/>
      <c r="BX366" s="933"/>
      <c r="BY366" s="933"/>
      <c r="BZ366" s="933"/>
      <c r="CA366" s="933"/>
      <c r="CB366" s="933"/>
      <c r="CC366" s="933"/>
      <c r="CD366" s="933"/>
      <c r="CE366" s="933"/>
      <c r="CF366" s="933"/>
    </row>
    <row r="367" spans="1:84" s="887" customFormat="1" ht="18" customHeight="1" x14ac:dyDescent="0.25">
      <c r="B367" s="856"/>
      <c r="C367" s="946"/>
      <c r="D367" s="947"/>
      <c r="E367" s="933"/>
      <c r="F367" s="933"/>
      <c r="G367" s="933"/>
      <c r="H367" s="933"/>
      <c r="I367" s="933"/>
      <c r="J367" s="933"/>
      <c r="K367" s="933"/>
      <c r="L367" s="933"/>
      <c r="M367" s="933"/>
      <c r="N367" s="933"/>
      <c r="O367" s="857"/>
      <c r="P367" s="857"/>
      <c r="Q367" s="857"/>
      <c r="R367" s="857"/>
      <c r="S367" s="857"/>
      <c r="T367" s="857"/>
      <c r="U367" s="933"/>
      <c r="V367" s="933"/>
      <c r="W367" s="933"/>
      <c r="X367" s="933"/>
      <c r="Y367" s="933"/>
      <c r="Z367" s="933"/>
      <c r="AA367" s="933"/>
      <c r="AB367" s="933"/>
      <c r="AC367" s="933"/>
      <c r="AD367" s="933"/>
      <c r="AE367" s="933"/>
      <c r="AF367" s="933"/>
      <c r="AG367" s="933"/>
      <c r="AH367" s="933"/>
      <c r="AI367" s="933"/>
      <c r="AJ367" s="933"/>
      <c r="AK367" s="933"/>
      <c r="AL367" s="933"/>
      <c r="AM367" s="933"/>
      <c r="AN367" s="933"/>
      <c r="AO367" s="933"/>
      <c r="AP367" s="933"/>
      <c r="AQ367" s="933"/>
      <c r="AR367" s="933"/>
      <c r="AS367" s="933"/>
      <c r="AT367" s="933"/>
      <c r="AU367" s="860"/>
      <c r="AV367" s="860"/>
      <c r="AW367" s="860"/>
      <c r="AX367" s="860"/>
      <c r="AY367" s="860"/>
      <c r="AZ367" s="860"/>
      <c r="BA367" s="860"/>
      <c r="BB367" s="860"/>
      <c r="BC367" s="860"/>
      <c r="BD367" s="933"/>
      <c r="BE367" s="933"/>
      <c r="BF367" s="933"/>
      <c r="BG367" s="933"/>
      <c r="BH367" s="933"/>
      <c r="BI367" s="933"/>
      <c r="BJ367" s="933"/>
      <c r="BK367" s="933"/>
      <c r="BL367" s="933"/>
      <c r="BM367" s="933"/>
      <c r="BN367" s="933"/>
      <c r="BO367" s="933"/>
      <c r="BP367" s="933"/>
      <c r="BQ367" s="933"/>
      <c r="BR367" s="933"/>
      <c r="BS367" s="933"/>
      <c r="BT367" s="933"/>
      <c r="BU367" s="933"/>
      <c r="BV367" s="933"/>
      <c r="BW367" s="933"/>
      <c r="BX367" s="933"/>
      <c r="BY367" s="933"/>
      <c r="BZ367" s="933"/>
      <c r="CA367" s="933"/>
      <c r="CB367" s="933"/>
      <c r="CC367" s="933"/>
      <c r="CD367" s="933"/>
      <c r="CE367" s="933"/>
      <c r="CF367" s="933"/>
    </row>
    <row r="368" spans="1:84" s="887" customFormat="1" ht="18" customHeight="1" x14ac:dyDescent="0.25">
      <c r="B368" s="856"/>
      <c r="C368" s="946"/>
      <c r="D368" s="947"/>
      <c r="E368" s="933"/>
      <c r="F368" s="933"/>
      <c r="G368" s="933"/>
      <c r="H368" s="933"/>
      <c r="I368" s="933"/>
      <c r="J368" s="933"/>
      <c r="K368" s="933"/>
      <c r="L368" s="933"/>
      <c r="M368" s="933"/>
      <c r="N368" s="933"/>
      <c r="O368" s="857"/>
      <c r="P368" s="857"/>
      <c r="Q368" s="857"/>
      <c r="R368" s="857"/>
      <c r="S368" s="857"/>
      <c r="T368" s="857"/>
      <c r="U368" s="933"/>
      <c r="V368" s="933"/>
      <c r="W368" s="933"/>
      <c r="X368" s="933"/>
      <c r="Y368" s="933"/>
      <c r="Z368" s="933"/>
      <c r="AA368" s="933"/>
      <c r="AB368" s="933"/>
      <c r="AC368" s="933"/>
      <c r="AD368" s="933"/>
      <c r="AE368" s="933"/>
      <c r="AF368" s="933"/>
      <c r="AG368" s="933"/>
      <c r="AH368" s="933"/>
      <c r="AI368" s="933"/>
      <c r="AJ368" s="933"/>
      <c r="AK368" s="933"/>
      <c r="AL368" s="933"/>
      <c r="AM368" s="933"/>
      <c r="AN368" s="933"/>
      <c r="AO368" s="933"/>
      <c r="AP368" s="933"/>
      <c r="AQ368" s="933"/>
      <c r="AR368" s="933"/>
      <c r="AS368" s="933"/>
      <c r="AT368" s="933"/>
      <c r="AU368" s="860"/>
      <c r="AV368" s="860"/>
      <c r="AW368" s="860"/>
      <c r="AX368" s="860"/>
      <c r="AY368" s="860"/>
      <c r="AZ368" s="860"/>
      <c r="BA368" s="860"/>
      <c r="BB368" s="860"/>
      <c r="BC368" s="860"/>
      <c r="BD368" s="933"/>
      <c r="BE368" s="933"/>
      <c r="BF368" s="933"/>
      <c r="BG368" s="933"/>
      <c r="BH368" s="933"/>
      <c r="BI368" s="933"/>
      <c r="BJ368" s="933"/>
      <c r="BK368" s="933"/>
      <c r="BL368" s="933"/>
      <c r="BM368" s="933"/>
      <c r="BN368" s="933"/>
      <c r="BO368" s="933"/>
      <c r="BP368" s="933"/>
      <c r="BQ368" s="933"/>
      <c r="BR368" s="933"/>
      <c r="BS368" s="933"/>
      <c r="BT368" s="933"/>
      <c r="BU368" s="933"/>
      <c r="BV368" s="933"/>
      <c r="BW368" s="933"/>
      <c r="BX368" s="933"/>
      <c r="BY368" s="933"/>
      <c r="BZ368" s="933"/>
      <c r="CA368" s="933"/>
      <c r="CB368" s="933"/>
      <c r="CC368" s="933"/>
      <c r="CD368" s="933"/>
      <c r="CE368" s="933"/>
      <c r="CF368" s="933"/>
    </row>
    <row r="369" spans="2:84" s="887" customFormat="1" ht="18" customHeight="1" x14ac:dyDescent="0.25">
      <c r="B369" s="856"/>
      <c r="C369" s="946"/>
      <c r="D369" s="947"/>
      <c r="E369" s="933"/>
      <c r="F369" s="933"/>
      <c r="G369" s="933"/>
      <c r="H369" s="933"/>
      <c r="I369" s="933"/>
      <c r="J369" s="933"/>
      <c r="K369" s="933"/>
      <c r="L369" s="933"/>
      <c r="M369" s="933"/>
      <c r="N369" s="933"/>
      <c r="O369" s="857"/>
      <c r="P369" s="857"/>
      <c r="Q369" s="857"/>
      <c r="R369" s="857"/>
      <c r="S369" s="857"/>
      <c r="T369" s="857"/>
      <c r="U369" s="933"/>
      <c r="V369" s="933"/>
      <c r="W369" s="933"/>
      <c r="X369" s="933"/>
      <c r="Y369" s="933"/>
      <c r="Z369" s="933"/>
      <c r="AA369" s="933"/>
      <c r="AB369" s="933"/>
      <c r="AC369" s="933"/>
      <c r="AD369" s="933"/>
      <c r="AE369" s="933"/>
      <c r="AF369" s="933"/>
      <c r="AG369" s="933"/>
      <c r="AH369" s="933"/>
      <c r="AI369" s="933"/>
      <c r="AJ369" s="933"/>
      <c r="AK369" s="933"/>
      <c r="AL369" s="933"/>
      <c r="AM369" s="933"/>
      <c r="AN369" s="933"/>
      <c r="AO369" s="933"/>
      <c r="AP369" s="933"/>
      <c r="AQ369" s="933"/>
      <c r="AR369" s="933"/>
      <c r="AS369" s="933"/>
      <c r="AT369" s="933"/>
      <c r="AU369" s="860"/>
      <c r="AV369" s="860"/>
      <c r="AW369" s="860"/>
      <c r="AX369" s="860"/>
      <c r="AY369" s="860"/>
      <c r="AZ369" s="860"/>
      <c r="BA369" s="860"/>
      <c r="BB369" s="860"/>
      <c r="BC369" s="860"/>
      <c r="BD369" s="933"/>
      <c r="BE369" s="933"/>
      <c r="BF369" s="933"/>
      <c r="BG369" s="933"/>
      <c r="BH369" s="933"/>
      <c r="BI369" s="933"/>
      <c r="BJ369" s="933"/>
      <c r="BK369" s="933"/>
      <c r="BL369" s="933"/>
      <c r="BM369" s="933"/>
      <c r="BN369" s="933"/>
      <c r="BO369" s="933"/>
      <c r="BP369" s="933"/>
      <c r="BQ369" s="933"/>
      <c r="BR369" s="933"/>
      <c r="BS369" s="933"/>
      <c r="BT369" s="933"/>
      <c r="BU369" s="933"/>
      <c r="BV369" s="933"/>
      <c r="BW369" s="933"/>
      <c r="BX369" s="933"/>
      <c r="BY369" s="933"/>
      <c r="BZ369" s="933"/>
      <c r="CA369" s="933"/>
      <c r="CB369" s="933"/>
      <c r="CC369" s="933"/>
      <c r="CD369" s="933"/>
      <c r="CE369" s="933"/>
      <c r="CF369" s="933"/>
    </row>
    <row r="370" spans="2:84" s="887" customFormat="1" ht="18" customHeight="1" x14ac:dyDescent="0.25">
      <c r="B370" s="856"/>
      <c r="C370" s="946"/>
      <c r="D370" s="947"/>
      <c r="E370" s="933"/>
      <c r="F370" s="933"/>
      <c r="G370" s="933"/>
      <c r="H370" s="933"/>
      <c r="I370" s="933"/>
      <c r="J370" s="933"/>
      <c r="K370" s="933"/>
      <c r="L370" s="933"/>
      <c r="M370" s="933"/>
      <c r="N370" s="933"/>
      <c r="O370" s="857"/>
      <c r="P370" s="857"/>
      <c r="Q370" s="857"/>
      <c r="R370" s="857"/>
      <c r="S370" s="857"/>
      <c r="T370" s="857"/>
      <c r="U370" s="933"/>
      <c r="V370" s="933"/>
      <c r="W370" s="933"/>
      <c r="X370" s="933"/>
      <c r="Y370" s="933"/>
      <c r="Z370" s="933"/>
      <c r="AA370" s="933"/>
      <c r="AB370" s="933"/>
      <c r="AC370" s="933"/>
      <c r="AD370" s="933"/>
      <c r="AE370" s="933"/>
      <c r="AF370" s="933"/>
      <c r="AG370" s="933"/>
      <c r="AH370" s="933"/>
      <c r="AI370" s="933"/>
      <c r="AJ370" s="933"/>
      <c r="AK370" s="933"/>
      <c r="AL370" s="933"/>
      <c r="AM370" s="933"/>
      <c r="AN370" s="933"/>
      <c r="AO370" s="933"/>
      <c r="AP370" s="933"/>
      <c r="AQ370" s="933"/>
      <c r="AR370" s="933"/>
      <c r="AS370" s="933"/>
      <c r="AT370" s="933"/>
      <c r="AU370" s="860"/>
      <c r="AV370" s="860"/>
      <c r="AW370" s="860"/>
      <c r="AX370" s="860"/>
      <c r="AY370" s="860"/>
      <c r="AZ370" s="860"/>
      <c r="BA370" s="860"/>
      <c r="BB370" s="860"/>
      <c r="BC370" s="860"/>
      <c r="BD370" s="933"/>
      <c r="BE370" s="933"/>
      <c r="BF370" s="933"/>
      <c r="BG370" s="933"/>
      <c r="BH370" s="933"/>
      <c r="BI370" s="933"/>
      <c r="BJ370" s="933"/>
      <c r="BK370" s="933"/>
      <c r="BL370" s="933"/>
      <c r="BM370" s="933"/>
      <c r="BN370" s="933"/>
      <c r="BO370" s="933"/>
      <c r="BP370" s="933"/>
      <c r="BQ370" s="933"/>
      <c r="BR370" s="933"/>
      <c r="BS370" s="933"/>
      <c r="BT370" s="933"/>
      <c r="BU370" s="933"/>
      <c r="BV370" s="933"/>
      <c r="BW370" s="933"/>
      <c r="BX370" s="933"/>
      <c r="BY370" s="933"/>
      <c r="BZ370" s="933"/>
      <c r="CA370" s="933"/>
      <c r="CB370" s="933"/>
      <c r="CC370" s="933"/>
      <c r="CD370" s="933"/>
      <c r="CE370" s="933"/>
      <c r="CF370" s="933"/>
    </row>
    <row r="371" spans="2:84" s="887" customFormat="1" ht="18" customHeight="1" x14ac:dyDescent="0.25">
      <c r="B371" s="856"/>
      <c r="C371" s="946"/>
      <c r="D371" s="947"/>
      <c r="E371" s="933"/>
      <c r="F371" s="933"/>
      <c r="G371" s="933"/>
      <c r="H371" s="933"/>
      <c r="I371" s="933"/>
      <c r="J371" s="933"/>
      <c r="K371" s="933"/>
      <c r="L371" s="933"/>
      <c r="M371" s="933"/>
      <c r="N371" s="933"/>
      <c r="O371" s="857"/>
      <c r="P371" s="857"/>
      <c r="Q371" s="857"/>
      <c r="R371" s="857"/>
      <c r="S371" s="857"/>
      <c r="T371" s="857"/>
      <c r="U371" s="933"/>
      <c r="V371" s="933"/>
      <c r="W371" s="933"/>
      <c r="X371" s="933"/>
      <c r="Y371" s="933"/>
      <c r="Z371" s="933"/>
      <c r="AA371" s="933"/>
      <c r="AB371" s="933"/>
      <c r="AC371" s="933"/>
      <c r="AD371" s="933"/>
      <c r="AE371" s="933"/>
      <c r="AF371" s="933"/>
      <c r="AG371" s="933"/>
      <c r="AH371" s="933"/>
      <c r="AI371" s="933"/>
      <c r="AJ371" s="933"/>
      <c r="AK371" s="933"/>
      <c r="AL371" s="933"/>
      <c r="AM371" s="933"/>
      <c r="AN371" s="933"/>
      <c r="AO371" s="933"/>
      <c r="AP371" s="933"/>
      <c r="AQ371" s="933"/>
      <c r="AR371" s="933"/>
      <c r="AS371" s="933"/>
      <c r="AT371" s="933"/>
      <c r="AU371" s="860"/>
      <c r="AV371" s="860"/>
      <c r="AW371" s="860"/>
      <c r="AX371" s="860"/>
      <c r="AY371" s="860"/>
      <c r="AZ371" s="860"/>
      <c r="BA371" s="860"/>
      <c r="BB371" s="860"/>
      <c r="BC371" s="860"/>
      <c r="BD371" s="933"/>
      <c r="BE371" s="933"/>
      <c r="BF371" s="933"/>
      <c r="BG371" s="933"/>
      <c r="BH371" s="933"/>
      <c r="BI371" s="933"/>
      <c r="BJ371" s="933"/>
      <c r="BK371" s="933"/>
      <c r="BL371" s="933"/>
      <c r="BM371" s="933"/>
      <c r="BN371" s="933"/>
      <c r="BO371" s="933"/>
      <c r="BP371" s="933"/>
      <c r="BQ371" s="933"/>
      <c r="BR371" s="933"/>
      <c r="BS371" s="933"/>
      <c r="BT371" s="933"/>
      <c r="BU371" s="933"/>
      <c r="BV371" s="933"/>
      <c r="BW371" s="933"/>
      <c r="BX371" s="933"/>
      <c r="BY371" s="933"/>
      <c r="BZ371" s="933"/>
      <c r="CA371" s="933"/>
      <c r="CB371" s="933"/>
      <c r="CC371" s="933"/>
      <c r="CD371" s="933"/>
      <c r="CE371" s="933"/>
      <c r="CF371" s="933"/>
    </row>
    <row r="372" spans="2:84" s="887" customFormat="1" ht="18" customHeight="1" x14ac:dyDescent="0.25">
      <c r="B372" s="856"/>
      <c r="C372" s="946"/>
      <c r="D372" s="947"/>
      <c r="E372" s="933"/>
      <c r="F372" s="933"/>
      <c r="G372" s="933"/>
      <c r="H372" s="933"/>
      <c r="I372" s="933"/>
      <c r="J372" s="933"/>
      <c r="K372" s="933"/>
      <c r="L372" s="933"/>
      <c r="M372" s="933"/>
      <c r="N372" s="933"/>
      <c r="O372" s="857"/>
      <c r="P372" s="857"/>
      <c r="Q372" s="857"/>
      <c r="R372" s="857"/>
      <c r="S372" s="857"/>
      <c r="T372" s="857"/>
      <c r="U372" s="933"/>
      <c r="V372" s="933"/>
      <c r="W372" s="933"/>
      <c r="X372" s="933"/>
      <c r="Y372" s="933"/>
      <c r="Z372" s="933"/>
      <c r="AA372" s="933"/>
      <c r="AB372" s="933"/>
      <c r="AC372" s="933"/>
      <c r="AD372" s="933"/>
      <c r="AE372" s="933"/>
      <c r="AF372" s="933"/>
      <c r="AG372" s="933"/>
      <c r="AH372" s="933"/>
      <c r="AI372" s="933"/>
      <c r="AJ372" s="933"/>
      <c r="AK372" s="933"/>
      <c r="AL372" s="933"/>
      <c r="AM372" s="933"/>
      <c r="AN372" s="933"/>
      <c r="AO372" s="933"/>
      <c r="AP372" s="933"/>
      <c r="AQ372" s="933"/>
      <c r="AR372" s="933"/>
      <c r="AS372" s="933"/>
      <c r="AT372" s="933"/>
      <c r="AU372" s="860"/>
      <c r="AV372" s="860"/>
      <c r="AW372" s="860"/>
      <c r="AX372" s="860"/>
      <c r="AY372" s="860"/>
      <c r="AZ372" s="860"/>
      <c r="BA372" s="860"/>
      <c r="BB372" s="860"/>
      <c r="BC372" s="860"/>
      <c r="BD372" s="933"/>
      <c r="BE372" s="933"/>
      <c r="BF372" s="933"/>
      <c r="BG372" s="933"/>
      <c r="BH372" s="933"/>
      <c r="BI372" s="933"/>
      <c r="BJ372" s="933"/>
      <c r="BK372" s="933"/>
      <c r="BL372" s="933"/>
      <c r="BM372" s="933"/>
      <c r="BN372" s="933"/>
      <c r="BO372" s="933"/>
      <c r="BP372" s="933"/>
      <c r="BQ372" s="933"/>
      <c r="BR372" s="933"/>
      <c r="BS372" s="933"/>
      <c r="BT372" s="933"/>
      <c r="BU372" s="933"/>
      <c r="BV372" s="933"/>
      <c r="BW372" s="933"/>
      <c r="BX372" s="933"/>
      <c r="BY372" s="933"/>
      <c r="BZ372" s="933"/>
      <c r="CA372" s="933"/>
      <c r="CB372" s="933"/>
      <c r="CC372" s="933"/>
      <c r="CD372" s="933"/>
      <c r="CE372" s="933"/>
      <c r="CF372" s="933"/>
    </row>
    <row r="373" spans="2:84" s="887" customFormat="1" ht="18" customHeight="1" x14ac:dyDescent="0.25">
      <c r="B373" s="856"/>
      <c r="C373" s="946"/>
      <c r="D373" s="947"/>
      <c r="E373" s="933"/>
      <c r="F373" s="933"/>
      <c r="G373" s="933"/>
      <c r="H373" s="933"/>
      <c r="I373" s="933"/>
      <c r="J373" s="933"/>
      <c r="K373" s="933"/>
      <c r="L373" s="933"/>
      <c r="M373" s="933"/>
      <c r="N373" s="933"/>
      <c r="O373" s="857"/>
      <c r="P373" s="857"/>
      <c r="Q373" s="857"/>
      <c r="R373" s="857"/>
      <c r="S373" s="857"/>
      <c r="T373" s="857"/>
      <c r="U373" s="933"/>
      <c r="V373" s="933"/>
      <c r="W373" s="933"/>
      <c r="X373" s="933"/>
      <c r="Y373" s="933"/>
      <c r="Z373" s="933"/>
      <c r="AA373" s="933"/>
      <c r="AB373" s="933"/>
      <c r="AC373" s="933"/>
      <c r="AD373" s="933"/>
      <c r="AE373" s="933"/>
      <c r="AF373" s="933"/>
      <c r="AG373" s="933"/>
      <c r="AH373" s="933"/>
      <c r="AI373" s="933"/>
      <c r="AJ373" s="933"/>
      <c r="AK373" s="933"/>
      <c r="AL373" s="933"/>
      <c r="AM373" s="933"/>
      <c r="AN373" s="933"/>
      <c r="AO373" s="933"/>
      <c r="AP373" s="933"/>
      <c r="AQ373" s="933"/>
      <c r="AR373" s="933"/>
      <c r="AS373" s="933"/>
      <c r="AT373" s="933"/>
      <c r="AU373" s="860"/>
      <c r="AV373" s="860"/>
      <c r="AW373" s="860"/>
      <c r="AX373" s="860"/>
      <c r="AY373" s="860"/>
      <c r="AZ373" s="860"/>
      <c r="BA373" s="860"/>
      <c r="BB373" s="860"/>
      <c r="BC373" s="860"/>
      <c r="BD373" s="933"/>
      <c r="BE373" s="933"/>
      <c r="BF373" s="933"/>
      <c r="BG373" s="933"/>
      <c r="BH373" s="933"/>
      <c r="BI373" s="933"/>
      <c r="BJ373" s="933"/>
      <c r="BK373" s="933"/>
      <c r="BL373" s="933"/>
      <c r="BM373" s="933"/>
      <c r="BN373" s="933"/>
      <c r="BO373" s="933"/>
      <c r="BP373" s="933"/>
      <c r="BQ373" s="933"/>
      <c r="BR373" s="933"/>
      <c r="BS373" s="933"/>
      <c r="BT373" s="933"/>
      <c r="BU373" s="933"/>
      <c r="BV373" s="933"/>
      <c r="BW373" s="933"/>
      <c r="BX373" s="933"/>
      <c r="BY373" s="933"/>
      <c r="BZ373" s="933"/>
      <c r="CA373" s="933"/>
      <c r="CB373" s="933"/>
      <c r="CC373" s="933"/>
      <c r="CD373" s="933"/>
      <c r="CE373" s="933"/>
      <c r="CF373" s="933"/>
    </row>
    <row r="374" spans="2:84" s="887" customFormat="1" ht="18" customHeight="1" x14ac:dyDescent="0.25">
      <c r="B374" s="856"/>
      <c r="C374" s="946"/>
      <c r="D374" s="947"/>
      <c r="E374" s="933"/>
      <c r="F374" s="933"/>
      <c r="G374" s="933"/>
      <c r="H374" s="933"/>
      <c r="I374" s="933"/>
      <c r="J374" s="933"/>
      <c r="K374" s="933"/>
      <c r="L374" s="933"/>
      <c r="M374" s="933"/>
      <c r="N374" s="933"/>
      <c r="O374" s="857"/>
      <c r="P374" s="857"/>
      <c r="Q374" s="857"/>
      <c r="R374" s="857"/>
      <c r="S374" s="857"/>
      <c r="T374" s="857"/>
      <c r="U374" s="933"/>
      <c r="V374" s="933"/>
      <c r="W374" s="933"/>
      <c r="X374" s="933"/>
      <c r="Y374" s="933"/>
      <c r="Z374" s="933"/>
      <c r="AA374" s="933"/>
      <c r="AB374" s="933"/>
      <c r="AC374" s="933"/>
      <c r="AD374" s="933"/>
      <c r="AE374" s="933"/>
      <c r="AF374" s="933"/>
      <c r="AG374" s="933"/>
      <c r="AH374" s="933"/>
      <c r="AI374" s="933"/>
      <c r="AJ374" s="933"/>
      <c r="AK374" s="933"/>
      <c r="AL374" s="933"/>
      <c r="AM374" s="933"/>
      <c r="AN374" s="933"/>
      <c r="AO374" s="933"/>
      <c r="AP374" s="933"/>
      <c r="AQ374" s="933"/>
      <c r="AR374" s="933"/>
      <c r="AS374" s="933"/>
      <c r="AT374" s="933"/>
      <c r="AU374" s="860"/>
      <c r="AV374" s="860"/>
      <c r="AW374" s="860"/>
      <c r="AX374" s="860"/>
      <c r="AY374" s="860"/>
      <c r="AZ374" s="860"/>
      <c r="BA374" s="860"/>
      <c r="BB374" s="860"/>
      <c r="BC374" s="860"/>
      <c r="BD374" s="933"/>
      <c r="BE374" s="933"/>
      <c r="BF374" s="933"/>
      <c r="BG374" s="933"/>
      <c r="BH374" s="933"/>
      <c r="BI374" s="933"/>
      <c r="BJ374" s="933"/>
      <c r="BK374" s="933"/>
      <c r="BL374" s="933"/>
      <c r="BM374" s="933"/>
      <c r="BN374" s="933"/>
      <c r="BO374" s="933"/>
      <c r="BP374" s="933"/>
      <c r="BQ374" s="933"/>
      <c r="BR374" s="933"/>
      <c r="BS374" s="933"/>
      <c r="BT374" s="933"/>
      <c r="BU374" s="933"/>
      <c r="BV374" s="933"/>
      <c r="BW374" s="933"/>
      <c r="BX374" s="933"/>
      <c r="BY374" s="933"/>
      <c r="BZ374" s="933"/>
      <c r="CA374" s="933"/>
      <c r="CB374" s="933"/>
      <c r="CC374" s="933"/>
      <c r="CD374" s="933"/>
      <c r="CE374" s="933"/>
      <c r="CF374" s="933"/>
    </row>
    <row r="375" spans="2:84" s="887" customFormat="1" ht="18" customHeight="1" x14ac:dyDescent="0.25">
      <c r="B375" s="856"/>
      <c r="C375" s="946"/>
      <c r="D375" s="947"/>
      <c r="E375" s="933"/>
      <c r="F375" s="933"/>
      <c r="G375" s="933"/>
      <c r="H375" s="933"/>
      <c r="I375" s="933"/>
      <c r="J375" s="933"/>
      <c r="K375" s="933"/>
      <c r="L375" s="933"/>
      <c r="M375" s="933"/>
      <c r="N375" s="933"/>
      <c r="O375" s="857"/>
      <c r="P375" s="857"/>
      <c r="Q375" s="857"/>
      <c r="R375" s="857"/>
      <c r="S375" s="857"/>
      <c r="T375" s="857"/>
      <c r="U375" s="933"/>
      <c r="V375" s="933"/>
      <c r="W375" s="933"/>
      <c r="X375" s="933"/>
      <c r="Y375" s="933"/>
      <c r="Z375" s="933"/>
      <c r="AA375" s="933"/>
      <c r="AB375" s="933"/>
      <c r="AC375" s="933"/>
      <c r="AD375" s="933"/>
      <c r="AE375" s="933"/>
      <c r="AF375" s="933"/>
      <c r="AG375" s="933"/>
      <c r="AH375" s="933"/>
      <c r="AI375" s="933"/>
      <c r="AJ375" s="933"/>
      <c r="AK375" s="933"/>
      <c r="AL375" s="933"/>
      <c r="AM375" s="933"/>
      <c r="AN375" s="933"/>
      <c r="AO375" s="933"/>
      <c r="AP375" s="933"/>
      <c r="AQ375" s="933"/>
      <c r="AR375" s="933"/>
      <c r="AS375" s="933"/>
      <c r="AT375" s="933"/>
      <c r="AU375" s="860"/>
      <c r="AV375" s="860"/>
      <c r="AW375" s="860"/>
      <c r="AX375" s="860"/>
      <c r="AY375" s="860"/>
      <c r="AZ375" s="860"/>
      <c r="BA375" s="860"/>
      <c r="BB375" s="860"/>
      <c r="BC375" s="860"/>
      <c r="BD375" s="933"/>
      <c r="BE375" s="933"/>
      <c r="BF375" s="933"/>
      <c r="BG375" s="933"/>
      <c r="BH375" s="933"/>
      <c r="BI375" s="933"/>
      <c r="BJ375" s="933"/>
      <c r="BK375" s="933"/>
      <c r="BL375" s="933"/>
      <c r="BM375" s="933"/>
      <c r="BN375" s="933"/>
      <c r="BO375" s="933"/>
      <c r="BP375" s="933"/>
      <c r="BQ375" s="933"/>
      <c r="BR375" s="933"/>
      <c r="BS375" s="933"/>
      <c r="BT375" s="933"/>
      <c r="BU375" s="933"/>
      <c r="BV375" s="933"/>
      <c r="BW375" s="933"/>
      <c r="BX375" s="933"/>
      <c r="BY375" s="933"/>
      <c r="BZ375" s="933"/>
      <c r="CA375" s="933"/>
      <c r="CB375" s="933"/>
      <c r="CC375" s="933"/>
      <c r="CD375" s="933"/>
      <c r="CE375" s="933"/>
      <c r="CF375" s="933"/>
    </row>
    <row r="376" spans="2:84" s="887" customFormat="1" ht="18" customHeight="1" x14ac:dyDescent="0.25">
      <c r="B376" s="856"/>
      <c r="C376" s="946"/>
      <c r="D376" s="947"/>
      <c r="E376" s="933"/>
      <c r="F376" s="933"/>
      <c r="G376" s="933"/>
      <c r="H376" s="933"/>
      <c r="I376" s="933"/>
      <c r="J376" s="933"/>
      <c r="K376" s="933"/>
      <c r="L376" s="933"/>
      <c r="M376" s="933"/>
      <c r="N376" s="933"/>
      <c r="O376" s="857"/>
      <c r="P376" s="857"/>
      <c r="Q376" s="857"/>
      <c r="R376" s="857"/>
      <c r="S376" s="857"/>
      <c r="T376" s="857"/>
      <c r="U376" s="933"/>
      <c r="V376" s="933"/>
      <c r="W376" s="933"/>
      <c r="X376" s="933"/>
      <c r="Y376" s="933"/>
      <c r="Z376" s="933"/>
      <c r="AA376" s="933"/>
      <c r="AB376" s="933"/>
      <c r="AC376" s="933"/>
      <c r="AD376" s="933"/>
      <c r="AE376" s="933"/>
      <c r="AF376" s="933"/>
      <c r="AG376" s="933"/>
      <c r="AH376" s="933"/>
      <c r="AI376" s="933"/>
      <c r="AJ376" s="933"/>
      <c r="AK376" s="933"/>
      <c r="AL376" s="933"/>
      <c r="AM376" s="933"/>
      <c r="AN376" s="933"/>
      <c r="AO376" s="933"/>
      <c r="AP376" s="933"/>
      <c r="AQ376" s="933"/>
      <c r="AR376" s="933"/>
      <c r="AS376" s="933"/>
      <c r="AT376" s="933"/>
      <c r="AU376" s="860"/>
      <c r="AV376" s="860"/>
      <c r="AW376" s="860"/>
      <c r="AX376" s="860"/>
      <c r="AY376" s="860"/>
      <c r="AZ376" s="860"/>
      <c r="BA376" s="860"/>
      <c r="BB376" s="860"/>
      <c r="BC376" s="860"/>
      <c r="BD376" s="933"/>
      <c r="BE376" s="933"/>
      <c r="BF376" s="933"/>
      <c r="BG376" s="933"/>
      <c r="BH376" s="933"/>
      <c r="BI376" s="933"/>
      <c r="BJ376" s="933"/>
      <c r="BK376" s="933"/>
      <c r="BL376" s="933"/>
      <c r="BM376" s="933"/>
      <c r="BN376" s="933"/>
      <c r="BO376" s="933"/>
      <c r="BP376" s="933"/>
      <c r="BQ376" s="933"/>
      <c r="BR376" s="933"/>
      <c r="BS376" s="933"/>
      <c r="BT376" s="933"/>
      <c r="BU376" s="933"/>
      <c r="BV376" s="933"/>
      <c r="BW376" s="933"/>
      <c r="BX376" s="933"/>
      <c r="BY376" s="933"/>
      <c r="BZ376" s="933"/>
      <c r="CA376" s="933"/>
      <c r="CB376" s="933"/>
      <c r="CC376" s="933"/>
      <c r="CD376" s="933"/>
      <c r="CE376" s="933"/>
      <c r="CF376" s="933"/>
    </row>
    <row r="377" spans="2:84" s="887" customFormat="1" ht="18" customHeight="1" x14ac:dyDescent="0.25">
      <c r="B377" s="856"/>
      <c r="C377" s="946"/>
      <c r="D377" s="947"/>
      <c r="E377" s="933"/>
      <c r="F377" s="933"/>
      <c r="G377" s="933"/>
      <c r="H377" s="933"/>
      <c r="I377" s="933"/>
      <c r="J377" s="933"/>
      <c r="K377" s="933"/>
      <c r="L377" s="933"/>
      <c r="M377" s="933"/>
      <c r="N377" s="933"/>
      <c r="O377" s="857"/>
      <c r="P377" s="857"/>
      <c r="Q377" s="857"/>
      <c r="R377" s="857"/>
      <c r="S377" s="857"/>
      <c r="T377" s="857"/>
      <c r="U377" s="933"/>
      <c r="V377" s="933"/>
      <c r="W377" s="933"/>
      <c r="X377" s="933"/>
      <c r="Y377" s="933"/>
      <c r="Z377" s="933"/>
      <c r="AA377" s="933"/>
      <c r="AB377" s="933"/>
      <c r="AC377" s="933"/>
      <c r="AD377" s="933"/>
      <c r="AE377" s="933"/>
      <c r="AF377" s="933"/>
      <c r="AG377" s="933"/>
      <c r="AH377" s="933"/>
      <c r="AI377" s="933"/>
      <c r="AJ377" s="933"/>
      <c r="AK377" s="933"/>
      <c r="AL377" s="933"/>
      <c r="AM377" s="933"/>
      <c r="AN377" s="933"/>
      <c r="AO377" s="933"/>
      <c r="AP377" s="933"/>
      <c r="AQ377" s="933"/>
      <c r="AR377" s="933"/>
      <c r="AS377" s="933"/>
      <c r="AT377" s="933"/>
      <c r="AU377" s="860"/>
      <c r="AV377" s="860"/>
      <c r="AW377" s="860"/>
      <c r="AX377" s="860"/>
      <c r="AY377" s="860"/>
      <c r="AZ377" s="860"/>
      <c r="BA377" s="860"/>
      <c r="BB377" s="860"/>
      <c r="BC377" s="860"/>
      <c r="BD377" s="933"/>
      <c r="BE377" s="933"/>
      <c r="BF377" s="933"/>
      <c r="BG377" s="933"/>
      <c r="BH377" s="933"/>
      <c r="BI377" s="933"/>
      <c r="BJ377" s="933"/>
      <c r="BK377" s="933"/>
      <c r="BL377" s="933"/>
      <c r="BM377" s="933"/>
      <c r="BN377" s="933"/>
      <c r="BO377" s="933"/>
      <c r="BP377" s="933"/>
      <c r="BQ377" s="933"/>
      <c r="BR377" s="933"/>
      <c r="BS377" s="933"/>
      <c r="BT377" s="933"/>
      <c r="BU377" s="933"/>
      <c r="BV377" s="933"/>
      <c r="BW377" s="933"/>
      <c r="BX377" s="933"/>
      <c r="BY377" s="933"/>
      <c r="BZ377" s="933"/>
      <c r="CA377" s="933"/>
      <c r="CB377" s="933"/>
      <c r="CC377" s="933"/>
      <c r="CD377" s="933"/>
      <c r="CE377" s="933"/>
      <c r="CF377" s="933"/>
    </row>
    <row r="378" spans="2:84" s="887" customFormat="1" ht="18" customHeight="1" x14ac:dyDescent="0.25">
      <c r="B378" s="856"/>
      <c r="C378" s="946"/>
      <c r="D378" s="947"/>
      <c r="E378" s="933"/>
      <c r="F378" s="933"/>
      <c r="G378" s="933"/>
      <c r="H378" s="933"/>
      <c r="I378" s="933"/>
      <c r="J378" s="933"/>
      <c r="K378" s="933"/>
      <c r="L378" s="933"/>
      <c r="M378" s="933"/>
      <c r="N378" s="933"/>
      <c r="O378" s="857"/>
      <c r="P378" s="857"/>
      <c r="Q378" s="857"/>
      <c r="R378" s="857"/>
      <c r="S378" s="857"/>
      <c r="T378" s="857"/>
      <c r="U378" s="933"/>
      <c r="V378" s="933"/>
      <c r="W378" s="933"/>
      <c r="X378" s="933"/>
      <c r="Y378" s="933"/>
      <c r="Z378" s="933"/>
      <c r="AA378" s="933"/>
      <c r="AB378" s="933"/>
      <c r="AC378" s="933"/>
      <c r="AD378" s="933"/>
      <c r="AE378" s="933"/>
      <c r="AF378" s="933"/>
      <c r="AG378" s="933"/>
      <c r="AH378" s="933"/>
      <c r="AI378" s="933"/>
      <c r="AJ378" s="933"/>
      <c r="AK378" s="933"/>
      <c r="AL378" s="933"/>
      <c r="AM378" s="933"/>
      <c r="AN378" s="933"/>
      <c r="AO378" s="933"/>
      <c r="AP378" s="933"/>
      <c r="AQ378" s="933"/>
      <c r="AR378" s="933"/>
      <c r="AS378" s="933"/>
      <c r="AT378" s="933"/>
      <c r="AU378" s="860"/>
      <c r="AV378" s="860"/>
      <c r="AW378" s="860"/>
      <c r="AX378" s="860"/>
      <c r="AY378" s="860"/>
      <c r="AZ378" s="860"/>
      <c r="BA378" s="860"/>
      <c r="BB378" s="860"/>
      <c r="BC378" s="860"/>
      <c r="BD378" s="933"/>
      <c r="BE378" s="933"/>
      <c r="BF378" s="933"/>
      <c r="BG378" s="933"/>
      <c r="BH378" s="933"/>
      <c r="BI378" s="933"/>
      <c r="BJ378" s="933"/>
      <c r="BK378" s="933"/>
      <c r="BL378" s="933"/>
      <c r="BM378" s="933"/>
      <c r="BN378" s="933"/>
      <c r="BO378" s="933"/>
      <c r="BP378" s="933"/>
      <c r="BQ378" s="933"/>
      <c r="BR378" s="933"/>
      <c r="BS378" s="933"/>
      <c r="BT378" s="933"/>
      <c r="BU378" s="933"/>
      <c r="BV378" s="933"/>
      <c r="BW378" s="933"/>
      <c r="BX378" s="933"/>
      <c r="BY378" s="933"/>
      <c r="BZ378" s="933"/>
      <c r="CA378" s="933"/>
      <c r="CB378" s="933"/>
      <c r="CC378" s="933"/>
      <c r="CD378" s="933"/>
      <c r="CE378" s="933"/>
      <c r="CF378" s="933"/>
    </row>
    <row r="379" spans="2:84" s="887" customFormat="1" ht="18" customHeight="1" x14ac:dyDescent="0.25">
      <c r="B379" s="856"/>
      <c r="C379" s="946"/>
      <c r="D379" s="947"/>
      <c r="E379" s="933"/>
      <c r="F379" s="933"/>
      <c r="G379" s="933"/>
      <c r="H379" s="933"/>
      <c r="I379" s="933"/>
      <c r="J379" s="933"/>
      <c r="K379" s="933"/>
      <c r="L379" s="933"/>
      <c r="M379" s="933"/>
      <c r="N379" s="933"/>
      <c r="O379" s="857"/>
      <c r="P379" s="857"/>
      <c r="Q379" s="857"/>
      <c r="R379" s="857"/>
      <c r="S379" s="857"/>
      <c r="T379" s="857"/>
      <c r="U379" s="933"/>
      <c r="V379" s="933"/>
      <c r="W379" s="933"/>
      <c r="X379" s="933"/>
      <c r="Y379" s="933"/>
      <c r="Z379" s="933"/>
      <c r="AA379" s="933"/>
      <c r="AB379" s="933"/>
      <c r="AC379" s="933"/>
      <c r="AD379" s="933"/>
      <c r="AE379" s="933"/>
      <c r="AF379" s="933"/>
      <c r="AG379" s="933"/>
      <c r="AH379" s="933"/>
      <c r="AI379" s="933"/>
      <c r="AJ379" s="933"/>
      <c r="AK379" s="933"/>
      <c r="AL379" s="933"/>
      <c r="AM379" s="933"/>
      <c r="AN379" s="933"/>
      <c r="AO379" s="933"/>
      <c r="AP379" s="933"/>
      <c r="AQ379" s="933"/>
      <c r="AR379" s="933"/>
      <c r="AS379" s="933"/>
      <c r="AT379" s="933"/>
      <c r="AU379" s="860"/>
      <c r="AV379" s="860"/>
      <c r="AW379" s="860"/>
      <c r="AX379" s="860"/>
      <c r="AY379" s="860"/>
      <c r="AZ379" s="860"/>
      <c r="BA379" s="860"/>
      <c r="BB379" s="860"/>
      <c r="BC379" s="860"/>
      <c r="BD379" s="933"/>
      <c r="BE379" s="933"/>
      <c r="BF379" s="933"/>
      <c r="BG379" s="933"/>
      <c r="BH379" s="933"/>
      <c r="BI379" s="933"/>
      <c r="BJ379" s="933"/>
      <c r="BK379" s="933"/>
      <c r="BL379" s="933"/>
      <c r="BM379" s="933"/>
      <c r="BN379" s="933"/>
      <c r="BO379" s="933"/>
      <c r="BP379" s="933"/>
      <c r="BQ379" s="933"/>
      <c r="BR379" s="933"/>
      <c r="BS379" s="933"/>
      <c r="BT379" s="933"/>
      <c r="BU379" s="933"/>
      <c r="BV379" s="933"/>
      <c r="BW379" s="933"/>
      <c r="BX379" s="933"/>
      <c r="BY379" s="933"/>
      <c r="BZ379" s="933"/>
      <c r="CA379" s="933"/>
      <c r="CB379" s="933"/>
      <c r="CC379" s="933"/>
      <c r="CD379" s="933"/>
      <c r="CE379" s="933"/>
      <c r="CF379" s="933"/>
    </row>
    <row r="380" spans="2:84" s="887" customFormat="1" ht="18" customHeight="1" x14ac:dyDescent="0.25">
      <c r="B380" s="856"/>
      <c r="C380" s="946"/>
      <c r="D380" s="947"/>
      <c r="E380" s="933"/>
      <c r="F380" s="933"/>
      <c r="G380" s="933"/>
      <c r="H380" s="933"/>
      <c r="I380" s="933"/>
      <c r="J380" s="933"/>
      <c r="K380" s="933"/>
      <c r="L380" s="933"/>
      <c r="M380" s="933"/>
      <c r="N380" s="933"/>
      <c r="O380" s="857"/>
      <c r="P380" s="857"/>
      <c r="Q380" s="857"/>
      <c r="R380" s="857"/>
      <c r="S380" s="857"/>
      <c r="T380" s="857"/>
      <c r="U380" s="933"/>
      <c r="V380" s="933"/>
      <c r="W380" s="933"/>
      <c r="X380" s="933"/>
      <c r="Y380" s="933"/>
      <c r="Z380" s="933"/>
      <c r="AA380" s="933"/>
      <c r="AB380" s="933"/>
      <c r="AC380" s="933"/>
      <c r="AD380" s="933"/>
      <c r="AE380" s="933"/>
      <c r="AF380" s="933"/>
      <c r="AG380" s="933"/>
      <c r="AH380" s="933"/>
      <c r="AI380" s="933"/>
      <c r="AJ380" s="933"/>
      <c r="AK380" s="933"/>
      <c r="AL380" s="933"/>
      <c r="AM380" s="933"/>
      <c r="AN380" s="933"/>
      <c r="AO380" s="933"/>
      <c r="AP380" s="933"/>
      <c r="AQ380" s="933"/>
      <c r="AR380" s="933"/>
      <c r="AS380" s="933"/>
      <c r="AT380" s="933"/>
      <c r="AU380" s="860"/>
      <c r="AV380" s="860"/>
      <c r="AW380" s="860"/>
      <c r="AX380" s="860"/>
      <c r="AY380" s="860"/>
      <c r="AZ380" s="860"/>
      <c r="BA380" s="860"/>
      <c r="BB380" s="860"/>
      <c r="BC380" s="860"/>
      <c r="BD380" s="933"/>
      <c r="BE380" s="933"/>
      <c r="BF380" s="933"/>
      <c r="BG380" s="933"/>
      <c r="BH380" s="933"/>
      <c r="BI380" s="933"/>
      <c r="BJ380" s="933"/>
      <c r="BK380" s="933"/>
      <c r="BL380" s="933"/>
      <c r="BM380" s="933"/>
      <c r="BN380" s="933"/>
      <c r="BO380" s="933"/>
      <c r="BP380" s="933"/>
      <c r="BQ380" s="933"/>
      <c r="BR380" s="933"/>
      <c r="BS380" s="933"/>
      <c r="BT380" s="933"/>
      <c r="BU380" s="933"/>
      <c r="BV380" s="933"/>
      <c r="BW380" s="933"/>
      <c r="BX380" s="933"/>
      <c r="BY380" s="933"/>
      <c r="BZ380" s="933"/>
      <c r="CA380" s="933"/>
      <c r="CB380" s="933"/>
      <c r="CC380" s="933"/>
      <c r="CD380" s="933"/>
      <c r="CE380" s="933"/>
      <c r="CF380" s="933"/>
    </row>
    <row r="381" spans="2:84" s="887" customFormat="1" ht="18" customHeight="1" x14ac:dyDescent="0.25">
      <c r="B381" s="856"/>
      <c r="C381" s="946"/>
      <c r="D381" s="947"/>
      <c r="E381" s="933"/>
      <c r="F381" s="933"/>
      <c r="G381" s="933"/>
      <c r="H381" s="933"/>
      <c r="I381" s="933"/>
      <c r="J381" s="933"/>
      <c r="K381" s="933"/>
      <c r="L381" s="933"/>
      <c r="M381" s="933"/>
      <c r="N381" s="933"/>
      <c r="O381" s="857"/>
      <c r="P381" s="857"/>
      <c r="Q381" s="857"/>
      <c r="R381" s="857"/>
      <c r="S381" s="857"/>
      <c r="T381" s="857"/>
      <c r="U381" s="933"/>
      <c r="V381" s="933"/>
      <c r="W381" s="933"/>
      <c r="X381" s="933"/>
      <c r="Y381" s="933"/>
      <c r="Z381" s="933"/>
      <c r="AA381" s="933"/>
      <c r="AB381" s="933"/>
      <c r="AC381" s="933"/>
      <c r="AD381" s="933"/>
      <c r="AE381" s="933"/>
      <c r="AF381" s="933"/>
      <c r="AG381" s="933"/>
      <c r="AH381" s="933"/>
      <c r="AI381" s="933"/>
      <c r="AJ381" s="933"/>
      <c r="AK381" s="933"/>
      <c r="AL381" s="933"/>
      <c r="AM381" s="933"/>
      <c r="AN381" s="933"/>
      <c r="AO381" s="933"/>
      <c r="AP381" s="933"/>
      <c r="AQ381" s="933"/>
      <c r="AR381" s="933"/>
      <c r="AS381" s="933"/>
      <c r="AT381" s="933"/>
      <c r="AU381" s="860"/>
      <c r="AV381" s="860"/>
      <c r="AW381" s="860"/>
      <c r="AX381" s="860"/>
      <c r="AY381" s="860"/>
      <c r="AZ381" s="860"/>
      <c r="BA381" s="860"/>
      <c r="BB381" s="860"/>
      <c r="BC381" s="860"/>
      <c r="BD381" s="933"/>
      <c r="BE381" s="933"/>
      <c r="BF381" s="933"/>
      <c r="BG381" s="933"/>
      <c r="BH381" s="933"/>
      <c r="BI381" s="933"/>
      <c r="BJ381" s="933"/>
      <c r="BK381" s="933"/>
      <c r="BL381" s="933"/>
      <c r="BM381" s="933"/>
      <c r="BN381" s="933"/>
      <c r="BO381" s="933"/>
      <c r="BP381" s="933"/>
      <c r="BQ381" s="933"/>
      <c r="BR381" s="933"/>
      <c r="BS381" s="933"/>
      <c r="BT381" s="933"/>
      <c r="BU381" s="933"/>
      <c r="BV381" s="933"/>
      <c r="BW381" s="933"/>
      <c r="BX381" s="933"/>
      <c r="BY381" s="933"/>
      <c r="BZ381" s="933"/>
      <c r="CA381" s="933"/>
      <c r="CB381" s="933"/>
      <c r="CC381" s="933"/>
      <c r="CD381" s="933"/>
      <c r="CE381" s="933"/>
      <c r="CF381" s="933"/>
    </row>
    <row r="382" spans="2:84" s="887" customFormat="1" ht="18" customHeight="1" x14ac:dyDescent="0.25">
      <c r="B382" s="856"/>
      <c r="C382" s="946"/>
      <c r="D382" s="947"/>
      <c r="E382" s="933"/>
      <c r="F382" s="933"/>
      <c r="G382" s="933"/>
      <c r="H382" s="933"/>
      <c r="I382" s="933"/>
      <c r="J382" s="933"/>
      <c r="K382" s="933"/>
      <c r="L382" s="933"/>
      <c r="M382" s="933"/>
      <c r="N382" s="933"/>
      <c r="O382" s="857"/>
      <c r="P382" s="857"/>
      <c r="Q382" s="857"/>
      <c r="R382" s="857"/>
      <c r="S382" s="857"/>
      <c r="T382" s="857"/>
      <c r="U382" s="933"/>
      <c r="V382" s="933"/>
      <c r="W382" s="933"/>
      <c r="X382" s="933"/>
      <c r="Y382" s="933"/>
      <c r="Z382" s="933"/>
      <c r="AA382" s="933"/>
      <c r="AB382" s="933"/>
      <c r="AC382" s="933"/>
      <c r="AD382" s="933"/>
      <c r="AE382" s="933"/>
      <c r="AF382" s="933"/>
      <c r="AG382" s="933"/>
      <c r="AH382" s="933"/>
      <c r="AI382" s="933"/>
      <c r="AJ382" s="933"/>
      <c r="AK382" s="933"/>
      <c r="AL382" s="933"/>
      <c r="AM382" s="933"/>
      <c r="AN382" s="933"/>
      <c r="AO382" s="933"/>
      <c r="AP382" s="933"/>
      <c r="AQ382" s="933"/>
      <c r="AR382" s="933"/>
      <c r="AS382" s="933"/>
      <c r="AT382" s="933"/>
      <c r="AU382" s="860"/>
      <c r="AV382" s="860"/>
      <c r="AW382" s="860"/>
      <c r="AX382" s="860"/>
      <c r="AY382" s="860"/>
      <c r="AZ382" s="860"/>
      <c r="BA382" s="860"/>
      <c r="BB382" s="860"/>
      <c r="BC382" s="860"/>
      <c r="BD382" s="933"/>
      <c r="BE382" s="933"/>
      <c r="BF382" s="933"/>
      <c r="BG382" s="933"/>
      <c r="BH382" s="933"/>
      <c r="BI382" s="933"/>
      <c r="BJ382" s="933"/>
      <c r="BK382" s="933"/>
      <c r="BL382" s="933"/>
      <c r="BM382" s="933"/>
      <c r="BN382" s="933"/>
      <c r="BO382" s="933"/>
      <c r="BP382" s="933"/>
      <c r="BQ382" s="933"/>
      <c r="BR382" s="933"/>
      <c r="BS382" s="933"/>
      <c r="BT382" s="933"/>
      <c r="BU382" s="933"/>
      <c r="BV382" s="933"/>
      <c r="BW382" s="933"/>
      <c r="BX382" s="933"/>
      <c r="BY382" s="933"/>
      <c r="BZ382" s="933"/>
      <c r="CA382" s="933"/>
      <c r="CB382" s="933"/>
      <c r="CC382" s="933"/>
      <c r="CD382" s="933"/>
      <c r="CE382" s="933"/>
      <c r="CF382" s="933"/>
    </row>
    <row r="383" spans="2:84" s="887" customFormat="1" ht="18" customHeight="1" x14ac:dyDescent="0.25">
      <c r="B383" s="856"/>
      <c r="C383" s="946"/>
      <c r="D383" s="947"/>
      <c r="E383" s="933"/>
      <c r="F383" s="933"/>
      <c r="G383" s="933"/>
      <c r="H383" s="933"/>
      <c r="I383" s="933"/>
      <c r="J383" s="933"/>
      <c r="K383" s="933"/>
      <c r="L383" s="933"/>
      <c r="M383" s="933"/>
      <c r="N383" s="933"/>
      <c r="O383" s="857"/>
      <c r="P383" s="857"/>
      <c r="Q383" s="857"/>
      <c r="R383" s="857"/>
      <c r="S383" s="857"/>
      <c r="T383" s="857"/>
      <c r="U383" s="933"/>
      <c r="V383" s="933"/>
      <c r="W383" s="933"/>
      <c r="X383" s="933"/>
      <c r="Y383" s="933"/>
      <c r="Z383" s="933"/>
      <c r="AA383" s="933"/>
      <c r="AB383" s="933"/>
      <c r="AC383" s="933"/>
      <c r="AD383" s="933"/>
      <c r="AE383" s="933"/>
      <c r="AF383" s="933"/>
      <c r="AG383" s="933"/>
      <c r="AH383" s="933"/>
      <c r="AI383" s="933"/>
      <c r="AJ383" s="933"/>
      <c r="AK383" s="933"/>
      <c r="AL383" s="933"/>
      <c r="AM383" s="933"/>
      <c r="AN383" s="933"/>
      <c r="AO383" s="933"/>
      <c r="AP383" s="933"/>
      <c r="AQ383" s="933"/>
      <c r="AR383" s="933"/>
      <c r="AS383" s="933"/>
      <c r="AT383" s="933"/>
      <c r="AU383" s="860"/>
      <c r="AV383" s="860"/>
      <c r="AW383" s="860"/>
      <c r="AX383" s="860"/>
      <c r="AY383" s="860"/>
      <c r="AZ383" s="860"/>
      <c r="BA383" s="860"/>
      <c r="BB383" s="860"/>
      <c r="BC383" s="860"/>
      <c r="BD383" s="933"/>
      <c r="BE383" s="933"/>
      <c r="BF383" s="933"/>
      <c r="BG383" s="933"/>
      <c r="BH383" s="933"/>
      <c r="BI383" s="933"/>
      <c r="BJ383" s="933"/>
      <c r="BK383" s="933"/>
      <c r="BL383" s="933"/>
      <c r="BM383" s="933"/>
      <c r="BN383" s="933"/>
      <c r="BO383" s="933"/>
      <c r="BP383" s="933"/>
      <c r="BQ383" s="933"/>
      <c r="BR383" s="933"/>
      <c r="BS383" s="933"/>
      <c r="BT383" s="933"/>
      <c r="BU383" s="933"/>
      <c r="BV383" s="933"/>
      <c r="BW383" s="933"/>
      <c r="BX383" s="933"/>
      <c r="BY383" s="933"/>
      <c r="BZ383" s="933"/>
      <c r="CA383" s="933"/>
      <c r="CB383" s="933"/>
      <c r="CC383" s="933"/>
      <c r="CD383" s="933"/>
      <c r="CE383" s="933"/>
      <c r="CF383" s="933"/>
    </row>
    <row r="384" spans="2:84" s="887" customFormat="1" ht="18" customHeight="1" x14ac:dyDescent="0.25">
      <c r="B384" s="856"/>
      <c r="C384" s="946"/>
      <c r="D384" s="947"/>
      <c r="E384" s="933"/>
      <c r="F384" s="933"/>
      <c r="G384" s="933"/>
      <c r="H384" s="933"/>
      <c r="I384" s="933"/>
      <c r="J384" s="933"/>
      <c r="K384" s="933"/>
      <c r="L384" s="933"/>
      <c r="M384" s="933"/>
      <c r="N384" s="933"/>
      <c r="O384" s="857"/>
      <c r="P384" s="857"/>
      <c r="Q384" s="857"/>
      <c r="R384" s="857"/>
      <c r="S384" s="857"/>
      <c r="T384" s="857"/>
      <c r="U384" s="933"/>
      <c r="V384" s="933"/>
      <c r="W384" s="933"/>
      <c r="X384" s="933"/>
      <c r="Y384" s="933"/>
      <c r="Z384" s="933"/>
      <c r="AA384" s="933"/>
      <c r="AB384" s="933"/>
      <c r="AC384" s="933"/>
      <c r="AD384" s="933"/>
      <c r="AE384" s="933"/>
      <c r="AF384" s="933"/>
      <c r="AG384" s="933"/>
      <c r="AH384" s="933"/>
      <c r="AI384" s="933"/>
      <c r="AJ384" s="933"/>
      <c r="AK384" s="933"/>
      <c r="AL384" s="933"/>
      <c r="AM384" s="933"/>
      <c r="AN384" s="933"/>
      <c r="AO384" s="933"/>
      <c r="AP384" s="933"/>
      <c r="AQ384" s="933"/>
      <c r="AR384" s="933"/>
      <c r="AS384" s="933"/>
      <c r="AT384" s="933"/>
      <c r="AU384" s="860"/>
      <c r="AV384" s="860"/>
      <c r="AW384" s="860"/>
      <c r="AX384" s="860"/>
      <c r="AY384" s="860"/>
      <c r="AZ384" s="860"/>
      <c r="BA384" s="860"/>
      <c r="BB384" s="860"/>
      <c r="BC384" s="860"/>
      <c r="BD384" s="933"/>
      <c r="BE384" s="933"/>
      <c r="BF384" s="933"/>
      <c r="BG384" s="933"/>
      <c r="BH384" s="933"/>
      <c r="BI384" s="933"/>
      <c r="BJ384" s="933"/>
      <c r="BK384" s="933"/>
      <c r="BL384" s="933"/>
      <c r="BM384" s="933"/>
      <c r="BN384" s="933"/>
      <c r="BO384" s="933"/>
      <c r="BP384" s="933"/>
      <c r="BQ384" s="933"/>
      <c r="BR384" s="933"/>
      <c r="BS384" s="933"/>
      <c r="BT384" s="933"/>
      <c r="BU384" s="933"/>
      <c r="BV384" s="933"/>
      <c r="BW384" s="933"/>
      <c r="BX384" s="933"/>
      <c r="BY384" s="933"/>
      <c r="BZ384" s="933"/>
      <c r="CA384" s="933"/>
      <c r="CB384" s="933"/>
      <c r="CC384" s="933"/>
      <c r="CD384" s="933"/>
      <c r="CE384" s="933"/>
      <c r="CF384" s="933"/>
    </row>
    <row r="385" spans="2:84" s="887" customFormat="1" ht="18" customHeight="1" x14ac:dyDescent="0.25">
      <c r="B385" s="856"/>
      <c r="C385" s="946"/>
      <c r="D385" s="947"/>
      <c r="E385" s="933"/>
      <c r="F385" s="933"/>
      <c r="G385" s="933"/>
      <c r="H385" s="933"/>
      <c r="I385" s="933"/>
      <c r="J385" s="933"/>
      <c r="K385" s="933"/>
      <c r="L385" s="933"/>
      <c r="M385" s="933"/>
      <c r="N385" s="933"/>
      <c r="O385" s="857"/>
      <c r="P385" s="857"/>
      <c r="Q385" s="857"/>
      <c r="R385" s="857"/>
      <c r="S385" s="857"/>
      <c r="T385" s="857"/>
      <c r="U385" s="933"/>
      <c r="V385" s="933"/>
      <c r="W385" s="933"/>
      <c r="X385" s="933"/>
      <c r="Y385" s="933"/>
      <c r="Z385" s="933"/>
      <c r="AA385" s="933"/>
      <c r="AB385" s="933"/>
      <c r="AC385" s="933"/>
      <c r="AD385" s="933"/>
      <c r="AE385" s="933"/>
      <c r="AF385" s="933"/>
      <c r="AG385" s="933"/>
      <c r="AH385" s="933"/>
      <c r="AI385" s="933"/>
      <c r="AJ385" s="933"/>
      <c r="AK385" s="933"/>
      <c r="AL385" s="933"/>
      <c r="AM385" s="933"/>
      <c r="AN385" s="933"/>
      <c r="AO385" s="933"/>
      <c r="AP385" s="933"/>
      <c r="AQ385" s="933"/>
      <c r="AR385" s="933"/>
      <c r="AS385" s="933"/>
      <c r="AT385" s="933"/>
      <c r="AU385" s="860"/>
      <c r="AV385" s="860"/>
      <c r="AW385" s="860"/>
      <c r="AX385" s="860"/>
      <c r="AY385" s="860"/>
      <c r="AZ385" s="860"/>
      <c r="BA385" s="860"/>
      <c r="BB385" s="860"/>
      <c r="BC385" s="860"/>
      <c r="BD385" s="933"/>
      <c r="BE385" s="933"/>
      <c r="BF385" s="933"/>
      <c r="BG385" s="933"/>
      <c r="BH385" s="933"/>
      <c r="BI385" s="933"/>
      <c r="BJ385" s="933"/>
      <c r="BK385" s="933"/>
      <c r="BL385" s="933"/>
      <c r="BM385" s="933"/>
      <c r="BN385" s="933"/>
      <c r="BO385" s="933"/>
      <c r="BP385" s="933"/>
      <c r="BQ385" s="933"/>
      <c r="BR385" s="933"/>
      <c r="BS385" s="933"/>
      <c r="BT385" s="933"/>
      <c r="BU385" s="933"/>
      <c r="BV385" s="933"/>
      <c r="BW385" s="933"/>
      <c r="BX385" s="933"/>
      <c r="BY385" s="933"/>
      <c r="BZ385" s="933"/>
      <c r="CA385" s="933"/>
      <c r="CB385" s="933"/>
      <c r="CC385" s="933"/>
      <c r="CD385" s="933"/>
      <c r="CE385" s="933"/>
      <c r="CF385" s="933"/>
    </row>
    <row r="386" spans="2:84" s="887" customFormat="1" ht="18" customHeight="1" x14ac:dyDescent="0.25">
      <c r="B386" s="856"/>
      <c r="C386" s="946"/>
      <c r="D386" s="947"/>
      <c r="E386" s="933"/>
      <c r="F386" s="933"/>
      <c r="G386" s="933"/>
      <c r="H386" s="933"/>
      <c r="I386" s="933"/>
      <c r="J386" s="933"/>
      <c r="K386" s="933"/>
      <c r="L386" s="933"/>
      <c r="M386" s="933"/>
      <c r="N386" s="933"/>
      <c r="O386" s="857"/>
      <c r="P386" s="857"/>
      <c r="Q386" s="857"/>
      <c r="R386" s="857"/>
      <c r="S386" s="857"/>
      <c r="T386" s="857"/>
      <c r="U386" s="933"/>
      <c r="V386" s="933"/>
      <c r="W386" s="933"/>
      <c r="X386" s="933"/>
      <c r="Y386" s="933"/>
      <c r="Z386" s="933"/>
      <c r="AA386" s="933"/>
      <c r="AB386" s="933"/>
      <c r="AC386" s="933"/>
      <c r="AD386" s="933"/>
      <c r="AE386" s="933"/>
      <c r="AF386" s="933"/>
      <c r="AG386" s="933"/>
      <c r="AH386" s="933"/>
      <c r="AI386" s="933"/>
      <c r="AJ386" s="933"/>
      <c r="AK386" s="933"/>
      <c r="AL386" s="933"/>
      <c r="AM386" s="933"/>
      <c r="AN386" s="933"/>
      <c r="AO386" s="933"/>
      <c r="AP386" s="933"/>
      <c r="AQ386" s="933"/>
      <c r="AR386" s="933"/>
      <c r="AS386" s="933"/>
      <c r="AT386" s="933"/>
      <c r="AU386" s="860"/>
      <c r="AV386" s="860"/>
      <c r="AW386" s="860"/>
      <c r="AX386" s="860"/>
      <c r="AY386" s="860"/>
      <c r="AZ386" s="860"/>
      <c r="BA386" s="860"/>
      <c r="BB386" s="860"/>
      <c r="BC386" s="860"/>
      <c r="BD386" s="933"/>
      <c r="BE386" s="933"/>
      <c r="BF386" s="933"/>
      <c r="BG386" s="933"/>
      <c r="BH386" s="933"/>
      <c r="BI386" s="933"/>
      <c r="BJ386" s="933"/>
      <c r="BK386" s="933"/>
      <c r="BL386" s="933"/>
      <c r="BM386" s="933"/>
      <c r="BN386" s="933"/>
      <c r="BO386" s="933"/>
      <c r="BP386" s="933"/>
      <c r="BQ386" s="933"/>
      <c r="BR386" s="933"/>
      <c r="BS386" s="933"/>
      <c r="BT386" s="933"/>
      <c r="BU386" s="933"/>
      <c r="BV386" s="933"/>
      <c r="BW386" s="933"/>
      <c r="BX386" s="933"/>
      <c r="BY386" s="933"/>
      <c r="BZ386" s="933"/>
      <c r="CA386" s="933"/>
      <c r="CB386" s="933"/>
      <c r="CC386" s="933"/>
      <c r="CD386" s="933"/>
      <c r="CE386" s="933"/>
      <c r="CF386" s="933"/>
    </row>
    <row r="387" spans="2:84" s="887" customFormat="1" ht="18" customHeight="1" x14ac:dyDescent="0.25">
      <c r="B387" s="856"/>
      <c r="C387" s="946"/>
      <c r="D387" s="947"/>
      <c r="E387" s="933"/>
      <c r="F387" s="933"/>
      <c r="G387" s="933"/>
      <c r="H387" s="933"/>
      <c r="I387" s="933"/>
      <c r="J387" s="933"/>
      <c r="K387" s="933"/>
      <c r="L387" s="933"/>
      <c r="M387" s="933"/>
      <c r="N387" s="933"/>
      <c r="O387" s="857"/>
      <c r="P387" s="857"/>
      <c r="Q387" s="857"/>
      <c r="R387" s="857"/>
      <c r="S387" s="857"/>
      <c r="T387" s="857"/>
      <c r="U387" s="933"/>
      <c r="V387" s="933"/>
      <c r="W387" s="933"/>
      <c r="X387" s="933"/>
      <c r="Y387" s="933"/>
      <c r="Z387" s="933"/>
      <c r="AA387" s="933"/>
      <c r="AB387" s="933"/>
      <c r="AC387" s="933"/>
      <c r="AD387" s="933"/>
      <c r="AE387" s="933"/>
      <c r="AF387" s="933"/>
      <c r="AG387" s="933"/>
      <c r="AH387" s="933"/>
      <c r="AI387" s="933"/>
      <c r="AJ387" s="933"/>
      <c r="AK387" s="933"/>
      <c r="AL387" s="933"/>
      <c r="AM387" s="933"/>
      <c r="AN387" s="933"/>
      <c r="AO387" s="933"/>
      <c r="AP387" s="933"/>
      <c r="AQ387" s="933"/>
      <c r="AR387" s="933"/>
      <c r="AS387" s="933"/>
      <c r="AT387" s="933"/>
      <c r="AU387" s="860"/>
      <c r="AV387" s="860"/>
      <c r="AW387" s="860"/>
      <c r="AX387" s="860"/>
      <c r="AY387" s="860"/>
      <c r="AZ387" s="860"/>
      <c r="BA387" s="860"/>
      <c r="BB387" s="860"/>
      <c r="BC387" s="860"/>
      <c r="BD387" s="933"/>
      <c r="BE387" s="933"/>
      <c r="BF387" s="933"/>
      <c r="BG387" s="933"/>
      <c r="BH387" s="933"/>
      <c r="BI387" s="933"/>
      <c r="BJ387" s="933"/>
      <c r="BK387" s="933"/>
      <c r="BL387" s="933"/>
      <c r="BM387" s="933"/>
      <c r="BN387" s="933"/>
      <c r="BO387" s="933"/>
      <c r="BP387" s="933"/>
      <c r="BQ387" s="933"/>
      <c r="BR387" s="933"/>
      <c r="BS387" s="933"/>
      <c r="BT387" s="933"/>
      <c r="BU387" s="933"/>
      <c r="BV387" s="933"/>
      <c r="BW387" s="933"/>
      <c r="BX387" s="933"/>
      <c r="BY387" s="933"/>
      <c r="BZ387" s="933"/>
      <c r="CA387" s="933"/>
      <c r="CB387" s="933"/>
      <c r="CC387" s="933"/>
      <c r="CD387" s="933"/>
      <c r="CE387" s="933"/>
      <c r="CF387" s="933"/>
    </row>
    <row r="388" spans="2:84" s="887" customFormat="1" ht="18" customHeight="1" x14ac:dyDescent="0.25">
      <c r="B388" s="856"/>
      <c r="C388" s="946"/>
      <c r="D388" s="947"/>
      <c r="E388" s="933"/>
      <c r="F388" s="933"/>
      <c r="G388" s="933"/>
      <c r="H388" s="933"/>
      <c r="I388" s="933"/>
      <c r="J388" s="933"/>
      <c r="K388" s="933"/>
      <c r="L388" s="933"/>
      <c r="M388" s="933"/>
      <c r="N388" s="933"/>
      <c r="O388" s="857"/>
      <c r="P388" s="857"/>
      <c r="Q388" s="857"/>
      <c r="R388" s="857"/>
      <c r="S388" s="857"/>
      <c r="T388" s="857"/>
      <c r="U388" s="933"/>
      <c r="V388" s="933"/>
      <c r="W388" s="933"/>
      <c r="X388" s="933"/>
      <c r="Y388" s="933"/>
      <c r="Z388" s="933"/>
      <c r="AA388" s="933"/>
      <c r="AB388" s="933"/>
      <c r="AC388" s="933"/>
      <c r="AD388" s="933"/>
      <c r="AE388" s="933"/>
      <c r="AF388" s="933"/>
      <c r="AG388" s="933"/>
      <c r="AH388" s="933"/>
      <c r="AI388" s="933"/>
      <c r="AJ388" s="933"/>
      <c r="AK388" s="933"/>
      <c r="AL388" s="933"/>
      <c r="AM388" s="933"/>
      <c r="AN388" s="933"/>
      <c r="AO388" s="933"/>
      <c r="AP388" s="933"/>
      <c r="AQ388" s="933"/>
      <c r="AR388" s="933"/>
      <c r="AS388" s="933"/>
      <c r="AT388" s="933"/>
      <c r="AU388" s="860"/>
      <c r="AV388" s="860"/>
      <c r="AW388" s="860"/>
      <c r="AX388" s="860"/>
      <c r="AY388" s="860"/>
      <c r="AZ388" s="860"/>
      <c r="BA388" s="860"/>
      <c r="BB388" s="860"/>
      <c r="BC388" s="860"/>
      <c r="BD388" s="933"/>
      <c r="BE388" s="933"/>
      <c r="BF388" s="933"/>
      <c r="BG388" s="933"/>
      <c r="BH388" s="933"/>
      <c r="BI388" s="933"/>
      <c r="BJ388" s="933"/>
      <c r="BK388" s="933"/>
      <c r="BL388" s="933"/>
      <c r="BM388" s="933"/>
      <c r="BN388" s="933"/>
      <c r="BO388" s="933"/>
      <c r="BP388" s="933"/>
      <c r="BQ388" s="933"/>
      <c r="BR388" s="933"/>
      <c r="BS388" s="933"/>
      <c r="BT388" s="933"/>
      <c r="BU388" s="933"/>
      <c r="BV388" s="933"/>
      <c r="BW388" s="933"/>
      <c r="BX388" s="933"/>
      <c r="BY388" s="933"/>
      <c r="BZ388" s="933"/>
      <c r="CA388" s="933"/>
      <c r="CB388" s="933"/>
      <c r="CC388" s="933"/>
      <c r="CD388" s="933"/>
      <c r="CE388" s="933"/>
      <c r="CF388" s="933"/>
    </row>
    <row r="389" spans="2:84" s="887" customFormat="1" ht="18" customHeight="1" x14ac:dyDescent="0.25">
      <c r="B389" s="856"/>
      <c r="C389" s="946"/>
      <c r="D389" s="947"/>
      <c r="E389" s="933"/>
      <c r="F389" s="933"/>
      <c r="G389" s="933"/>
      <c r="H389" s="933"/>
      <c r="I389" s="933"/>
      <c r="J389" s="933"/>
      <c r="K389" s="933"/>
      <c r="L389" s="933"/>
      <c r="M389" s="933"/>
      <c r="N389" s="933"/>
      <c r="O389" s="857"/>
      <c r="P389" s="857"/>
      <c r="Q389" s="857"/>
      <c r="R389" s="857"/>
      <c r="S389" s="857"/>
      <c r="T389" s="857"/>
      <c r="U389" s="933"/>
      <c r="V389" s="933"/>
      <c r="W389" s="933"/>
      <c r="X389" s="933"/>
      <c r="Y389" s="933"/>
      <c r="Z389" s="933"/>
      <c r="AA389" s="933"/>
      <c r="AB389" s="933"/>
      <c r="AC389" s="933"/>
      <c r="AD389" s="933"/>
      <c r="AE389" s="933"/>
      <c r="AF389" s="933"/>
      <c r="AG389" s="933"/>
      <c r="AH389" s="933"/>
      <c r="AI389" s="933"/>
      <c r="AJ389" s="933"/>
      <c r="AK389" s="933"/>
      <c r="AL389" s="933"/>
      <c r="AM389" s="933"/>
      <c r="AN389" s="933"/>
      <c r="AO389" s="933"/>
      <c r="AP389" s="933"/>
      <c r="AQ389" s="933"/>
      <c r="AR389" s="933"/>
      <c r="AS389" s="933"/>
      <c r="AT389" s="933"/>
      <c r="AU389" s="860"/>
      <c r="AV389" s="860"/>
      <c r="AW389" s="860"/>
      <c r="AX389" s="860"/>
      <c r="AY389" s="860"/>
      <c r="AZ389" s="860"/>
      <c r="BA389" s="860"/>
      <c r="BB389" s="860"/>
      <c r="BC389" s="860"/>
      <c r="BD389" s="933"/>
      <c r="BE389" s="933"/>
      <c r="BF389" s="933"/>
      <c r="BG389" s="933"/>
      <c r="BH389" s="933"/>
      <c r="BI389" s="933"/>
      <c r="BJ389" s="933"/>
      <c r="BK389" s="933"/>
      <c r="BL389" s="933"/>
      <c r="BM389" s="933"/>
      <c r="BN389" s="933"/>
      <c r="BO389" s="933"/>
      <c r="BP389" s="933"/>
      <c r="BQ389" s="933"/>
      <c r="BR389" s="933"/>
      <c r="BS389" s="933"/>
      <c r="BT389" s="933"/>
      <c r="BU389" s="933"/>
      <c r="BV389" s="933"/>
      <c r="BW389" s="933"/>
      <c r="BX389" s="933"/>
      <c r="BY389" s="933"/>
      <c r="BZ389" s="933"/>
      <c r="CA389" s="933"/>
      <c r="CB389" s="933"/>
      <c r="CC389" s="933"/>
      <c r="CD389" s="933"/>
      <c r="CE389" s="933"/>
      <c r="CF389" s="933"/>
    </row>
    <row r="390" spans="2:84" s="887" customFormat="1" ht="18" customHeight="1" x14ac:dyDescent="0.25">
      <c r="B390" s="856"/>
      <c r="C390" s="946"/>
      <c r="D390" s="947"/>
      <c r="E390" s="933"/>
      <c r="F390" s="933"/>
      <c r="G390" s="933"/>
      <c r="H390" s="933"/>
      <c r="I390" s="933"/>
      <c r="J390" s="933"/>
      <c r="K390" s="933"/>
      <c r="L390" s="933"/>
      <c r="M390" s="933"/>
      <c r="N390" s="933"/>
      <c r="O390" s="857"/>
      <c r="P390" s="857"/>
      <c r="Q390" s="857"/>
      <c r="R390" s="857"/>
      <c r="S390" s="857"/>
      <c r="T390" s="857"/>
      <c r="U390" s="933"/>
      <c r="V390" s="933"/>
      <c r="W390" s="933"/>
      <c r="X390" s="933"/>
      <c r="Y390" s="933"/>
      <c r="Z390" s="933"/>
      <c r="AA390" s="933"/>
      <c r="AB390" s="933"/>
      <c r="AC390" s="933"/>
      <c r="AD390" s="933"/>
      <c r="AE390" s="933"/>
      <c r="AF390" s="933"/>
      <c r="AG390" s="933"/>
      <c r="AH390" s="933"/>
      <c r="AI390" s="933"/>
      <c r="AJ390" s="933"/>
      <c r="AK390" s="933"/>
      <c r="AL390" s="933"/>
      <c r="AM390" s="933"/>
      <c r="AN390" s="933"/>
      <c r="AO390" s="933"/>
      <c r="AP390" s="933"/>
      <c r="AQ390" s="933"/>
      <c r="AR390" s="933"/>
      <c r="AS390" s="933"/>
      <c r="AT390" s="933"/>
      <c r="AU390" s="860"/>
      <c r="AV390" s="860"/>
      <c r="AW390" s="860"/>
      <c r="AX390" s="860"/>
      <c r="AY390" s="860"/>
      <c r="AZ390" s="860"/>
      <c r="BA390" s="860"/>
      <c r="BB390" s="860"/>
      <c r="BC390" s="860"/>
      <c r="BD390" s="933"/>
      <c r="BE390" s="933"/>
      <c r="BF390" s="933"/>
      <c r="BG390" s="933"/>
      <c r="BH390" s="933"/>
      <c r="BI390" s="933"/>
      <c r="BJ390" s="933"/>
      <c r="BK390" s="933"/>
      <c r="BL390" s="933"/>
      <c r="BM390" s="933"/>
      <c r="BN390" s="933"/>
      <c r="BO390" s="933"/>
      <c r="BP390" s="933"/>
      <c r="BQ390" s="933"/>
      <c r="BR390" s="933"/>
      <c r="BS390" s="933"/>
      <c r="BT390" s="933"/>
      <c r="BU390" s="933"/>
      <c r="BV390" s="933"/>
      <c r="BW390" s="933"/>
      <c r="BX390" s="933"/>
      <c r="BY390" s="933"/>
      <c r="BZ390" s="933"/>
      <c r="CA390" s="933"/>
      <c r="CB390" s="933"/>
      <c r="CC390" s="933"/>
      <c r="CD390" s="933"/>
      <c r="CE390" s="933"/>
      <c r="CF390" s="933"/>
    </row>
    <row r="391" spans="2:84" s="887" customFormat="1" ht="18" customHeight="1" x14ac:dyDescent="0.25">
      <c r="B391" s="856"/>
      <c r="C391" s="946"/>
      <c r="D391" s="947"/>
      <c r="E391" s="933"/>
      <c r="F391" s="933"/>
      <c r="G391" s="933"/>
      <c r="H391" s="933"/>
      <c r="I391" s="933"/>
      <c r="J391" s="933"/>
      <c r="K391" s="933"/>
      <c r="L391" s="933"/>
      <c r="M391" s="933"/>
      <c r="N391" s="933"/>
      <c r="O391" s="857"/>
      <c r="P391" s="857"/>
      <c r="Q391" s="857"/>
      <c r="R391" s="857"/>
      <c r="S391" s="857"/>
      <c r="T391" s="857"/>
      <c r="U391" s="933"/>
      <c r="V391" s="933"/>
      <c r="W391" s="933"/>
      <c r="X391" s="933"/>
      <c r="Y391" s="933"/>
      <c r="Z391" s="933"/>
      <c r="AA391" s="933"/>
      <c r="AB391" s="933"/>
      <c r="AC391" s="933"/>
      <c r="AD391" s="933"/>
      <c r="AE391" s="933"/>
      <c r="AF391" s="933"/>
      <c r="AG391" s="933"/>
      <c r="AH391" s="933"/>
      <c r="AI391" s="933"/>
      <c r="AJ391" s="933"/>
      <c r="AK391" s="933"/>
      <c r="AL391" s="933"/>
      <c r="AM391" s="933"/>
      <c r="AN391" s="933"/>
      <c r="AO391" s="933"/>
      <c r="AP391" s="933"/>
      <c r="AQ391" s="933"/>
      <c r="AR391" s="933"/>
      <c r="AS391" s="933"/>
      <c r="AT391" s="933"/>
      <c r="AU391" s="860"/>
      <c r="AV391" s="860"/>
      <c r="AW391" s="860"/>
      <c r="AX391" s="860"/>
      <c r="AY391" s="860"/>
      <c r="AZ391" s="860"/>
      <c r="BA391" s="860"/>
      <c r="BB391" s="860"/>
      <c r="BC391" s="860"/>
      <c r="BD391" s="933"/>
      <c r="BE391" s="933"/>
      <c r="BF391" s="933"/>
      <c r="BG391" s="933"/>
      <c r="BH391" s="933"/>
      <c r="BI391" s="933"/>
      <c r="BJ391" s="933"/>
      <c r="BK391" s="933"/>
      <c r="BL391" s="933"/>
      <c r="BM391" s="933"/>
      <c r="BN391" s="933"/>
      <c r="BO391" s="933"/>
      <c r="BP391" s="933"/>
      <c r="BQ391" s="933"/>
      <c r="BR391" s="933"/>
      <c r="BS391" s="933"/>
      <c r="BT391" s="933"/>
      <c r="BU391" s="933"/>
      <c r="BV391" s="933"/>
      <c r="BW391" s="933"/>
      <c r="BX391" s="933"/>
      <c r="BY391" s="933"/>
      <c r="BZ391" s="933"/>
      <c r="CA391" s="933"/>
      <c r="CB391" s="933"/>
      <c r="CC391" s="933"/>
      <c r="CD391" s="933"/>
      <c r="CE391" s="933"/>
      <c r="CF391" s="933"/>
    </row>
    <row r="392" spans="2:84" s="887" customFormat="1" ht="18" customHeight="1" x14ac:dyDescent="0.25">
      <c r="B392" s="856"/>
      <c r="C392" s="946"/>
      <c r="D392" s="947"/>
      <c r="E392" s="933"/>
      <c r="F392" s="933"/>
      <c r="G392" s="933"/>
      <c r="H392" s="933"/>
      <c r="I392" s="933"/>
      <c r="J392" s="933"/>
      <c r="K392" s="933"/>
      <c r="L392" s="933"/>
      <c r="M392" s="933"/>
      <c r="N392" s="933"/>
      <c r="O392" s="857"/>
      <c r="P392" s="857"/>
      <c r="Q392" s="857"/>
      <c r="R392" s="857"/>
      <c r="S392" s="857"/>
      <c r="T392" s="857"/>
      <c r="U392" s="933"/>
      <c r="V392" s="933"/>
      <c r="W392" s="933"/>
      <c r="X392" s="933"/>
      <c r="Y392" s="933"/>
      <c r="Z392" s="933"/>
      <c r="AA392" s="933"/>
      <c r="AB392" s="933"/>
      <c r="AC392" s="933"/>
      <c r="AD392" s="933"/>
      <c r="AE392" s="933"/>
      <c r="AF392" s="933"/>
      <c r="AG392" s="933"/>
      <c r="AH392" s="933"/>
      <c r="AI392" s="933"/>
      <c r="AJ392" s="933"/>
      <c r="AK392" s="933"/>
      <c r="AL392" s="933"/>
      <c r="AM392" s="933"/>
      <c r="AN392" s="933"/>
      <c r="AO392" s="933"/>
      <c r="AP392" s="933"/>
      <c r="AQ392" s="933"/>
      <c r="AR392" s="933"/>
      <c r="AS392" s="933"/>
      <c r="AT392" s="933"/>
      <c r="AU392" s="860"/>
      <c r="AV392" s="860"/>
      <c r="AW392" s="860"/>
      <c r="AX392" s="860"/>
      <c r="AY392" s="860"/>
      <c r="AZ392" s="860"/>
      <c r="BA392" s="860"/>
      <c r="BB392" s="860"/>
      <c r="BC392" s="860"/>
      <c r="BD392" s="933"/>
      <c r="BE392" s="933"/>
      <c r="BF392" s="933"/>
      <c r="BG392" s="933"/>
      <c r="BH392" s="933"/>
      <c r="BI392" s="933"/>
      <c r="BJ392" s="933"/>
      <c r="BK392" s="933"/>
      <c r="BL392" s="933"/>
      <c r="BM392" s="933"/>
      <c r="BN392" s="933"/>
      <c r="BO392" s="933"/>
      <c r="BP392" s="933"/>
      <c r="BQ392" s="933"/>
      <c r="BR392" s="933"/>
      <c r="BS392" s="933"/>
      <c r="BT392" s="933"/>
      <c r="BU392" s="933"/>
      <c r="BV392" s="933"/>
      <c r="BW392" s="933"/>
      <c r="BX392" s="933"/>
      <c r="BY392" s="933"/>
      <c r="BZ392" s="933"/>
      <c r="CA392" s="933"/>
      <c r="CB392" s="933"/>
      <c r="CC392" s="933"/>
      <c r="CD392" s="933"/>
      <c r="CE392" s="933"/>
      <c r="CF392" s="933"/>
    </row>
    <row r="393" spans="2:84" s="887" customFormat="1" ht="18" customHeight="1" x14ac:dyDescent="0.25">
      <c r="B393" s="856"/>
      <c r="C393" s="946"/>
      <c r="D393" s="947"/>
      <c r="E393" s="933"/>
      <c r="F393" s="933"/>
      <c r="G393" s="933"/>
      <c r="H393" s="933"/>
      <c r="I393" s="933"/>
      <c r="J393" s="933"/>
      <c r="K393" s="933"/>
      <c r="L393" s="933"/>
      <c r="M393" s="933"/>
      <c r="N393" s="933"/>
      <c r="O393" s="857"/>
      <c r="P393" s="857"/>
      <c r="Q393" s="857"/>
      <c r="R393" s="857"/>
      <c r="S393" s="857"/>
      <c r="T393" s="857"/>
      <c r="U393" s="933"/>
      <c r="V393" s="933"/>
      <c r="W393" s="933"/>
      <c r="X393" s="933"/>
      <c r="Y393" s="933"/>
      <c r="Z393" s="933"/>
      <c r="AA393" s="933"/>
      <c r="AB393" s="933"/>
      <c r="AC393" s="933"/>
      <c r="AD393" s="933"/>
      <c r="AE393" s="933"/>
      <c r="AF393" s="933"/>
      <c r="AG393" s="933"/>
      <c r="AH393" s="933"/>
      <c r="AI393" s="933"/>
      <c r="AJ393" s="933"/>
      <c r="AK393" s="933"/>
      <c r="AL393" s="933"/>
      <c r="AM393" s="933"/>
      <c r="AN393" s="933"/>
      <c r="AO393" s="933"/>
      <c r="AP393" s="933"/>
      <c r="AQ393" s="933"/>
      <c r="AR393" s="933"/>
      <c r="AS393" s="933"/>
      <c r="AT393" s="933"/>
      <c r="AU393" s="860"/>
      <c r="AV393" s="860"/>
      <c r="AW393" s="860"/>
      <c r="AX393" s="860"/>
      <c r="AY393" s="860"/>
      <c r="AZ393" s="860"/>
      <c r="BA393" s="860"/>
      <c r="BB393" s="860"/>
      <c r="BC393" s="860"/>
      <c r="BD393" s="933"/>
      <c r="BE393" s="933"/>
      <c r="BF393" s="933"/>
      <c r="BG393" s="933"/>
      <c r="BH393" s="933"/>
      <c r="BI393" s="933"/>
      <c r="BJ393" s="933"/>
      <c r="BK393" s="933"/>
      <c r="BL393" s="933"/>
      <c r="BM393" s="933"/>
      <c r="BN393" s="933"/>
      <c r="BO393" s="933"/>
      <c r="BP393" s="933"/>
      <c r="BQ393" s="933"/>
      <c r="BR393" s="933"/>
      <c r="BS393" s="933"/>
      <c r="BT393" s="933"/>
      <c r="BU393" s="933"/>
      <c r="BV393" s="933"/>
      <c r="BW393" s="933"/>
      <c r="BX393" s="933"/>
      <c r="BY393" s="933"/>
      <c r="BZ393" s="933"/>
      <c r="CA393" s="933"/>
      <c r="CB393" s="933"/>
      <c r="CC393" s="933"/>
      <c r="CD393" s="933"/>
      <c r="CE393" s="933"/>
      <c r="CF393" s="933"/>
    </row>
    <row r="394" spans="2:84" s="887" customFormat="1" ht="18" customHeight="1" x14ac:dyDescent="0.25">
      <c r="B394" s="856"/>
      <c r="C394" s="946"/>
      <c r="D394" s="947"/>
      <c r="E394" s="933"/>
      <c r="F394" s="933"/>
      <c r="G394" s="933"/>
      <c r="H394" s="933"/>
      <c r="I394" s="933"/>
      <c r="J394" s="933"/>
      <c r="K394" s="933"/>
      <c r="L394" s="933"/>
      <c r="M394" s="933"/>
      <c r="N394" s="933"/>
      <c r="O394" s="857"/>
      <c r="P394" s="857"/>
      <c r="Q394" s="857"/>
      <c r="R394" s="857"/>
      <c r="S394" s="857"/>
      <c r="T394" s="857"/>
      <c r="U394" s="933"/>
      <c r="V394" s="933"/>
      <c r="W394" s="933"/>
      <c r="X394" s="933"/>
      <c r="Y394" s="933"/>
      <c r="Z394" s="933"/>
      <c r="AA394" s="933"/>
      <c r="AB394" s="933"/>
      <c r="AC394" s="933"/>
      <c r="AD394" s="933"/>
      <c r="AE394" s="933"/>
      <c r="AF394" s="933"/>
      <c r="AG394" s="933"/>
      <c r="AH394" s="933"/>
      <c r="AI394" s="933"/>
      <c r="AJ394" s="933"/>
      <c r="AK394" s="933"/>
      <c r="AL394" s="933"/>
      <c r="AM394" s="933"/>
      <c r="AN394" s="933"/>
      <c r="AO394" s="933"/>
      <c r="AP394" s="933"/>
      <c r="AQ394" s="933"/>
      <c r="AR394" s="933"/>
      <c r="AS394" s="933"/>
      <c r="AT394" s="933"/>
      <c r="AU394" s="860"/>
      <c r="AV394" s="860"/>
      <c r="AW394" s="860"/>
      <c r="AX394" s="860"/>
      <c r="AY394" s="860"/>
      <c r="AZ394" s="860"/>
      <c r="BA394" s="860"/>
      <c r="BB394" s="860"/>
      <c r="BC394" s="860"/>
      <c r="BD394" s="933"/>
      <c r="BE394" s="933"/>
      <c r="BF394" s="933"/>
      <c r="BG394" s="933"/>
      <c r="BH394" s="933"/>
      <c r="BI394" s="933"/>
      <c r="BJ394" s="933"/>
      <c r="BK394" s="933"/>
      <c r="BL394" s="933"/>
      <c r="BM394" s="933"/>
      <c r="BN394" s="933"/>
      <c r="BO394" s="933"/>
      <c r="BP394" s="933"/>
      <c r="BQ394" s="933"/>
      <c r="BR394" s="933"/>
      <c r="BS394" s="933"/>
      <c r="BT394" s="933"/>
      <c r="BU394" s="933"/>
      <c r="BV394" s="933"/>
      <c r="BW394" s="933"/>
      <c r="BX394" s="933"/>
      <c r="BY394" s="933"/>
      <c r="BZ394" s="933"/>
      <c r="CA394" s="933"/>
      <c r="CB394" s="933"/>
      <c r="CC394" s="933"/>
      <c r="CD394" s="933"/>
      <c r="CE394" s="933"/>
      <c r="CF394" s="933"/>
    </row>
    <row r="395" spans="2:84" s="887" customFormat="1" ht="18" customHeight="1" x14ac:dyDescent="0.25">
      <c r="B395" s="856"/>
      <c r="C395" s="946"/>
      <c r="D395" s="947"/>
      <c r="E395" s="933"/>
      <c r="F395" s="933"/>
      <c r="G395" s="933"/>
      <c r="H395" s="933"/>
      <c r="I395" s="933"/>
      <c r="J395" s="933"/>
      <c r="K395" s="933"/>
      <c r="L395" s="933"/>
      <c r="M395" s="933"/>
      <c r="N395" s="933"/>
      <c r="O395" s="857"/>
      <c r="P395" s="857"/>
      <c r="Q395" s="857"/>
      <c r="R395" s="857"/>
      <c r="S395" s="857"/>
      <c r="T395" s="857"/>
      <c r="U395" s="933"/>
      <c r="V395" s="933"/>
      <c r="W395" s="933"/>
      <c r="X395" s="933"/>
      <c r="Y395" s="933"/>
      <c r="Z395" s="933"/>
      <c r="AA395" s="933"/>
      <c r="AB395" s="933"/>
      <c r="AC395" s="933"/>
      <c r="AD395" s="933"/>
      <c r="AE395" s="933"/>
      <c r="AF395" s="933"/>
      <c r="AG395" s="933"/>
      <c r="AH395" s="933"/>
      <c r="AI395" s="933"/>
      <c r="AJ395" s="933"/>
      <c r="AK395" s="933"/>
      <c r="AL395" s="933"/>
      <c r="AM395" s="933"/>
      <c r="AN395" s="933"/>
      <c r="AO395" s="933"/>
      <c r="AP395" s="933"/>
      <c r="AQ395" s="933"/>
      <c r="AR395" s="933"/>
      <c r="AS395" s="933"/>
      <c r="AT395" s="933"/>
      <c r="AU395" s="860"/>
      <c r="AV395" s="860"/>
      <c r="AW395" s="860"/>
      <c r="AX395" s="860"/>
      <c r="AY395" s="860"/>
      <c r="AZ395" s="860"/>
      <c r="BA395" s="860"/>
      <c r="BB395" s="860"/>
      <c r="BC395" s="860"/>
      <c r="BD395" s="933"/>
      <c r="BE395" s="933"/>
      <c r="BF395" s="933"/>
      <c r="BG395" s="933"/>
      <c r="BH395" s="933"/>
      <c r="BI395" s="933"/>
      <c r="BJ395" s="933"/>
      <c r="BK395" s="933"/>
      <c r="BL395" s="933"/>
      <c r="BM395" s="933"/>
      <c r="BN395" s="933"/>
      <c r="BO395" s="933"/>
      <c r="BP395" s="933"/>
      <c r="BQ395" s="933"/>
      <c r="BR395" s="933"/>
      <c r="BS395" s="933"/>
      <c r="BT395" s="933"/>
      <c r="BU395" s="933"/>
      <c r="BV395" s="933"/>
      <c r="BW395" s="933"/>
      <c r="BX395" s="933"/>
      <c r="BY395" s="933"/>
      <c r="BZ395" s="933"/>
      <c r="CA395" s="933"/>
      <c r="CB395" s="933"/>
      <c r="CC395" s="933"/>
      <c r="CD395" s="933"/>
      <c r="CE395" s="933"/>
      <c r="CF395" s="933"/>
    </row>
    <row r="396" spans="2:84" s="887" customFormat="1" ht="18" customHeight="1" x14ac:dyDescent="0.25">
      <c r="B396" s="856"/>
      <c r="C396" s="946"/>
      <c r="D396" s="947"/>
      <c r="E396" s="933"/>
      <c r="F396" s="933"/>
      <c r="G396" s="933"/>
      <c r="H396" s="933"/>
      <c r="I396" s="933"/>
      <c r="J396" s="933"/>
      <c r="K396" s="933"/>
      <c r="L396" s="933"/>
      <c r="M396" s="933"/>
      <c r="N396" s="933"/>
      <c r="O396" s="857"/>
      <c r="P396" s="857"/>
      <c r="Q396" s="857"/>
      <c r="R396" s="857"/>
      <c r="S396" s="857"/>
      <c r="T396" s="857"/>
      <c r="U396" s="933"/>
      <c r="V396" s="933"/>
      <c r="W396" s="933"/>
      <c r="X396" s="933"/>
      <c r="Y396" s="933"/>
      <c r="Z396" s="933"/>
      <c r="AA396" s="933"/>
      <c r="AB396" s="933"/>
      <c r="AC396" s="933"/>
      <c r="AD396" s="933"/>
      <c r="AE396" s="933"/>
      <c r="AF396" s="933"/>
      <c r="AG396" s="933"/>
      <c r="AH396" s="933"/>
      <c r="AI396" s="933"/>
      <c r="AJ396" s="933"/>
      <c r="AK396" s="933"/>
      <c r="AL396" s="933"/>
      <c r="AM396" s="933"/>
      <c r="AN396" s="933"/>
      <c r="AO396" s="933"/>
      <c r="AP396" s="933"/>
      <c r="AQ396" s="933"/>
      <c r="AR396" s="933"/>
      <c r="AS396" s="933"/>
      <c r="AT396" s="933"/>
      <c r="AU396" s="860"/>
      <c r="AV396" s="860"/>
      <c r="AW396" s="860"/>
      <c r="AX396" s="860"/>
      <c r="AY396" s="860"/>
      <c r="AZ396" s="860"/>
      <c r="BA396" s="860"/>
      <c r="BB396" s="860"/>
      <c r="BC396" s="860"/>
      <c r="BD396" s="933"/>
      <c r="BE396" s="933"/>
      <c r="BF396" s="933"/>
      <c r="BG396" s="933"/>
      <c r="BH396" s="933"/>
      <c r="BI396" s="933"/>
      <c r="BJ396" s="933"/>
      <c r="BK396" s="933"/>
      <c r="BL396" s="933"/>
      <c r="BM396" s="933"/>
      <c r="BN396" s="933"/>
      <c r="BO396" s="933"/>
      <c r="BP396" s="933"/>
      <c r="BQ396" s="933"/>
      <c r="BR396" s="933"/>
      <c r="BS396" s="933"/>
      <c r="BT396" s="933"/>
      <c r="BU396" s="933"/>
      <c r="BV396" s="933"/>
      <c r="BW396" s="933"/>
      <c r="BX396" s="933"/>
      <c r="BY396" s="933"/>
      <c r="BZ396" s="933"/>
      <c r="CA396" s="933"/>
      <c r="CB396" s="933"/>
      <c r="CC396" s="933"/>
      <c r="CD396" s="933"/>
      <c r="CE396" s="933"/>
      <c r="CF396" s="933"/>
    </row>
    <row r="397" spans="2:84" s="887" customFormat="1" ht="18" customHeight="1" x14ac:dyDescent="0.25">
      <c r="B397" s="856"/>
      <c r="C397" s="946"/>
      <c r="D397" s="947"/>
      <c r="E397" s="933"/>
      <c r="F397" s="933"/>
      <c r="G397" s="933"/>
      <c r="H397" s="933"/>
      <c r="I397" s="933"/>
      <c r="J397" s="933"/>
      <c r="K397" s="933"/>
      <c r="L397" s="933"/>
      <c r="M397" s="933"/>
      <c r="N397" s="933"/>
      <c r="O397" s="857"/>
      <c r="P397" s="857"/>
      <c r="Q397" s="857"/>
      <c r="R397" s="857"/>
      <c r="S397" s="857"/>
      <c r="T397" s="857"/>
      <c r="U397" s="933"/>
      <c r="V397" s="933"/>
      <c r="W397" s="933"/>
      <c r="X397" s="933"/>
      <c r="Y397" s="933"/>
      <c r="Z397" s="933"/>
      <c r="AA397" s="933"/>
      <c r="AB397" s="933"/>
      <c r="AC397" s="933"/>
      <c r="AD397" s="933"/>
      <c r="AE397" s="933"/>
      <c r="AF397" s="933"/>
      <c r="AG397" s="933"/>
      <c r="AH397" s="933"/>
      <c r="AI397" s="933"/>
      <c r="AJ397" s="933"/>
      <c r="AK397" s="933"/>
      <c r="AL397" s="933"/>
      <c r="AM397" s="933"/>
      <c r="AN397" s="933"/>
      <c r="AO397" s="933"/>
      <c r="AP397" s="933"/>
      <c r="AQ397" s="933"/>
      <c r="AR397" s="933"/>
      <c r="AS397" s="933"/>
      <c r="AT397" s="933"/>
      <c r="AU397" s="860"/>
      <c r="AV397" s="860"/>
      <c r="AW397" s="860"/>
      <c r="AX397" s="860"/>
      <c r="AY397" s="860"/>
      <c r="AZ397" s="860"/>
      <c r="BA397" s="860"/>
      <c r="BB397" s="860"/>
      <c r="BC397" s="860"/>
      <c r="BD397" s="933"/>
      <c r="BE397" s="933"/>
      <c r="BF397" s="933"/>
      <c r="BG397" s="933"/>
      <c r="BH397" s="933"/>
      <c r="BI397" s="933"/>
      <c r="BJ397" s="933"/>
      <c r="BK397" s="933"/>
      <c r="BL397" s="933"/>
      <c r="BM397" s="933"/>
      <c r="BN397" s="933"/>
      <c r="BO397" s="933"/>
      <c r="BP397" s="933"/>
      <c r="BQ397" s="933"/>
      <c r="BR397" s="933"/>
      <c r="BS397" s="933"/>
      <c r="BT397" s="933"/>
      <c r="BU397" s="933"/>
      <c r="BV397" s="933"/>
      <c r="BW397" s="933"/>
      <c r="BX397" s="933"/>
      <c r="BY397" s="933"/>
      <c r="BZ397" s="933"/>
      <c r="CA397" s="933"/>
      <c r="CB397" s="933"/>
      <c r="CC397" s="933"/>
      <c r="CD397" s="933"/>
      <c r="CE397" s="933"/>
      <c r="CF397" s="933"/>
    </row>
    <row r="398" spans="2:84" s="887" customFormat="1" ht="18" customHeight="1" x14ac:dyDescent="0.25">
      <c r="B398" s="856"/>
      <c r="C398" s="946"/>
      <c r="D398" s="947"/>
      <c r="E398" s="933"/>
      <c r="F398" s="933"/>
      <c r="G398" s="933"/>
      <c r="H398" s="933"/>
      <c r="I398" s="933"/>
      <c r="J398" s="933"/>
      <c r="K398" s="933"/>
      <c r="L398" s="933"/>
      <c r="M398" s="933"/>
      <c r="N398" s="933"/>
      <c r="O398" s="857"/>
      <c r="P398" s="857"/>
      <c r="Q398" s="857"/>
      <c r="R398" s="857"/>
      <c r="S398" s="857"/>
      <c r="T398" s="857"/>
      <c r="U398" s="933"/>
      <c r="V398" s="933"/>
      <c r="W398" s="933"/>
      <c r="X398" s="933"/>
      <c r="Y398" s="933"/>
      <c r="Z398" s="933"/>
      <c r="AA398" s="933"/>
      <c r="AB398" s="933"/>
      <c r="AC398" s="933"/>
      <c r="AD398" s="933"/>
      <c r="AE398" s="933"/>
      <c r="AF398" s="933"/>
      <c r="AG398" s="933"/>
      <c r="AH398" s="933"/>
      <c r="AI398" s="933"/>
      <c r="AJ398" s="933"/>
      <c r="AK398" s="933"/>
      <c r="AL398" s="933"/>
      <c r="AM398" s="933"/>
      <c r="AN398" s="933"/>
      <c r="AO398" s="933"/>
      <c r="AP398" s="933"/>
      <c r="AQ398" s="933"/>
      <c r="AR398" s="933"/>
      <c r="AS398" s="933"/>
      <c r="AT398" s="933"/>
      <c r="AU398" s="860"/>
      <c r="AV398" s="860"/>
      <c r="AW398" s="860"/>
      <c r="AX398" s="860"/>
      <c r="AY398" s="860"/>
      <c r="AZ398" s="860"/>
      <c r="BA398" s="860"/>
      <c r="BB398" s="860"/>
      <c r="BC398" s="860"/>
      <c r="BD398" s="933"/>
      <c r="BE398" s="933"/>
      <c r="BF398" s="933"/>
      <c r="BG398" s="933"/>
      <c r="BH398" s="933"/>
      <c r="BI398" s="933"/>
      <c r="BJ398" s="933"/>
      <c r="BK398" s="933"/>
      <c r="BL398" s="933"/>
      <c r="BM398" s="933"/>
      <c r="BN398" s="933"/>
      <c r="BO398" s="933"/>
      <c r="BP398" s="933"/>
      <c r="BQ398" s="933"/>
      <c r="BR398" s="933"/>
      <c r="BS398" s="933"/>
      <c r="BT398" s="933"/>
      <c r="BU398" s="933"/>
      <c r="BV398" s="933"/>
      <c r="BW398" s="933"/>
      <c r="BX398" s="933"/>
      <c r="BY398" s="933"/>
      <c r="BZ398" s="933"/>
      <c r="CA398" s="933"/>
      <c r="CB398" s="933"/>
      <c r="CC398" s="933"/>
      <c r="CD398" s="933"/>
      <c r="CE398" s="933"/>
      <c r="CF398" s="933"/>
    </row>
    <row r="399" spans="2:84" s="887" customFormat="1" ht="18" customHeight="1" x14ac:dyDescent="0.25">
      <c r="B399" s="856"/>
      <c r="C399" s="946"/>
      <c r="D399" s="947"/>
      <c r="E399" s="933"/>
      <c r="F399" s="933"/>
      <c r="G399" s="933"/>
      <c r="H399" s="933"/>
      <c r="I399" s="933"/>
      <c r="J399" s="933"/>
      <c r="K399" s="933"/>
      <c r="L399" s="933"/>
      <c r="M399" s="933"/>
      <c r="N399" s="933"/>
      <c r="O399" s="857"/>
      <c r="P399" s="857"/>
      <c r="Q399" s="857"/>
      <c r="R399" s="857"/>
      <c r="S399" s="857"/>
      <c r="T399" s="857"/>
      <c r="U399" s="933"/>
      <c r="V399" s="933"/>
      <c r="W399" s="933"/>
      <c r="X399" s="933"/>
      <c r="Y399" s="933"/>
      <c r="Z399" s="933"/>
      <c r="AA399" s="933"/>
      <c r="AB399" s="933"/>
      <c r="AC399" s="933"/>
      <c r="AD399" s="933"/>
      <c r="AE399" s="933"/>
      <c r="AF399" s="933"/>
      <c r="AG399" s="933"/>
      <c r="AH399" s="933"/>
      <c r="AI399" s="933"/>
      <c r="AJ399" s="933"/>
      <c r="AK399" s="933"/>
      <c r="AL399" s="933"/>
      <c r="AM399" s="933"/>
      <c r="AN399" s="933"/>
      <c r="AO399" s="933"/>
      <c r="AP399" s="933"/>
      <c r="AQ399" s="933"/>
      <c r="AR399" s="933"/>
      <c r="AS399" s="933"/>
      <c r="AT399" s="933"/>
      <c r="AU399" s="860"/>
      <c r="AV399" s="860"/>
      <c r="AW399" s="860"/>
      <c r="AX399" s="860"/>
      <c r="AY399" s="860"/>
      <c r="AZ399" s="860"/>
      <c r="BA399" s="860"/>
      <c r="BB399" s="860"/>
      <c r="BC399" s="860"/>
      <c r="BD399" s="933"/>
      <c r="BE399" s="933"/>
      <c r="BF399" s="933"/>
      <c r="BG399" s="933"/>
      <c r="BH399" s="933"/>
      <c r="BI399" s="933"/>
      <c r="BJ399" s="933"/>
      <c r="BK399" s="933"/>
      <c r="BL399" s="933"/>
      <c r="BM399" s="933"/>
      <c r="BN399" s="933"/>
      <c r="BO399" s="933"/>
      <c r="BP399" s="933"/>
      <c r="BQ399" s="933"/>
      <c r="BR399" s="933"/>
      <c r="BS399" s="933"/>
      <c r="BT399" s="933"/>
      <c r="BU399" s="933"/>
      <c r="BV399" s="933"/>
      <c r="BW399" s="933"/>
      <c r="BX399" s="933"/>
      <c r="BY399" s="933"/>
      <c r="BZ399" s="933"/>
      <c r="CA399" s="933"/>
      <c r="CB399" s="933"/>
      <c r="CC399" s="933"/>
      <c r="CD399" s="933"/>
      <c r="CE399" s="933"/>
      <c r="CF399" s="933"/>
    </row>
    <row r="400" spans="2:84" s="887" customFormat="1" ht="18" customHeight="1" x14ac:dyDescent="0.25">
      <c r="B400" s="856"/>
      <c r="C400" s="946"/>
      <c r="D400" s="947"/>
      <c r="E400" s="933"/>
      <c r="F400" s="933"/>
      <c r="G400" s="933"/>
      <c r="H400" s="933"/>
      <c r="I400" s="933"/>
      <c r="J400" s="933"/>
      <c r="K400" s="933"/>
      <c r="L400" s="933"/>
      <c r="M400" s="933"/>
      <c r="N400" s="933"/>
      <c r="O400" s="857"/>
      <c r="P400" s="857"/>
      <c r="Q400" s="857"/>
      <c r="R400" s="857"/>
      <c r="S400" s="857"/>
      <c r="T400" s="857"/>
      <c r="U400" s="933"/>
      <c r="V400" s="933"/>
      <c r="W400" s="933"/>
      <c r="X400" s="933"/>
      <c r="Y400" s="933"/>
      <c r="Z400" s="933"/>
      <c r="AA400" s="933"/>
      <c r="AB400" s="933"/>
      <c r="AC400" s="933"/>
      <c r="AD400" s="933"/>
      <c r="AE400" s="933"/>
      <c r="AF400" s="933"/>
      <c r="AG400" s="933"/>
      <c r="AH400" s="933"/>
      <c r="AI400" s="933"/>
      <c r="AJ400" s="933"/>
      <c r="AK400" s="933"/>
      <c r="AL400" s="933"/>
      <c r="AM400" s="933"/>
      <c r="AN400" s="933"/>
      <c r="AO400" s="933"/>
      <c r="AP400" s="933"/>
      <c r="AQ400" s="933"/>
      <c r="AR400" s="933"/>
      <c r="AS400" s="933"/>
      <c r="AT400" s="933"/>
      <c r="AU400" s="860"/>
      <c r="AV400" s="860"/>
      <c r="AW400" s="860"/>
      <c r="AX400" s="860"/>
      <c r="AY400" s="860"/>
      <c r="AZ400" s="860"/>
      <c r="BA400" s="860"/>
      <c r="BB400" s="860"/>
      <c r="BC400" s="860"/>
      <c r="BD400" s="933"/>
      <c r="BE400" s="933"/>
      <c r="BF400" s="933"/>
      <c r="BG400" s="933"/>
      <c r="BH400" s="933"/>
      <c r="BI400" s="933"/>
      <c r="BJ400" s="933"/>
      <c r="BK400" s="933"/>
      <c r="BL400" s="933"/>
      <c r="BM400" s="933"/>
      <c r="BN400" s="933"/>
      <c r="BO400" s="933"/>
      <c r="BP400" s="933"/>
      <c r="BQ400" s="933"/>
      <c r="BR400" s="933"/>
      <c r="BS400" s="933"/>
      <c r="BT400" s="933"/>
      <c r="BU400" s="933"/>
      <c r="BV400" s="933"/>
      <c r="BW400" s="933"/>
      <c r="BX400" s="933"/>
      <c r="BY400" s="933"/>
      <c r="BZ400" s="933"/>
      <c r="CA400" s="933"/>
      <c r="CB400" s="933"/>
      <c r="CC400" s="933"/>
      <c r="CD400" s="933"/>
      <c r="CE400" s="933"/>
      <c r="CF400" s="933"/>
    </row>
    <row r="401" spans="2:84" s="887" customFormat="1" ht="18" customHeight="1" x14ac:dyDescent="0.25">
      <c r="B401" s="856"/>
      <c r="C401" s="946"/>
      <c r="D401" s="947"/>
      <c r="E401" s="933"/>
      <c r="F401" s="933"/>
      <c r="G401" s="933"/>
      <c r="H401" s="933"/>
      <c r="I401" s="933"/>
      <c r="J401" s="933"/>
      <c r="K401" s="933"/>
      <c r="L401" s="933"/>
      <c r="M401" s="933"/>
      <c r="N401" s="933"/>
      <c r="O401" s="857"/>
      <c r="P401" s="857"/>
      <c r="Q401" s="857"/>
      <c r="R401" s="857"/>
      <c r="S401" s="857"/>
      <c r="T401" s="857"/>
      <c r="U401" s="933"/>
      <c r="V401" s="933"/>
      <c r="W401" s="933"/>
      <c r="X401" s="933"/>
      <c r="Y401" s="933"/>
      <c r="Z401" s="933"/>
      <c r="AA401" s="933"/>
      <c r="AB401" s="933"/>
      <c r="AC401" s="933"/>
      <c r="AD401" s="933"/>
      <c r="AE401" s="933"/>
      <c r="AF401" s="933"/>
      <c r="AG401" s="933"/>
      <c r="AH401" s="933"/>
      <c r="AI401" s="933"/>
      <c r="AJ401" s="933"/>
      <c r="AK401" s="933"/>
      <c r="AL401" s="933"/>
      <c r="AM401" s="933"/>
      <c r="AN401" s="933"/>
      <c r="AO401" s="933"/>
      <c r="AP401" s="933"/>
      <c r="AQ401" s="933"/>
      <c r="AR401" s="933"/>
      <c r="AS401" s="933"/>
      <c r="AT401" s="933"/>
      <c r="AU401" s="860"/>
      <c r="AV401" s="860"/>
      <c r="AW401" s="860"/>
      <c r="AX401" s="860"/>
      <c r="AY401" s="860"/>
      <c r="AZ401" s="860"/>
      <c r="BA401" s="860"/>
      <c r="BB401" s="860"/>
      <c r="BC401" s="860"/>
      <c r="BD401" s="933"/>
      <c r="BE401" s="933"/>
      <c r="BF401" s="933"/>
      <c r="BG401" s="933"/>
      <c r="BH401" s="933"/>
      <c r="BI401" s="933"/>
      <c r="BJ401" s="933"/>
      <c r="BK401" s="933"/>
      <c r="BL401" s="933"/>
      <c r="BM401" s="933"/>
      <c r="BN401" s="933"/>
      <c r="BO401" s="933"/>
      <c r="BP401" s="933"/>
      <c r="BQ401" s="933"/>
      <c r="BR401" s="933"/>
      <c r="BS401" s="933"/>
      <c r="BT401" s="933"/>
      <c r="BU401" s="933"/>
      <c r="BV401" s="933"/>
      <c r="BW401" s="933"/>
      <c r="BX401" s="933"/>
      <c r="BY401" s="933"/>
      <c r="BZ401" s="933"/>
      <c r="CA401" s="933"/>
      <c r="CB401" s="933"/>
      <c r="CC401" s="933"/>
      <c r="CD401" s="933"/>
      <c r="CE401" s="933"/>
      <c r="CF401" s="933"/>
    </row>
    <row r="402" spans="2:84" ht="18" customHeight="1" x14ac:dyDescent="0.25"/>
    <row r="403" spans="2:84" ht="18" customHeight="1" x14ac:dyDescent="0.25"/>
    <row r="404" spans="2:84" ht="18" customHeight="1" x14ac:dyDescent="0.25"/>
    <row r="405" spans="2:84" ht="18" customHeight="1" x14ac:dyDescent="0.25"/>
    <row r="406" spans="2:84" ht="18" customHeight="1" x14ac:dyDescent="0.25"/>
    <row r="407" spans="2:84" ht="18" customHeight="1" x14ac:dyDescent="0.25"/>
    <row r="408" spans="2:84" ht="18" customHeight="1" x14ac:dyDescent="0.25">
      <c r="M408" s="955"/>
    </row>
    <row r="409" spans="2:84" ht="18" customHeight="1" x14ac:dyDescent="0.25">
      <c r="M409" s="955"/>
    </row>
    <row r="410" spans="2:84" ht="18" customHeight="1" x14ac:dyDescent="0.35">
      <c r="M410" s="956"/>
    </row>
    <row r="411" spans="2:84" ht="18" customHeight="1" x14ac:dyDescent="0.35">
      <c r="M411" s="956"/>
    </row>
    <row r="412" spans="2:84" ht="18" customHeight="1" x14ac:dyDescent="0.35">
      <c r="M412" s="956"/>
    </row>
    <row r="413" spans="2:84" ht="18" customHeight="1" x14ac:dyDescent="0.25">
      <c r="M413" s="955"/>
    </row>
    <row r="414" spans="2:84" ht="18" customHeight="1" x14ac:dyDescent="0.25">
      <c r="M414" s="955"/>
    </row>
    <row r="415" spans="2:84" ht="18" customHeight="1" x14ac:dyDescent="0.25">
      <c r="M415" s="955"/>
    </row>
    <row r="416" spans="2:84" ht="18" customHeight="1" x14ac:dyDescent="0.25">
      <c r="M416" s="955"/>
    </row>
    <row r="417" spans="13:13" ht="18" customHeight="1" x14ac:dyDescent="0.25">
      <c r="M417" s="955"/>
    </row>
    <row r="418" spans="13:13" ht="18" customHeight="1" x14ac:dyDescent="0.25">
      <c r="M418" s="955"/>
    </row>
    <row r="419" spans="13:13" ht="18" customHeight="1" x14ac:dyDescent="0.25">
      <c r="M419" s="955"/>
    </row>
    <row r="420" spans="13:13" ht="18" customHeight="1" x14ac:dyDescent="0.25">
      <c r="M420" s="955"/>
    </row>
    <row r="421" spans="13:13" ht="18" customHeight="1" x14ac:dyDescent="0.25">
      <c r="M421" s="955"/>
    </row>
    <row r="422" spans="13:13" ht="18" customHeight="1" x14ac:dyDescent="0.25">
      <c r="M422" s="955"/>
    </row>
    <row r="423" spans="13:13" ht="18" customHeight="1" x14ac:dyDescent="0.25"/>
    <row r="424" spans="13:13" ht="18" customHeight="1" x14ac:dyDescent="0.25"/>
    <row r="425" spans="13:13" ht="18" customHeight="1" x14ac:dyDescent="0.25"/>
    <row r="426" spans="13:13" ht="18" customHeight="1" x14ac:dyDescent="0.25"/>
    <row r="427" spans="13:13" ht="18" customHeight="1" x14ac:dyDescent="0.25"/>
    <row r="428" spans="13:13" ht="18" customHeight="1" x14ac:dyDescent="0.25"/>
    <row r="429" spans="13:13" ht="18" customHeight="1" x14ac:dyDescent="0.25"/>
    <row r="430" spans="13:13" ht="18" customHeight="1" x14ac:dyDescent="0.25"/>
    <row r="431" spans="13:13" ht="18" customHeight="1" x14ac:dyDescent="0.25"/>
    <row r="432" spans="13:13" ht="18" customHeight="1" x14ac:dyDescent="0.25"/>
    <row r="433" spans="2:84" ht="18" customHeight="1" x14ac:dyDescent="0.25"/>
    <row r="434" spans="2:84" s="887" customFormat="1" ht="18" customHeight="1" x14ac:dyDescent="0.25">
      <c r="B434" s="856"/>
      <c r="C434" s="946"/>
      <c r="D434" s="947"/>
      <c r="E434" s="933"/>
      <c r="F434" s="933"/>
      <c r="G434" s="933"/>
      <c r="H434" s="933"/>
      <c r="I434" s="933"/>
      <c r="J434" s="933"/>
      <c r="K434" s="933"/>
      <c r="L434" s="933"/>
      <c r="M434" s="933"/>
      <c r="N434" s="933"/>
      <c r="O434" s="857"/>
      <c r="P434" s="857"/>
      <c r="Q434" s="857"/>
      <c r="R434" s="857"/>
      <c r="S434" s="857"/>
      <c r="T434" s="857"/>
      <c r="U434" s="933"/>
      <c r="V434" s="933"/>
      <c r="W434" s="933"/>
      <c r="X434" s="933"/>
      <c r="Y434" s="933"/>
      <c r="Z434" s="933"/>
      <c r="AA434" s="933"/>
      <c r="AB434" s="933"/>
      <c r="AC434" s="933"/>
      <c r="AD434" s="933"/>
      <c r="AE434" s="933"/>
      <c r="AF434" s="933"/>
      <c r="AG434" s="933"/>
      <c r="AH434" s="933"/>
      <c r="AI434" s="933"/>
      <c r="AJ434" s="933"/>
      <c r="AK434" s="933"/>
      <c r="AL434" s="933"/>
      <c r="AM434" s="933"/>
      <c r="AN434" s="933"/>
      <c r="AO434" s="933"/>
      <c r="AP434" s="933"/>
      <c r="AQ434" s="933"/>
      <c r="AR434" s="933"/>
      <c r="AS434" s="933"/>
      <c r="AT434" s="933"/>
      <c r="AU434" s="860"/>
      <c r="AV434" s="860"/>
      <c r="AW434" s="860"/>
      <c r="AX434" s="860"/>
      <c r="AY434" s="860"/>
      <c r="AZ434" s="860"/>
      <c r="BA434" s="860"/>
      <c r="BB434" s="860"/>
      <c r="BC434" s="860"/>
      <c r="BD434" s="933"/>
      <c r="BE434" s="933"/>
      <c r="BF434" s="933"/>
      <c r="BG434" s="933"/>
      <c r="BH434" s="933"/>
      <c r="BI434" s="933"/>
      <c r="BJ434" s="933"/>
      <c r="BK434" s="933"/>
      <c r="BL434" s="933"/>
      <c r="BM434" s="933"/>
      <c r="BN434" s="933"/>
      <c r="BO434" s="933"/>
      <c r="BP434" s="933"/>
      <c r="BQ434" s="933"/>
      <c r="BR434" s="933"/>
      <c r="BS434" s="933"/>
      <c r="BT434" s="933"/>
      <c r="BU434" s="933"/>
      <c r="BV434" s="933"/>
      <c r="BW434" s="933"/>
      <c r="BX434" s="933"/>
      <c r="BY434" s="933"/>
      <c r="BZ434" s="933"/>
      <c r="CA434" s="933"/>
      <c r="CB434" s="933"/>
      <c r="CC434" s="933"/>
      <c r="CD434" s="933"/>
      <c r="CE434" s="933"/>
      <c r="CF434" s="933"/>
    </row>
    <row r="435" spans="2:84" s="887" customFormat="1" ht="18" customHeight="1" x14ac:dyDescent="0.25">
      <c r="B435" s="856"/>
      <c r="C435" s="946"/>
      <c r="D435" s="947"/>
      <c r="E435" s="933"/>
      <c r="F435" s="933"/>
      <c r="G435" s="933"/>
      <c r="H435" s="933"/>
      <c r="I435" s="933"/>
      <c r="J435" s="933"/>
      <c r="K435" s="933"/>
      <c r="L435" s="933"/>
      <c r="M435" s="933"/>
      <c r="N435" s="933"/>
      <c r="O435" s="857"/>
      <c r="P435" s="857"/>
      <c r="Q435" s="857"/>
      <c r="R435" s="857"/>
      <c r="S435" s="857"/>
      <c r="T435" s="857"/>
      <c r="U435" s="933"/>
      <c r="V435" s="933"/>
      <c r="W435" s="933"/>
      <c r="X435" s="933"/>
      <c r="Y435" s="933"/>
      <c r="Z435" s="933"/>
      <c r="AA435" s="933"/>
      <c r="AB435" s="933"/>
      <c r="AC435" s="933"/>
      <c r="AD435" s="933"/>
      <c r="AE435" s="933"/>
      <c r="AF435" s="933"/>
      <c r="AG435" s="933"/>
      <c r="AH435" s="933"/>
      <c r="AI435" s="933"/>
      <c r="AJ435" s="933"/>
      <c r="AK435" s="933"/>
      <c r="AL435" s="933"/>
      <c r="AM435" s="933"/>
      <c r="AN435" s="933"/>
      <c r="AO435" s="933"/>
      <c r="AP435" s="933"/>
      <c r="AQ435" s="933"/>
      <c r="AR435" s="933"/>
      <c r="AS435" s="933"/>
      <c r="AT435" s="933"/>
      <c r="AU435" s="860"/>
      <c r="AV435" s="860"/>
      <c r="AW435" s="860"/>
      <c r="AX435" s="860"/>
      <c r="AY435" s="860"/>
      <c r="AZ435" s="860"/>
      <c r="BA435" s="860"/>
      <c r="BB435" s="860"/>
      <c r="BC435" s="860"/>
      <c r="BD435" s="933"/>
      <c r="BE435" s="933"/>
      <c r="BF435" s="933"/>
      <c r="BG435" s="933"/>
      <c r="BH435" s="933"/>
      <c r="BI435" s="933"/>
      <c r="BJ435" s="933"/>
      <c r="BK435" s="933"/>
      <c r="BL435" s="933"/>
      <c r="BM435" s="933"/>
      <c r="BN435" s="933"/>
      <c r="BO435" s="933"/>
      <c r="BP435" s="933"/>
      <c r="BQ435" s="933"/>
      <c r="BR435" s="933"/>
      <c r="BS435" s="933"/>
      <c r="BT435" s="933"/>
      <c r="BU435" s="933"/>
      <c r="BV435" s="933"/>
      <c r="BW435" s="933"/>
      <c r="BX435" s="933"/>
      <c r="BY435" s="933"/>
      <c r="BZ435" s="933"/>
      <c r="CA435" s="933"/>
      <c r="CB435" s="933"/>
      <c r="CC435" s="933"/>
      <c r="CD435" s="933"/>
      <c r="CE435" s="933"/>
      <c r="CF435" s="933"/>
    </row>
    <row r="436" spans="2:84" s="887" customFormat="1" ht="18" customHeight="1" x14ac:dyDescent="0.25">
      <c r="B436" s="856"/>
      <c r="C436" s="946"/>
      <c r="D436" s="947"/>
      <c r="E436" s="933"/>
      <c r="F436" s="933"/>
      <c r="G436" s="933"/>
      <c r="H436" s="933"/>
      <c r="I436" s="933"/>
      <c r="J436" s="933"/>
      <c r="K436" s="933"/>
      <c r="L436" s="933"/>
      <c r="M436" s="933"/>
      <c r="N436" s="933"/>
      <c r="O436" s="857"/>
      <c r="P436" s="857"/>
      <c r="Q436" s="857"/>
      <c r="R436" s="857"/>
      <c r="S436" s="857"/>
      <c r="T436" s="857"/>
      <c r="U436" s="933"/>
      <c r="V436" s="933"/>
      <c r="W436" s="933"/>
      <c r="X436" s="933"/>
      <c r="Y436" s="933"/>
      <c r="Z436" s="933"/>
      <c r="AA436" s="933"/>
      <c r="AB436" s="933"/>
      <c r="AC436" s="933"/>
      <c r="AD436" s="933"/>
      <c r="AE436" s="933"/>
      <c r="AF436" s="933"/>
      <c r="AG436" s="933"/>
      <c r="AH436" s="933"/>
      <c r="AI436" s="933"/>
      <c r="AJ436" s="933"/>
      <c r="AK436" s="933"/>
      <c r="AL436" s="933"/>
      <c r="AM436" s="933"/>
      <c r="AN436" s="933"/>
      <c r="AO436" s="933"/>
      <c r="AP436" s="933"/>
      <c r="AQ436" s="933"/>
      <c r="AR436" s="933"/>
      <c r="AS436" s="933"/>
      <c r="AT436" s="933"/>
      <c r="AU436" s="860"/>
      <c r="AV436" s="860"/>
      <c r="AW436" s="860"/>
      <c r="AX436" s="860"/>
      <c r="AY436" s="860"/>
      <c r="AZ436" s="860"/>
      <c r="BA436" s="860"/>
      <c r="BB436" s="860"/>
      <c r="BC436" s="860"/>
      <c r="BD436" s="933"/>
      <c r="BE436" s="933"/>
      <c r="BF436" s="933"/>
      <c r="BG436" s="933"/>
      <c r="BH436" s="933"/>
      <c r="BI436" s="933"/>
      <c r="BJ436" s="933"/>
      <c r="BK436" s="933"/>
      <c r="BL436" s="933"/>
      <c r="BM436" s="933"/>
      <c r="BN436" s="933"/>
      <c r="BO436" s="933"/>
      <c r="BP436" s="933"/>
      <c r="BQ436" s="933"/>
      <c r="BR436" s="933"/>
      <c r="BS436" s="933"/>
      <c r="BT436" s="933"/>
      <c r="BU436" s="933"/>
      <c r="BV436" s="933"/>
      <c r="BW436" s="933"/>
      <c r="BX436" s="933"/>
      <c r="BY436" s="933"/>
      <c r="BZ436" s="933"/>
      <c r="CA436" s="933"/>
      <c r="CB436" s="933"/>
      <c r="CC436" s="933"/>
      <c r="CD436" s="933"/>
      <c r="CE436" s="933"/>
      <c r="CF436" s="933"/>
    </row>
  </sheetData>
  <autoFilter ref="A5:BX315" xr:uid="{00000000-0009-0000-0000-000003000000}"/>
  <mergeCells count="2">
    <mergeCell ref="A1:B1"/>
    <mergeCell ref="A2:B2"/>
  </mergeCells>
  <conditionalFormatting sqref="AU319:BB319">
    <cfRule type="cellIs" dxfId="16" priority="2" operator="notEqual">
      <formula>0</formula>
    </cfRule>
  </conditionalFormatting>
  <conditionalFormatting sqref="BC319">
    <cfRule type="cellIs" dxfId="15" priority="1" operator="notEqual">
      <formula>0</formula>
    </cfRule>
  </conditionalFormatting>
  <printOptions horizontalCentered="1"/>
  <pageMargins left="0.25" right="0.25" top="0.75" bottom="0.65" header="0.25" footer="0.25"/>
  <pageSetup scale="40" firstPageNumber="7" fitToWidth="3" orientation="portrait" r:id="rId1"/>
  <headerFooter scaleWithDoc="0" alignWithMargins="0"/>
  <rowBreaks count="1" manualBreakCount="1">
    <brk id="316" max="16383" man="1"/>
  </rowBreaks>
  <colBreaks count="6" manualBreakCount="6">
    <brk id="5" max="1048575" man="1"/>
    <brk id="20" max="1048575" man="1"/>
    <brk id="29" max="1048575" man="1"/>
    <brk id="46" min="3" max="313" man="1"/>
    <brk id="55" min="3" max="313" man="1"/>
    <brk id="60" min="3" max="313"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C679B-7AF7-4436-BCDC-DFA665DDE9B9}">
  <dimension ref="A1:C312"/>
  <sheetViews>
    <sheetView workbookViewId="0">
      <selection sqref="A1:B2"/>
    </sheetView>
  </sheetViews>
  <sheetFormatPr defaultRowHeight="15" x14ac:dyDescent="0.25"/>
  <cols>
    <col min="1" max="1" width="12.140625" style="976" bestFit="1" customWidth="1"/>
    <col min="2" max="2" width="53.7109375" style="976" bestFit="1" customWidth="1"/>
    <col min="3" max="3" width="28.28515625" style="983" customWidth="1"/>
    <col min="4" max="16384" width="9.140625" style="976"/>
  </cols>
  <sheetData>
    <row r="1" spans="1:3" x14ac:dyDescent="0.25">
      <c r="A1" s="974" t="s">
        <v>1695</v>
      </c>
      <c r="B1" s="974" t="s">
        <v>1083</v>
      </c>
      <c r="C1" s="975" t="s">
        <v>1717</v>
      </c>
    </row>
    <row r="2" spans="1:3" x14ac:dyDescent="0.25">
      <c r="A2" s="977" t="s">
        <v>533</v>
      </c>
      <c r="B2" s="976" t="s">
        <v>1220</v>
      </c>
      <c r="C2" s="978">
        <v>0</v>
      </c>
    </row>
    <row r="3" spans="1:3" x14ac:dyDescent="0.25">
      <c r="A3" s="976">
        <v>10200</v>
      </c>
      <c r="B3" s="976" t="s">
        <v>791</v>
      </c>
      <c r="C3" s="978">
        <v>950854</v>
      </c>
    </row>
    <row r="4" spans="1:3" x14ac:dyDescent="0.25">
      <c r="A4" s="976">
        <v>10400</v>
      </c>
      <c r="B4" s="976" t="s">
        <v>792</v>
      </c>
      <c r="C4" s="978">
        <v>2911902</v>
      </c>
    </row>
    <row r="5" spans="1:3" x14ac:dyDescent="0.25">
      <c r="A5" s="976">
        <v>10500</v>
      </c>
      <c r="B5" s="976" t="s">
        <v>793</v>
      </c>
      <c r="C5" s="978">
        <v>675658</v>
      </c>
    </row>
    <row r="6" spans="1:3" x14ac:dyDescent="0.25">
      <c r="A6" s="976">
        <v>10700</v>
      </c>
      <c r="B6" s="976" t="s">
        <v>1544</v>
      </c>
      <c r="C6" s="978">
        <v>4727939</v>
      </c>
    </row>
    <row r="7" spans="1:3" x14ac:dyDescent="0.25">
      <c r="A7" s="976">
        <v>10800</v>
      </c>
      <c r="B7" s="976" t="s">
        <v>795</v>
      </c>
      <c r="C7" s="978">
        <v>19586718</v>
      </c>
    </row>
    <row r="8" spans="1:3" x14ac:dyDescent="0.25">
      <c r="A8" s="976">
        <v>10850</v>
      </c>
      <c r="B8" s="976" t="s">
        <v>796</v>
      </c>
      <c r="C8" s="978">
        <v>220272</v>
      </c>
    </row>
    <row r="9" spans="1:3" x14ac:dyDescent="0.25">
      <c r="A9" s="976">
        <v>10900</v>
      </c>
      <c r="B9" s="976" t="s">
        <v>797</v>
      </c>
      <c r="C9" s="978">
        <v>1763598</v>
      </c>
    </row>
    <row r="10" spans="1:3" x14ac:dyDescent="0.25">
      <c r="A10" s="976">
        <v>10910</v>
      </c>
      <c r="B10" s="976" t="s">
        <v>798</v>
      </c>
      <c r="C10" s="978">
        <v>275097</v>
      </c>
    </row>
    <row r="11" spans="1:3" x14ac:dyDescent="0.25">
      <c r="A11" s="976">
        <v>10930</v>
      </c>
      <c r="B11" s="976" t="s">
        <v>799</v>
      </c>
      <c r="C11" s="978">
        <v>2935404</v>
      </c>
    </row>
    <row r="12" spans="1:3" x14ac:dyDescent="0.25">
      <c r="A12" s="976">
        <v>10940</v>
      </c>
      <c r="B12" s="976" t="s">
        <v>800</v>
      </c>
      <c r="C12" s="978">
        <v>722367</v>
      </c>
    </row>
    <row r="13" spans="1:3" x14ac:dyDescent="0.25">
      <c r="A13" s="976">
        <v>10950</v>
      </c>
      <c r="B13" s="976" t="s">
        <v>801</v>
      </c>
      <c r="C13" s="978">
        <v>799962</v>
      </c>
    </row>
    <row r="14" spans="1:3" x14ac:dyDescent="0.25">
      <c r="A14" s="976">
        <v>11050</v>
      </c>
      <c r="B14" s="976" t="s">
        <v>1708</v>
      </c>
      <c r="C14" s="978">
        <v>257294</v>
      </c>
    </row>
    <row r="15" spans="1:3" x14ac:dyDescent="0.25">
      <c r="A15" s="976">
        <v>11300</v>
      </c>
      <c r="B15" s="976" t="s">
        <v>802</v>
      </c>
      <c r="C15" s="978">
        <v>4938208</v>
      </c>
    </row>
    <row r="16" spans="1:3" x14ac:dyDescent="0.25">
      <c r="A16" s="976">
        <v>11310</v>
      </c>
      <c r="B16" s="976" t="s">
        <v>803</v>
      </c>
      <c r="C16" s="978">
        <v>535235</v>
      </c>
    </row>
    <row r="17" spans="1:3" x14ac:dyDescent="0.25">
      <c r="A17" s="976">
        <v>11600</v>
      </c>
      <c r="B17" s="976" t="s">
        <v>804</v>
      </c>
      <c r="C17" s="978">
        <v>1914560</v>
      </c>
    </row>
    <row r="18" spans="1:3" x14ac:dyDescent="0.25">
      <c r="A18" s="976">
        <v>11900</v>
      </c>
      <c r="B18" s="976" t="s">
        <v>805</v>
      </c>
      <c r="C18" s="978">
        <v>202924</v>
      </c>
    </row>
    <row r="19" spans="1:3" x14ac:dyDescent="0.25">
      <c r="A19" s="976">
        <v>12100</v>
      </c>
      <c r="B19" s="976" t="s">
        <v>806</v>
      </c>
      <c r="C19" s="978">
        <v>237184</v>
      </c>
    </row>
    <row r="20" spans="1:3" x14ac:dyDescent="0.25">
      <c r="A20" s="976">
        <v>12150</v>
      </c>
      <c r="B20" s="976" t="s">
        <v>807</v>
      </c>
      <c r="C20" s="978">
        <v>35485</v>
      </c>
    </row>
    <row r="21" spans="1:3" x14ac:dyDescent="0.25">
      <c r="A21" s="976">
        <v>12160</v>
      </c>
      <c r="B21" s="976" t="s">
        <v>808</v>
      </c>
      <c r="C21" s="978">
        <v>1905355</v>
      </c>
    </row>
    <row r="22" spans="1:3" x14ac:dyDescent="0.25">
      <c r="A22" s="976">
        <v>12220</v>
      </c>
      <c r="B22" s="976" t="s">
        <v>809</v>
      </c>
      <c r="C22" s="978">
        <v>48154865</v>
      </c>
    </row>
    <row r="23" spans="1:3" x14ac:dyDescent="0.25">
      <c r="A23" s="976">
        <v>12510</v>
      </c>
      <c r="B23" s="976" t="s">
        <v>810</v>
      </c>
      <c r="C23" s="978">
        <v>5262977</v>
      </c>
    </row>
    <row r="24" spans="1:3" x14ac:dyDescent="0.25">
      <c r="A24" s="976">
        <v>12600</v>
      </c>
      <c r="B24" s="976" t="s">
        <v>811</v>
      </c>
      <c r="C24" s="978">
        <v>1936960</v>
      </c>
    </row>
    <row r="25" spans="1:3" x14ac:dyDescent="0.25">
      <c r="A25" s="976">
        <v>12700</v>
      </c>
      <c r="B25" s="976" t="s">
        <v>812</v>
      </c>
      <c r="C25" s="978">
        <v>1224470</v>
      </c>
    </row>
    <row r="26" spans="1:3" x14ac:dyDescent="0.25">
      <c r="A26" s="976">
        <v>13500</v>
      </c>
      <c r="B26" s="976" t="s">
        <v>813</v>
      </c>
      <c r="C26" s="978">
        <v>4366438</v>
      </c>
    </row>
    <row r="27" spans="1:3" x14ac:dyDescent="0.25">
      <c r="A27" s="976">
        <v>13700</v>
      </c>
      <c r="B27" s="976" t="s">
        <v>814</v>
      </c>
      <c r="C27" s="978">
        <v>517015</v>
      </c>
    </row>
    <row r="28" spans="1:3" x14ac:dyDescent="0.25">
      <c r="A28" s="976">
        <v>14300</v>
      </c>
      <c r="B28" s="976" t="s">
        <v>816</v>
      </c>
      <c r="C28" s="978">
        <v>1426759</v>
      </c>
    </row>
    <row r="29" spans="1:3" x14ac:dyDescent="0.25">
      <c r="A29" s="976">
        <v>14300.1</v>
      </c>
      <c r="B29" s="976" t="s">
        <v>1246</v>
      </c>
      <c r="C29" s="978">
        <v>171105</v>
      </c>
    </row>
    <row r="30" spans="1:3" x14ac:dyDescent="0.25">
      <c r="A30" s="976">
        <v>18400</v>
      </c>
      <c r="B30" s="976" t="s">
        <v>1546</v>
      </c>
      <c r="C30" s="978">
        <v>5461933</v>
      </c>
    </row>
    <row r="31" spans="1:3" x14ac:dyDescent="0.25">
      <c r="A31" s="976">
        <v>18600</v>
      </c>
      <c r="B31" s="976" t="s">
        <v>818</v>
      </c>
      <c r="C31" s="978">
        <v>15758</v>
      </c>
    </row>
    <row r="32" spans="1:3" x14ac:dyDescent="0.25">
      <c r="A32" s="976">
        <v>18640</v>
      </c>
      <c r="B32" s="976" t="s">
        <v>819</v>
      </c>
      <c r="C32" s="978">
        <v>1876</v>
      </c>
    </row>
    <row r="33" spans="1:3" x14ac:dyDescent="0.25">
      <c r="A33" s="976">
        <v>18690</v>
      </c>
      <c r="B33" s="976" t="s">
        <v>821</v>
      </c>
      <c r="C33" s="978">
        <v>0</v>
      </c>
    </row>
    <row r="34" spans="1:3" x14ac:dyDescent="0.25">
      <c r="A34" s="976">
        <v>18740</v>
      </c>
      <c r="B34" s="976" t="s">
        <v>822</v>
      </c>
      <c r="C34" s="978">
        <v>8063</v>
      </c>
    </row>
    <row r="35" spans="1:3" x14ac:dyDescent="0.25">
      <c r="A35" s="976">
        <v>18780</v>
      </c>
      <c r="B35" s="976" t="s">
        <v>823</v>
      </c>
      <c r="C35" s="978">
        <v>17102</v>
      </c>
    </row>
    <row r="36" spans="1:3" x14ac:dyDescent="0.25">
      <c r="A36" s="976">
        <v>19005</v>
      </c>
      <c r="B36" s="976" t="s">
        <v>824</v>
      </c>
      <c r="C36" s="978">
        <v>876351</v>
      </c>
    </row>
    <row r="37" spans="1:3" x14ac:dyDescent="0.25">
      <c r="A37" s="976">
        <v>19100</v>
      </c>
      <c r="B37" s="976" t="s">
        <v>825</v>
      </c>
      <c r="C37" s="978">
        <v>65252919</v>
      </c>
    </row>
    <row r="38" spans="1:3" s="979" customFormat="1" x14ac:dyDescent="0.25">
      <c r="A38" s="979">
        <v>20100</v>
      </c>
      <c r="B38" s="979" t="s">
        <v>826</v>
      </c>
      <c r="C38" s="980">
        <v>10826610</v>
      </c>
    </row>
    <row r="39" spans="1:3" x14ac:dyDescent="0.25">
      <c r="A39" s="976">
        <v>20200</v>
      </c>
      <c r="B39" s="976" t="s">
        <v>827</v>
      </c>
      <c r="C39" s="978">
        <v>1697894</v>
      </c>
    </row>
    <row r="40" spans="1:3" x14ac:dyDescent="0.25">
      <c r="A40" s="976">
        <v>20300</v>
      </c>
      <c r="B40" s="976" t="s">
        <v>828</v>
      </c>
      <c r="C40" s="978">
        <v>25111339</v>
      </c>
    </row>
    <row r="41" spans="1:3" x14ac:dyDescent="0.25">
      <c r="A41" s="976">
        <v>20400</v>
      </c>
      <c r="B41" s="976" t="s">
        <v>829</v>
      </c>
      <c r="C41" s="978">
        <v>1272612</v>
      </c>
    </row>
    <row r="42" spans="1:3" x14ac:dyDescent="0.25">
      <c r="A42" s="976">
        <v>20600</v>
      </c>
      <c r="B42" s="976" t="s">
        <v>830</v>
      </c>
      <c r="C42" s="978">
        <v>3203270</v>
      </c>
    </row>
    <row r="43" spans="1:3" x14ac:dyDescent="0.25">
      <c r="A43" s="976">
        <v>20700</v>
      </c>
      <c r="B43" s="976" t="s">
        <v>831</v>
      </c>
      <c r="C43" s="978">
        <v>6640388</v>
      </c>
    </row>
    <row r="44" spans="1:3" x14ac:dyDescent="0.25">
      <c r="A44" s="976">
        <v>20800</v>
      </c>
      <c r="B44" s="976" t="s">
        <v>832</v>
      </c>
      <c r="C44" s="978">
        <v>5027906</v>
      </c>
    </row>
    <row r="45" spans="1:3" x14ac:dyDescent="0.25">
      <c r="A45" s="976">
        <v>20900</v>
      </c>
      <c r="B45" s="976" t="s">
        <v>833</v>
      </c>
      <c r="C45" s="978">
        <v>10592879</v>
      </c>
    </row>
    <row r="46" spans="1:3" x14ac:dyDescent="0.25">
      <c r="A46" s="976">
        <v>21200</v>
      </c>
      <c r="B46" s="976" t="s">
        <v>834</v>
      </c>
      <c r="C46" s="978">
        <v>3094579</v>
      </c>
    </row>
    <row r="47" spans="1:3" x14ac:dyDescent="0.25">
      <c r="A47" s="976">
        <v>21300</v>
      </c>
      <c r="B47" s="976" t="s">
        <v>835</v>
      </c>
      <c r="C47" s="978">
        <v>38850269</v>
      </c>
    </row>
    <row r="48" spans="1:3" x14ac:dyDescent="0.25">
      <c r="A48" s="976">
        <v>21520</v>
      </c>
      <c r="B48" s="976" t="s">
        <v>1547</v>
      </c>
      <c r="C48" s="978">
        <v>69193751</v>
      </c>
    </row>
    <row r="49" spans="1:3" x14ac:dyDescent="0.25">
      <c r="A49" s="976">
        <v>21525</v>
      </c>
      <c r="B49" s="976" t="s">
        <v>837</v>
      </c>
      <c r="C49" s="978">
        <v>1723617</v>
      </c>
    </row>
    <row r="50" spans="1:3" x14ac:dyDescent="0.25">
      <c r="A50" s="976">
        <v>21525.1</v>
      </c>
      <c r="B50" s="976" t="s">
        <v>1718</v>
      </c>
      <c r="C50" s="978">
        <v>204649</v>
      </c>
    </row>
    <row r="51" spans="1:3" x14ac:dyDescent="0.25">
      <c r="A51" s="976">
        <v>21550</v>
      </c>
      <c r="B51" s="976" t="s">
        <v>838</v>
      </c>
      <c r="C51" s="978">
        <v>39782186</v>
      </c>
    </row>
    <row r="52" spans="1:3" x14ac:dyDescent="0.25">
      <c r="A52" s="976">
        <v>21570</v>
      </c>
      <c r="B52" s="976" t="s">
        <v>839</v>
      </c>
      <c r="C52" s="978">
        <v>199696</v>
      </c>
    </row>
    <row r="53" spans="1:3" x14ac:dyDescent="0.25">
      <c r="A53" s="976">
        <v>21800</v>
      </c>
      <c r="B53" s="976" t="s">
        <v>840</v>
      </c>
      <c r="C53" s="978">
        <v>5717179</v>
      </c>
    </row>
    <row r="54" spans="1:3" x14ac:dyDescent="0.25">
      <c r="A54" s="976">
        <v>21900</v>
      </c>
      <c r="B54" s="976" t="s">
        <v>841</v>
      </c>
      <c r="C54" s="978">
        <v>3476710</v>
      </c>
    </row>
    <row r="55" spans="1:3" x14ac:dyDescent="0.25">
      <c r="A55" s="976">
        <v>22000</v>
      </c>
      <c r="B55" s="976" t="s">
        <v>842</v>
      </c>
      <c r="C55" s="978">
        <v>3795633</v>
      </c>
    </row>
    <row r="56" spans="1:3" x14ac:dyDescent="0.25">
      <c r="A56" s="976">
        <v>23000</v>
      </c>
      <c r="B56" s="976" t="s">
        <v>843</v>
      </c>
      <c r="C56" s="978">
        <v>2591231</v>
      </c>
    </row>
    <row r="57" spans="1:3" x14ac:dyDescent="0.25">
      <c r="A57" s="976">
        <v>23100</v>
      </c>
      <c r="B57" s="976" t="s">
        <v>844</v>
      </c>
      <c r="C57" s="978">
        <v>15445556</v>
      </c>
    </row>
    <row r="58" spans="1:3" x14ac:dyDescent="0.25">
      <c r="A58" s="976">
        <v>23200</v>
      </c>
      <c r="B58" s="976" t="s">
        <v>845</v>
      </c>
      <c r="C58" s="978">
        <v>8203388</v>
      </c>
    </row>
    <row r="59" spans="1:3" x14ac:dyDescent="0.25">
      <c r="A59" s="976">
        <v>30000</v>
      </c>
      <c r="B59" s="976" t="s">
        <v>846</v>
      </c>
      <c r="C59" s="978">
        <v>835256</v>
      </c>
    </row>
    <row r="60" spans="1:3" x14ac:dyDescent="0.25">
      <c r="A60" s="976">
        <v>30100</v>
      </c>
      <c r="B60" s="976" t="s">
        <v>847</v>
      </c>
      <c r="C60" s="978">
        <v>7079008</v>
      </c>
    </row>
    <row r="61" spans="1:3" x14ac:dyDescent="0.25">
      <c r="A61" s="976">
        <v>30102</v>
      </c>
      <c r="B61" s="976" t="s">
        <v>848</v>
      </c>
      <c r="C61" s="978">
        <v>129986</v>
      </c>
    </row>
    <row r="62" spans="1:3" x14ac:dyDescent="0.25">
      <c r="A62" s="976">
        <v>30103</v>
      </c>
      <c r="B62" s="976" t="s">
        <v>849</v>
      </c>
      <c r="C62" s="978">
        <v>168663</v>
      </c>
    </row>
    <row r="63" spans="1:3" x14ac:dyDescent="0.25">
      <c r="A63" s="976">
        <v>30104</v>
      </c>
      <c r="B63" s="976" t="s">
        <v>850</v>
      </c>
      <c r="C63" s="978">
        <v>87755</v>
      </c>
    </row>
    <row r="64" spans="1:3" x14ac:dyDescent="0.25">
      <c r="A64" s="976">
        <v>30105</v>
      </c>
      <c r="B64" s="976" t="s">
        <v>851</v>
      </c>
      <c r="C64" s="978">
        <v>848915</v>
      </c>
    </row>
    <row r="65" spans="1:3" x14ac:dyDescent="0.25">
      <c r="A65" s="976">
        <v>30200</v>
      </c>
      <c r="B65" s="976" t="s">
        <v>852</v>
      </c>
      <c r="C65" s="978">
        <v>1703684</v>
      </c>
    </row>
    <row r="66" spans="1:3" x14ac:dyDescent="0.25">
      <c r="A66" s="976">
        <v>30300</v>
      </c>
      <c r="B66" s="976" t="s">
        <v>853</v>
      </c>
      <c r="C66" s="978">
        <v>557508</v>
      </c>
    </row>
    <row r="67" spans="1:3" x14ac:dyDescent="0.25">
      <c r="A67" s="976">
        <v>30400</v>
      </c>
      <c r="B67" s="976" t="s">
        <v>854</v>
      </c>
      <c r="C67" s="978">
        <v>1114753</v>
      </c>
    </row>
    <row r="68" spans="1:3" x14ac:dyDescent="0.25">
      <c r="A68" s="976">
        <v>30405</v>
      </c>
      <c r="B68" s="976" t="s">
        <v>855</v>
      </c>
      <c r="C68" s="978">
        <v>657454</v>
      </c>
    </row>
    <row r="69" spans="1:3" x14ac:dyDescent="0.25">
      <c r="A69" s="976">
        <v>30500</v>
      </c>
      <c r="B69" s="976" t="s">
        <v>856</v>
      </c>
      <c r="C69" s="978">
        <v>1117172</v>
      </c>
    </row>
    <row r="70" spans="1:3" x14ac:dyDescent="0.25">
      <c r="A70" s="976">
        <v>30600</v>
      </c>
      <c r="B70" s="976" t="s">
        <v>857</v>
      </c>
      <c r="C70" s="978">
        <v>844056</v>
      </c>
    </row>
    <row r="71" spans="1:3" x14ac:dyDescent="0.25">
      <c r="A71" s="976">
        <v>30601</v>
      </c>
      <c r="B71" s="976" t="s">
        <v>858</v>
      </c>
      <c r="C71" s="978">
        <v>18810</v>
      </c>
    </row>
    <row r="72" spans="1:3" x14ac:dyDescent="0.25">
      <c r="A72" s="976">
        <v>30700</v>
      </c>
      <c r="B72" s="976" t="s">
        <v>859</v>
      </c>
      <c r="C72" s="978">
        <v>2249448</v>
      </c>
    </row>
    <row r="73" spans="1:3" x14ac:dyDescent="0.25">
      <c r="A73" s="976">
        <v>30705</v>
      </c>
      <c r="B73" s="976" t="s">
        <v>860</v>
      </c>
      <c r="C73" s="978">
        <v>425164</v>
      </c>
    </row>
    <row r="74" spans="1:3" x14ac:dyDescent="0.25">
      <c r="A74" s="976">
        <v>30800</v>
      </c>
      <c r="B74" s="976" t="s">
        <v>861</v>
      </c>
      <c r="C74" s="978">
        <v>806922</v>
      </c>
    </row>
    <row r="75" spans="1:3" x14ac:dyDescent="0.25">
      <c r="A75" s="976">
        <v>30900</v>
      </c>
      <c r="B75" s="976" t="s">
        <v>862</v>
      </c>
      <c r="C75" s="978">
        <v>1541412</v>
      </c>
    </row>
    <row r="76" spans="1:3" x14ac:dyDescent="0.25">
      <c r="A76" s="976">
        <v>30905</v>
      </c>
      <c r="B76" s="976" t="s">
        <v>863</v>
      </c>
      <c r="C76" s="978">
        <v>360060</v>
      </c>
    </row>
    <row r="77" spans="1:3" x14ac:dyDescent="0.25">
      <c r="A77" s="976">
        <v>31000</v>
      </c>
      <c r="B77" s="976" t="s">
        <v>864</v>
      </c>
      <c r="C77" s="978">
        <v>4289218</v>
      </c>
    </row>
    <row r="78" spans="1:3" x14ac:dyDescent="0.25">
      <c r="A78" s="976">
        <v>31005</v>
      </c>
      <c r="B78" s="976" t="s">
        <v>865</v>
      </c>
      <c r="C78" s="978">
        <v>459773</v>
      </c>
    </row>
    <row r="79" spans="1:3" x14ac:dyDescent="0.25">
      <c r="A79" s="976">
        <v>31100</v>
      </c>
      <c r="B79" s="976" t="s">
        <v>866</v>
      </c>
      <c r="C79" s="978">
        <v>8743620</v>
      </c>
    </row>
    <row r="80" spans="1:3" x14ac:dyDescent="0.25">
      <c r="A80" s="976">
        <v>31101</v>
      </c>
      <c r="B80" s="976" t="s">
        <v>867</v>
      </c>
      <c r="C80" s="978">
        <v>49220</v>
      </c>
    </row>
    <row r="81" spans="1:3" x14ac:dyDescent="0.25">
      <c r="A81" s="976">
        <v>31102</v>
      </c>
      <c r="B81" s="976" t="s">
        <v>868</v>
      </c>
      <c r="C81" s="978">
        <v>130163</v>
      </c>
    </row>
    <row r="82" spans="1:3" x14ac:dyDescent="0.25">
      <c r="A82" s="976">
        <v>31105</v>
      </c>
      <c r="B82" s="976" t="s">
        <v>869</v>
      </c>
      <c r="C82" s="978">
        <v>1474922</v>
      </c>
    </row>
    <row r="83" spans="1:3" x14ac:dyDescent="0.25">
      <c r="A83" s="976">
        <v>31110</v>
      </c>
      <c r="B83" s="976" t="s">
        <v>870</v>
      </c>
      <c r="C83" s="978">
        <v>1978142</v>
      </c>
    </row>
    <row r="84" spans="1:3" x14ac:dyDescent="0.25">
      <c r="A84" s="976">
        <v>31200</v>
      </c>
      <c r="B84" s="976" t="s">
        <v>871</v>
      </c>
      <c r="C84" s="978">
        <v>3870873</v>
      </c>
    </row>
    <row r="85" spans="1:3" x14ac:dyDescent="0.25">
      <c r="A85" s="976">
        <v>31205</v>
      </c>
      <c r="B85" s="976" t="s">
        <v>872</v>
      </c>
      <c r="C85" s="978">
        <v>518353</v>
      </c>
    </row>
    <row r="86" spans="1:3" x14ac:dyDescent="0.25">
      <c r="A86" s="976">
        <v>31300</v>
      </c>
      <c r="B86" s="976" t="s">
        <v>873</v>
      </c>
      <c r="C86" s="978">
        <v>9979024</v>
      </c>
    </row>
    <row r="87" spans="1:3" x14ac:dyDescent="0.25">
      <c r="A87" s="976">
        <v>31301</v>
      </c>
      <c r="B87" s="976" t="s">
        <v>874</v>
      </c>
      <c r="C87" s="978">
        <v>218784</v>
      </c>
    </row>
    <row r="88" spans="1:3" x14ac:dyDescent="0.25">
      <c r="A88" s="976">
        <v>31320</v>
      </c>
      <c r="B88" s="976" t="s">
        <v>875</v>
      </c>
      <c r="C88" s="978">
        <v>1776370</v>
      </c>
    </row>
    <row r="89" spans="1:3" x14ac:dyDescent="0.25">
      <c r="A89" s="976">
        <v>31400</v>
      </c>
      <c r="B89" s="976" t="s">
        <v>876</v>
      </c>
      <c r="C89" s="978">
        <v>4084566</v>
      </c>
    </row>
    <row r="90" spans="1:3" x14ac:dyDescent="0.25">
      <c r="A90" s="976">
        <v>31405</v>
      </c>
      <c r="B90" s="976" t="s">
        <v>877</v>
      </c>
      <c r="C90" s="978">
        <v>921090</v>
      </c>
    </row>
    <row r="91" spans="1:3" x14ac:dyDescent="0.25">
      <c r="A91" s="976">
        <v>31500</v>
      </c>
      <c r="B91" s="976" t="s">
        <v>878</v>
      </c>
      <c r="C91" s="978">
        <v>653587</v>
      </c>
    </row>
    <row r="92" spans="1:3" x14ac:dyDescent="0.25">
      <c r="A92" s="976">
        <v>31600</v>
      </c>
      <c r="B92" s="976" t="s">
        <v>879</v>
      </c>
      <c r="C92" s="978">
        <v>2843970</v>
      </c>
    </row>
    <row r="93" spans="1:3" x14ac:dyDescent="0.25">
      <c r="A93" s="976">
        <v>31605</v>
      </c>
      <c r="B93" s="976" t="s">
        <v>881</v>
      </c>
      <c r="C93" s="978">
        <v>462275</v>
      </c>
    </row>
    <row r="94" spans="1:3" x14ac:dyDescent="0.25">
      <c r="A94" s="976">
        <v>31700</v>
      </c>
      <c r="B94" s="976" t="s">
        <v>882</v>
      </c>
      <c r="C94" s="978">
        <v>915657</v>
      </c>
    </row>
    <row r="95" spans="1:3" x14ac:dyDescent="0.25">
      <c r="A95" s="976">
        <v>31800</v>
      </c>
      <c r="B95" s="976" t="s">
        <v>883</v>
      </c>
      <c r="C95" s="978">
        <v>5075139</v>
      </c>
    </row>
    <row r="96" spans="1:3" x14ac:dyDescent="0.25">
      <c r="A96" s="976">
        <v>31805</v>
      </c>
      <c r="B96" s="976" t="s">
        <v>884</v>
      </c>
      <c r="C96" s="978">
        <v>1127558</v>
      </c>
    </row>
    <row r="97" spans="1:3" x14ac:dyDescent="0.25">
      <c r="A97" s="976">
        <v>31810</v>
      </c>
      <c r="B97" s="976" t="s">
        <v>885</v>
      </c>
      <c r="C97" s="978">
        <v>1324636</v>
      </c>
    </row>
    <row r="98" spans="1:3" x14ac:dyDescent="0.25">
      <c r="A98" s="976">
        <v>31820</v>
      </c>
      <c r="B98" s="976" t="s">
        <v>886</v>
      </c>
      <c r="C98" s="978">
        <v>1071600</v>
      </c>
    </row>
    <row r="99" spans="1:3" x14ac:dyDescent="0.25">
      <c r="A99" s="976">
        <v>31900</v>
      </c>
      <c r="B99" s="976" t="s">
        <v>887</v>
      </c>
      <c r="C99" s="978">
        <v>3114293</v>
      </c>
    </row>
    <row r="100" spans="1:3" x14ac:dyDescent="0.25">
      <c r="A100" s="976">
        <v>32000</v>
      </c>
      <c r="B100" s="976" t="s">
        <v>888</v>
      </c>
      <c r="C100" s="978">
        <v>1274586</v>
      </c>
    </row>
    <row r="101" spans="1:3" x14ac:dyDescent="0.25">
      <c r="A101" s="976">
        <v>32005</v>
      </c>
      <c r="B101" s="976" t="s">
        <v>889</v>
      </c>
      <c r="C101" s="978">
        <v>304285</v>
      </c>
    </row>
    <row r="102" spans="1:3" x14ac:dyDescent="0.25">
      <c r="A102" s="976">
        <v>32100</v>
      </c>
      <c r="B102" s="976" t="s">
        <v>890</v>
      </c>
      <c r="C102" s="978">
        <v>771959</v>
      </c>
    </row>
    <row r="103" spans="1:3" x14ac:dyDescent="0.25">
      <c r="A103" s="976">
        <v>32200</v>
      </c>
      <c r="B103" s="976" t="s">
        <v>891</v>
      </c>
      <c r="C103" s="978">
        <v>496837</v>
      </c>
    </row>
    <row r="104" spans="1:3" x14ac:dyDescent="0.25">
      <c r="A104" s="976">
        <v>32300</v>
      </c>
      <c r="B104" s="976" t="s">
        <v>892</v>
      </c>
      <c r="C104" s="978">
        <v>5167076</v>
      </c>
    </row>
    <row r="105" spans="1:3" x14ac:dyDescent="0.25">
      <c r="A105" s="976">
        <v>32305</v>
      </c>
      <c r="B105" s="976" t="s">
        <v>1548</v>
      </c>
      <c r="C105" s="978">
        <v>593034</v>
      </c>
    </row>
    <row r="106" spans="1:3" x14ac:dyDescent="0.25">
      <c r="A106" s="976">
        <v>32400</v>
      </c>
      <c r="B106" s="976" t="s">
        <v>894</v>
      </c>
      <c r="C106" s="978">
        <v>1971442</v>
      </c>
    </row>
    <row r="107" spans="1:3" x14ac:dyDescent="0.25">
      <c r="A107" s="976">
        <v>32405</v>
      </c>
      <c r="B107" s="976" t="s">
        <v>895</v>
      </c>
      <c r="C107" s="978">
        <v>543715</v>
      </c>
    </row>
    <row r="108" spans="1:3" x14ac:dyDescent="0.25">
      <c r="A108" s="976">
        <v>32410</v>
      </c>
      <c r="B108" s="976" t="s">
        <v>896</v>
      </c>
      <c r="C108" s="978">
        <v>789851</v>
      </c>
    </row>
    <row r="109" spans="1:3" x14ac:dyDescent="0.25">
      <c r="A109" s="976">
        <v>32500</v>
      </c>
      <c r="B109" s="976" t="s">
        <v>1549</v>
      </c>
      <c r="C109" s="978">
        <v>4240106</v>
      </c>
    </row>
    <row r="110" spans="1:3" x14ac:dyDescent="0.25">
      <c r="A110" s="976">
        <v>32505</v>
      </c>
      <c r="B110" s="976" t="s">
        <v>899</v>
      </c>
      <c r="C110" s="978">
        <v>696143</v>
      </c>
    </row>
    <row r="111" spans="1:3" x14ac:dyDescent="0.25">
      <c r="A111" s="976">
        <v>32600</v>
      </c>
      <c r="B111" s="976" t="s">
        <v>900</v>
      </c>
      <c r="C111" s="978">
        <v>15384432</v>
      </c>
    </row>
    <row r="112" spans="1:3" x14ac:dyDescent="0.25">
      <c r="A112" s="976">
        <v>32605</v>
      </c>
      <c r="B112" s="976" t="s">
        <v>901</v>
      </c>
      <c r="C112" s="978">
        <v>2454513</v>
      </c>
    </row>
    <row r="113" spans="1:3" x14ac:dyDescent="0.25">
      <c r="A113" s="976">
        <v>32700</v>
      </c>
      <c r="B113" s="976" t="s">
        <v>902</v>
      </c>
      <c r="C113" s="978">
        <v>1410883</v>
      </c>
    </row>
    <row r="114" spans="1:3" x14ac:dyDescent="0.25">
      <c r="A114" s="976">
        <v>32800</v>
      </c>
      <c r="B114" s="976" t="s">
        <v>903</v>
      </c>
      <c r="C114" s="978">
        <v>2108318</v>
      </c>
    </row>
    <row r="115" spans="1:3" x14ac:dyDescent="0.25">
      <c r="A115" s="976">
        <v>32900</v>
      </c>
      <c r="B115" s="976" t="s">
        <v>904</v>
      </c>
      <c r="C115" s="978">
        <v>5678755</v>
      </c>
    </row>
    <row r="116" spans="1:3" x14ac:dyDescent="0.25">
      <c r="A116" s="976">
        <v>32901</v>
      </c>
      <c r="B116" s="976" t="s">
        <v>1550</v>
      </c>
      <c r="C116" s="978">
        <v>124650</v>
      </c>
    </row>
    <row r="117" spans="1:3" x14ac:dyDescent="0.25">
      <c r="A117" s="976">
        <v>32905</v>
      </c>
      <c r="B117" s="976" t="s">
        <v>906</v>
      </c>
      <c r="C117" s="978">
        <v>885903</v>
      </c>
    </row>
    <row r="118" spans="1:3" x14ac:dyDescent="0.25">
      <c r="A118" s="976">
        <v>32910</v>
      </c>
      <c r="B118" s="976" t="s">
        <v>907</v>
      </c>
      <c r="C118" s="978">
        <v>1118375</v>
      </c>
    </row>
    <row r="119" spans="1:3" x14ac:dyDescent="0.25">
      <c r="A119" s="976">
        <v>32920</v>
      </c>
      <c r="B119" s="976" t="s">
        <v>908</v>
      </c>
      <c r="C119" s="978">
        <v>882960</v>
      </c>
    </row>
    <row r="120" spans="1:3" x14ac:dyDescent="0.25">
      <c r="A120" s="976">
        <v>33000</v>
      </c>
      <c r="B120" s="976" t="s">
        <v>909</v>
      </c>
      <c r="C120" s="978">
        <v>2102937</v>
      </c>
    </row>
    <row r="121" spans="1:3" x14ac:dyDescent="0.25">
      <c r="A121" s="976">
        <v>33001</v>
      </c>
      <c r="B121" s="976" t="s">
        <v>910</v>
      </c>
      <c r="C121" s="978">
        <v>59630</v>
      </c>
    </row>
    <row r="122" spans="1:3" x14ac:dyDescent="0.25">
      <c r="A122" s="976">
        <v>33027</v>
      </c>
      <c r="B122" s="976" t="s">
        <v>911</v>
      </c>
      <c r="C122" s="978">
        <v>226816</v>
      </c>
    </row>
    <row r="123" spans="1:3" x14ac:dyDescent="0.25">
      <c r="A123" s="976">
        <v>33100</v>
      </c>
      <c r="B123" s="976" t="s">
        <v>912</v>
      </c>
      <c r="C123" s="978">
        <v>3059621</v>
      </c>
    </row>
    <row r="124" spans="1:3" x14ac:dyDescent="0.25">
      <c r="A124" s="976">
        <v>33105</v>
      </c>
      <c r="B124" s="976" t="s">
        <v>913</v>
      </c>
      <c r="C124" s="978">
        <v>360494</v>
      </c>
    </row>
    <row r="125" spans="1:3" x14ac:dyDescent="0.25">
      <c r="A125" s="976">
        <v>33200</v>
      </c>
      <c r="B125" s="976" t="s">
        <v>914</v>
      </c>
      <c r="C125" s="978">
        <v>12917610</v>
      </c>
    </row>
    <row r="126" spans="1:3" x14ac:dyDescent="0.25">
      <c r="A126" s="976">
        <v>33202</v>
      </c>
      <c r="B126" s="976" t="s">
        <v>915</v>
      </c>
      <c r="C126" s="978">
        <v>189060</v>
      </c>
    </row>
    <row r="127" spans="1:3" x14ac:dyDescent="0.25">
      <c r="A127" s="976">
        <v>33203</v>
      </c>
      <c r="B127" s="976" t="s">
        <v>916</v>
      </c>
      <c r="C127" s="978">
        <v>95841</v>
      </c>
    </row>
    <row r="128" spans="1:3" x14ac:dyDescent="0.25">
      <c r="A128" s="976">
        <v>33204</v>
      </c>
      <c r="B128" s="976" t="s">
        <v>917</v>
      </c>
      <c r="C128" s="978">
        <v>302382</v>
      </c>
    </row>
    <row r="129" spans="1:3" x14ac:dyDescent="0.25">
      <c r="A129" s="976">
        <v>33205</v>
      </c>
      <c r="B129" s="976" t="s">
        <v>918</v>
      </c>
      <c r="C129" s="978">
        <v>1147254</v>
      </c>
    </row>
    <row r="130" spans="1:3" x14ac:dyDescent="0.25">
      <c r="A130" s="976">
        <v>33206</v>
      </c>
      <c r="B130" s="976" t="s">
        <v>919</v>
      </c>
      <c r="C130" s="978">
        <v>103268</v>
      </c>
    </row>
    <row r="131" spans="1:3" x14ac:dyDescent="0.25">
      <c r="A131" s="976">
        <v>33207</v>
      </c>
      <c r="B131" s="976" t="s">
        <v>1134</v>
      </c>
      <c r="C131" s="978">
        <v>231649</v>
      </c>
    </row>
    <row r="132" spans="1:3" x14ac:dyDescent="0.25">
      <c r="A132" s="976">
        <v>33208</v>
      </c>
      <c r="B132" s="976" t="s">
        <v>1135</v>
      </c>
      <c r="C132" s="978">
        <v>0</v>
      </c>
    </row>
    <row r="133" spans="1:3" x14ac:dyDescent="0.25">
      <c r="A133" s="976">
        <v>33209</v>
      </c>
      <c r="B133" s="976" t="s">
        <v>1136</v>
      </c>
      <c r="C133" s="978">
        <v>84182</v>
      </c>
    </row>
    <row r="134" spans="1:3" x14ac:dyDescent="0.25">
      <c r="A134" s="976">
        <v>33300</v>
      </c>
      <c r="B134" s="976" t="s">
        <v>920</v>
      </c>
      <c r="C134" s="978">
        <v>2006626</v>
      </c>
    </row>
    <row r="135" spans="1:3" x14ac:dyDescent="0.25">
      <c r="A135" s="976">
        <v>33305</v>
      </c>
      <c r="B135" s="976" t="s">
        <v>921</v>
      </c>
      <c r="C135" s="978">
        <v>588883</v>
      </c>
    </row>
    <row r="136" spans="1:3" x14ac:dyDescent="0.25">
      <c r="A136" s="976">
        <v>33400</v>
      </c>
      <c r="B136" s="976" t="s">
        <v>922</v>
      </c>
      <c r="C136" s="978">
        <v>18269849</v>
      </c>
    </row>
    <row r="137" spans="1:3" x14ac:dyDescent="0.25">
      <c r="A137" s="976">
        <v>33402</v>
      </c>
      <c r="B137" s="976" t="s">
        <v>923</v>
      </c>
      <c r="C137" s="978">
        <v>130965</v>
      </c>
    </row>
    <row r="138" spans="1:3" x14ac:dyDescent="0.25">
      <c r="A138" s="976">
        <v>33405</v>
      </c>
      <c r="B138" s="976" t="s">
        <v>925</v>
      </c>
      <c r="C138" s="978">
        <v>1792535</v>
      </c>
    </row>
    <row r="139" spans="1:3" x14ac:dyDescent="0.25">
      <c r="A139" s="976">
        <v>33500</v>
      </c>
      <c r="B139" s="976" t="s">
        <v>926</v>
      </c>
      <c r="C139" s="978">
        <v>2619687</v>
      </c>
    </row>
    <row r="140" spans="1:3" x14ac:dyDescent="0.25">
      <c r="A140" s="976">
        <v>33501</v>
      </c>
      <c r="B140" s="976" t="s">
        <v>927</v>
      </c>
      <c r="C140" s="978">
        <v>60210</v>
      </c>
    </row>
    <row r="141" spans="1:3" x14ac:dyDescent="0.25">
      <c r="A141" s="976">
        <v>33600</v>
      </c>
      <c r="B141" s="976" t="s">
        <v>928</v>
      </c>
      <c r="C141" s="978">
        <v>9496455</v>
      </c>
    </row>
    <row r="142" spans="1:3" x14ac:dyDescent="0.25">
      <c r="A142" s="976">
        <v>33605</v>
      </c>
      <c r="B142" s="976" t="s">
        <v>929</v>
      </c>
      <c r="C142" s="978">
        <v>1358994</v>
      </c>
    </row>
    <row r="143" spans="1:3" x14ac:dyDescent="0.25">
      <c r="A143" s="976">
        <v>33700</v>
      </c>
      <c r="B143" s="976" t="s">
        <v>930</v>
      </c>
      <c r="C143" s="978">
        <v>662407</v>
      </c>
    </row>
    <row r="144" spans="1:3" x14ac:dyDescent="0.25">
      <c r="A144" s="976">
        <v>33800</v>
      </c>
      <c r="B144" s="976" t="s">
        <v>931</v>
      </c>
      <c r="C144" s="978">
        <v>490185</v>
      </c>
    </row>
    <row r="145" spans="1:3" x14ac:dyDescent="0.25">
      <c r="A145" s="976">
        <v>33900</v>
      </c>
      <c r="B145" s="976" t="s">
        <v>932</v>
      </c>
      <c r="C145" s="978">
        <v>2533826</v>
      </c>
    </row>
    <row r="146" spans="1:3" x14ac:dyDescent="0.25">
      <c r="A146" s="976">
        <v>34000</v>
      </c>
      <c r="B146" s="976" t="s">
        <v>933</v>
      </c>
      <c r="C146" s="978">
        <v>1087896</v>
      </c>
    </row>
    <row r="147" spans="1:3" x14ac:dyDescent="0.25">
      <c r="A147" s="976">
        <v>34100</v>
      </c>
      <c r="B147" s="976" t="s">
        <v>934</v>
      </c>
      <c r="C147" s="978">
        <v>24289132</v>
      </c>
    </row>
    <row r="148" spans="1:3" x14ac:dyDescent="0.25">
      <c r="A148" s="976">
        <v>34105</v>
      </c>
      <c r="B148" s="976" t="s">
        <v>935</v>
      </c>
      <c r="C148" s="978">
        <v>2248607</v>
      </c>
    </row>
    <row r="149" spans="1:3" x14ac:dyDescent="0.25">
      <c r="A149" s="976">
        <v>34200</v>
      </c>
      <c r="B149" s="976" t="s">
        <v>936</v>
      </c>
      <c r="C149" s="978">
        <v>930724</v>
      </c>
    </row>
    <row r="150" spans="1:3" x14ac:dyDescent="0.25">
      <c r="A150" s="976">
        <v>34205</v>
      </c>
      <c r="B150" s="976" t="s">
        <v>937</v>
      </c>
      <c r="C150" s="978">
        <v>408360</v>
      </c>
    </row>
    <row r="151" spans="1:3" x14ac:dyDescent="0.25">
      <c r="A151" s="976">
        <v>34220</v>
      </c>
      <c r="B151" s="976" t="s">
        <v>938</v>
      </c>
      <c r="C151" s="978">
        <v>1022202</v>
      </c>
    </row>
    <row r="152" spans="1:3" x14ac:dyDescent="0.25">
      <c r="A152" s="976">
        <v>34230</v>
      </c>
      <c r="B152" s="976" t="s">
        <v>939</v>
      </c>
      <c r="C152" s="978">
        <v>393501</v>
      </c>
    </row>
    <row r="153" spans="1:3" x14ac:dyDescent="0.25">
      <c r="A153" s="976">
        <v>34300</v>
      </c>
      <c r="B153" s="976" t="s">
        <v>940</v>
      </c>
      <c r="C153" s="978">
        <v>6049656</v>
      </c>
    </row>
    <row r="154" spans="1:3" x14ac:dyDescent="0.25">
      <c r="A154" s="976">
        <v>34400</v>
      </c>
      <c r="B154" s="976" t="s">
        <v>941</v>
      </c>
      <c r="C154" s="978">
        <v>2414813</v>
      </c>
    </row>
    <row r="155" spans="1:3" x14ac:dyDescent="0.25">
      <c r="A155" s="976">
        <v>34405</v>
      </c>
      <c r="B155" s="976" t="s">
        <v>942</v>
      </c>
      <c r="C155" s="978">
        <v>500527</v>
      </c>
    </row>
    <row r="156" spans="1:3" x14ac:dyDescent="0.25">
      <c r="A156" s="976">
        <v>34500</v>
      </c>
      <c r="B156" s="976" t="s">
        <v>943</v>
      </c>
      <c r="C156" s="978">
        <v>4356211</v>
      </c>
    </row>
    <row r="157" spans="1:3" x14ac:dyDescent="0.25">
      <c r="A157" s="976">
        <v>34501</v>
      </c>
      <c r="B157" s="976" t="s">
        <v>944</v>
      </c>
      <c r="C157" s="978">
        <v>52491</v>
      </c>
    </row>
    <row r="158" spans="1:3" x14ac:dyDescent="0.25">
      <c r="A158" s="976">
        <v>34505</v>
      </c>
      <c r="B158" s="976" t="s">
        <v>945</v>
      </c>
      <c r="C158" s="978">
        <v>627238</v>
      </c>
    </row>
    <row r="159" spans="1:3" x14ac:dyDescent="0.25">
      <c r="A159" s="976">
        <v>34600</v>
      </c>
      <c r="B159" s="976" t="s">
        <v>946</v>
      </c>
      <c r="C159" s="978">
        <v>1097914</v>
      </c>
    </row>
    <row r="160" spans="1:3" x14ac:dyDescent="0.25">
      <c r="A160" s="976">
        <v>34605</v>
      </c>
      <c r="B160" s="976" t="s">
        <v>947</v>
      </c>
      <c r="C160" s="978">
        <v>221120</v>
      </c>
    </row>
    <row r="161" spans="1:3" x14ac:dyDescent="0.25">
      <c r="A161" s="976">
        <v>34700</v>
      </c>
      <c r="B161" s="976" t="s">
        <v>948</v>
      </c>
      <c r="C161" s="978">
        <v>2645862</v>
      </c>
    </row>
    <row r="162" spans="1:3" x14ac:dyDescent="0.25">
      <c r="A162" s="976">
        <v>34800</v>
      </c>
      <c r="B162" s="976" t="s">
        <v>949</v>
      </c>
      <c r="C162" s="978">
        <v>341349</v>
      </c>
    </row>
    <row r="163" spans="1:3" x14ac:dyDescent="0.25">
      <c r="A163" s="976">
        <v>34900</v>
      </c>
      <c r="B163" s="976" t="s">
        <v>1551</v>
      </c>
      <c r="C163" s="978">
        <v>6311377</v>
      </c>
    </row>
    <row r="164" spans="1:3" x14ac:dyDescent="0.25">
      <c r="A164" s="976">
        <v>34901</v>
      </c>
      <c r="B164" s="976" t="s">
        <v>1552</v>
      </c>
      <c r="C164" s="978">
        <v>142527</v>
      </c>
    </row>
    <row r="165" spans="1:3" x14ac:dyDescent="0.25">
      <c r="A165" s="976">
        <v>34903</v>
      </c>
      <c r="B165" s="976" t="s">
        <v>952</v>
      </c>
      <c r="C165" s="978">
        <v>14480</v>
      </c>
    </row>
    <row r="166" spans="1:3" x14ac:dyDescent="0.25">
      <c r="A166" s="976">
        <v>34905</v>
      </c>
      <c r="B166" s="976" t="s">
        <v>953</v>
      </c>
      <c r="C166" s="978">
        <v>627875</v>
      </c>
    </row>
    <row r="167" spans="1:3" x14ac:dyDescent="0.25">
      <c r="A167" s="976">
        <v>34910</v>
      </c>
      <c r="B167" s="976" t="s">
        <v>954</v>
      </c>
      <c r="C167" s="978">
        <v>1914515</v>
      </c>
    </row>
    <row r="168" spans="1:3" x14ac:dyDescent="0.25">
      <c r="A168" s="976">
        <v>35000</v>
      </c>
      <c r="B168" s="976" t="s">
        <v>955</v>
      </c>
      <c r="C168" s="978">
        <v>1273399</v>
      </c>
    </row>
    <row r="169" spans="1:3" x14ac:dyDescent="0.25">
      <c r="A169" s="976">
        <v>35005</v>
      </c>
      <c r="B169" s="976" t="s">
        <v>956</v>
      </c>
      <c r="C169" s="978">
        <v>631933</v>
      </c>
    </row>
    <row r="170" spans="1:3" x14ac:dyDescent="0.25">
      <c r="A170" s="976">
        <v>35100</v>
      </c>
      <c r="B170" s="976" t="s">
        <v>957</v>
      </c>
      <c r="C170" s="978">
        <v>11100610</v>
      </c>
    </row>
    <row r="171" spans="1:3" x14ac:dyDescent="0.25">
      <c r="A171" s="976">
        <v>35105</v>
      </c>
      <c r="B171" s="976" t="s">
        <v>958</v>
      </c>
      <c r="C171" s="978">
        <v>1007225</v>
      </c>
    </row>
    <row r="172" spans="1:3" x14ac:dyDescent="0.25">
      <c r="A172" s="976">
        <v>35106</v>
      </c>
      <c r="B172" s="976" t="s">
        <v>959</v>
      </c>
      <c r="C172" s="978">
        <v>215368</v>
      </c>
    </row>
    <row r="173" spans="1:3" x14ac:dyDescent="0.25">
      <c r="A173" s="976">
        <v>35200</v>
      </c>
      <c r="B173" s="976" t="s">
        <v>960</v>
      </c>
      <c r="C173" s="978">
        <v>526885</v>
      </c>
    </row>
    <row r="174" spans="1:3" x14ac:dyDescent="0.25">
      <c r="A174" s="976">
        <v>35300</v>
      </c>
      <c r="B174" s="976" t="s">
        <v>961</v>
      </c>
      <c r="C174" s="978">
        <v>3318708</v>
      </c>
    </row>
    <row r="175" spans="1:3" x14ac:dyDescent="0.25">
      <c r="A175" s="976">
        <v>35305</v>
      </c>
      <c r="B175" s="976" t="s">
        <v>962</v>
      </c>
      <c r="C175" s="978">
        <v>1311231</v>
      </c>
    </row>
    <row r="176" spans="1:3" x14ac:dyDescent="0.25">
      <c r="A176" s="976">
        <v>35400</v>
      </c>
      <c r="B176" s="976" t="s">
        <v>963</v>
      </c>
      <c r="C176" s="978">
        <v>2627772</v>
      </c>
    </row>
    <row r="177" spans="1:3" x14ac:dyDescent="0.25">
      <c r="A177" s="976">
        <v>35401</v>
      </c>
      <c r="B177" s="976" t="s">
        <v>964</v>
      </c>
      <c r="C177" s="978">
        <v>26898</v>
      </c>
    </row>
    <row r="178" spans="1:3" x14ac:dyDescent="0.25">
      <c r="A178" s="976">
        <v>35405</v>
      </c>
      <c r="B178" s="976" t="s">
        <v>966</v>
      </c>
      <c r="C178" s="978">
        <v>877594</v>
      </c>
    </row>
    <row r="179" spans="1:3" x14ac:dyDescent="0.25">
      <c r="A179" s="976">
        <v>35500</v>
      </c>
      <c r="B179" s="976" t="s">
        <v>967</v>
      </c>
      <c r="C179" s="978">
        <v>3448283</v>
      </c>
    </row>
    <row r="180" spans="1:3" x14ac:dyDescent="0.25">
      <c r="A180" s="976">
        <v>35600</v>
      </c>
      <c r="B180" s="976" t="s">
        <v>968</v>
      </c>
      <c r="C180" s="978">
        <v>1502000</v>
      </c>
    </row>
    <row r="181" spans="1:3" x14ac:dyDescent="0.25">
      <c r="A181" s="976">
        <v>35700</v>
      </c>
      <c r="B181" s="976" t="s">
        <v>969</v>
      </c>
      <c r="C181" s="978">
        <v>823822</v>
      </c>
    </row>
    <row r="182" spans="1:3" x14ac:dyDescent="0.25">
      <c r="A182" s="976">
        <v>35800</v>
      </c>
      <c r="B182" s="976" t="s">
        <v>970</v>
      </c>
      <c r="C182" s="978">
        <v>1237402</v>
      </c>
    </row>
    <row r="183" spans="1:3" x14ac:dyDescent="0.25">
      <c r="A183" s="976">
        <v>35805</v>
      </c>
      <c r="B183" s="976" t="s">
        <v>971</v>
      </c>
      <c r="C183" s="978">
        <v>258908</v>
      </c>
    </row>
    <row r="184" spans="1:3" x14ac:dyDescent="0.25">
      <c r="A184" s="976">
        <v>35900</v>
      </c>
      <c r="B184" s="976" t="s">
        <v>972</v>
      </c>
      <c r="C184" s="978">
        <v>2148321</v>
      </c>
    </row>
    <row r="185" spans="1:3" x14ac:dyDescent="0.25">
      <c r="A185" s="976">
        <v>35905</v>
      </c>
      <c r="B185" s="976" t="s">
        <v>973</v>
      </c>
      <c r="C185" s="978">
        <v>342520</v>
      </c>
    </row>
    <row r="186" spans="1:3" x14ac:dyDescent="0.25">
      <c r="A186" s="976">
        <v>36000</v>
      </c>
      <c r="B186" s="976" t="s">
        <v>974</v>
      </c>
      <c r="C186" s="978">
        <v>48953876</v>
      </c>
    </row>
    <row r="187" spans="1:3" x14ac:dyDescent="0.25">
      <c r="A187" s="976">
        <v>36001</v>
      </c>
      <c r="B187" s="976" t="s">
        <v>975</v>
      </c>
      <c r="C187" s="978">
        <v>0</v>
      </c>
    </row>
    <row r="188" spans="1:3" x14ac:dyDescent="0.25">
      <c r="A188" s="976">
        <v>36002</v>
      </c>
      <c r="B188" s="976" t="s">
        <v>1403</v>
      </c>
      <c r="C188" s="978">
        <v>0</v>
      </c>
    </row>
    <row r="189" spans="1:3" x14ac:dyDescent="0.25">
      <c r="A189" s="976">
        <v>36003</v>
      </c>
      <c r="B189" s="976" t="s">
        <v>977</v>
      </c>
      <c r="C189" s="978">
        <v>323491</v>
      </c>
    </row>
    <row r="190" spans="1:3" x14ac:dyDescent="0.25">
      <c r="A190" s="976">
        <v>36004</v>
      </c>
      <c r="B190" s="976" t="s">
        <v>1554</v>
      </c>
      <c r="C190" s="978">
        <v>185715</v>
      </c>
    </row>
    <row r="191" spans="1:3" x14ac:dyDescent="0.25">
      <c r="A191" s="976">
        <v>36005</v>
      </c>
      <c r="B191" s="976" t="s">
        <v>979</v>
      </c>
      <c r="C191" s="978">
        <v>4521330</v>
      </c>
    </row>
    <row r="192" spans="1:3" x14ac:dyDescent="0.25">
      <c r="A192" s="976">
        <v>36006</v>
      </c>
      <c r="B192" s="976" t="s">
        <v>980</v>
      </c>
      <c r="C192" s="978">
        <v>479556</v>
      </c>
    </row>
    <row r="193" spans="1:3" x14ac:dyDescent="0.25">
      <c r="A193" s="976">
        <v>36007</v>
      </c>
      <c r="B193" s="976" t="s">
        <v>981</v>
      </c>
      <c r="C193" s="978">
        <v>161044</v>
      </c>
    </row>
    <row r="194" spans="1:3" x14ac:dyDescent="0.25">
      <c r="A194" s="976">
        <v>36008</v>
      </c>
      <c r="B194" s="976" t="s">
        <v>982</v>
      </c>
      <c r="C194" s="978">
        <v>416052</v>
      </c>
    </row>
    <row r="195" spans="1:3" x14ac:dyDescent="0.25">
      <c r="A195" s="976">
        <v>36009</v>
      </c>
      <c r="B195" s="976" t="s">
        <v>983</v>
      </c>
      <c r="C195" s="978">
        <v>91601</v>
      </c>
    </row>
    <row r="196" spans="1:3" x14ac:dyDescent="0.25">
      <c r="A196" s="976">
        <v>36100</v>
      </c>
      <c r="B196" s="976" t="s">
        <v>984</v>
      </c>
      <c r="C196" s="978">
        <v>683009</v>
      </c>
    </row>
    <row r="197" spans="1:3" x14ac:dyDescent="0.25">
      <c r="A197" s="976">
        <v>36102</v>
      </c>
      <c r="B197" s="976" t="s">
        <v>985</v>
      </c>
      <c r="C197" s="978">
        <v>184338</v>
      </c>
    </row>
    <row r="198" spans="1:3" x14ac:dyDescent="0.25">
      <c r="A198" s="976">
        <v>36105</v>
      </c>
      <c r="B198" s="976" t="s">
        <v>986</v>
      </c>
      <c r="C198" s="978">
        <v>371762</v>
      </c>
    </row>
    <row r="199" spans="1:3" x14ac:dyDescent="0.25">
      <c r="A199" s="976">
        <v>36200</v>
      </c>
      <c r="B199" s="976" t="s">
        <v>987</v>
      </c>
      <c r="C199" s="978">
        <v>1427743</v>
      </c>
    </row>
    <row r="200" spans="1:3" x14ac:dyDescent="0.25">
      <c r="A200" s="976">
        <v>36205</v>
      </c>
      <c r="B200" s="976" t="s">
        <v>988</v>
      </c>
      <c r="C200" s="978">
        <v>248295</v>
      </c>
    </row>
    <row r="201" spans="1:3" x14ac:dyDescent="0.25">
      <c r="A201" s="976">
        <v>36300</v>
      </c>
      <c r="B201" s="976" t="s">
        <v>989</v>
      </c>
      <c r="C201" s="978">
        <v>4298685</v>
      </c>
    </row>
    <row r="202" spans="1:3" x14ac:dyDescent="0.25">
      <c r="A202" s="976">
        <v>36301</v>
      </c>
      <c r="B202" s="976" t="s">
        <v>990</v>
      </c>
      <c r="C202" s="978">
        <v>65289</v>
      </c>
    </row>
    <row r="203" spans="1:3" x14ac:dyDescent="0.25">
      <c r="A203" s="976">
        <v>36302</v>
      </c>
      <c r="B203" s="976" t="s">
        <v>991</v>
      </c>
      <c r="C203" s="978">
        <v>99663</v>
      </c>
    </row>
    <row r="204" spans="1:3" x14ac:dyDescent="0.25">
      <c r="A204" s="976">
        <v>36303</v>
      </c>
      <c r="B204" s="976" t="s">
        <v>1667</v>
      </c>
      <c r="C204" s="978">
        <v>123318</v>
      </c>
    </row>
    <row r="205" spans="1:3" x14ac:dyDescent="0.25">
      <c r="A205" s="976">
        <v>36305</v>
      </c>
      <c r="B205" s="976" t="s">
        <v>992</v>
      </c>
      <c r="C205" s="978">
        <v>931487</v>
      </c>
    </row>
    <row r="206" spans="1:3" x14ac:dyDescent="0.25">
      <c r="A206" s="976">
        <v>36310</v>
      </c>
      <c r="B206" s="976" t="s">
        <v>1555</v>
      </c>
      <c r="C206" s="978">
        <v>2708</v>
      </c>
    </row>
    <row r="207" spans="1:3" x14ac:dyDescent="0.25">
      <c r="A207" s="976">
        <v>36400</v>
      </c>
      <c r="B207" s="976" t="s">
        <v>993</v>
      </c>
      <c r="C207" s="978">
        <v>4907052</v>
      </c>
    </row>
    <row r="208" spans="1:3" x14ac:dyDescent="0.25">
      <c r="A208" s="976">
        <v>36405</v>
      </c>
      <c r="B208" s="976" t="s">
        <v>1556</v>
      </c>
      <c r="C208" s="978">
        <v>789951</v>
      </c>
    </row>
    <row r="209" spans="1:3" x14ac:dyDescent="0.25">
      <c r="A209" s="976">
        <v>36500</v>
      </c>
      <c r="B209" s="976" t="s">
        <v>995</v>
      </c>
      <c r="C209" s="978">
        <v>9409242</v>
      </c>
    </row>
    <row r="210" spans="1:3" x14ac:dyDescent="0.25">
      <c r="A210" s="976">
        <v>36501</v>
      </c>
      <c r="B210" s="976" t="s">
        <v>996</v>
      </c>
      <c r="C210" s="978">
        <v>109236</v>
      </c>
    </row>
    <row r="211" spans="1:3" x14ac:dyDescent="0.25">
      <c r="A211" s="976">
        <v>36502</v>
      </c>
      <c r="B211" s="976" t="s">
        <v>997</v>
      </c>
      <c r="C211" s="978">
        <v>37878</v>
      </c>
    </row>
    <row r="212" spans="1:3" x14ac:dyDescent="0.25">
      <c r="A212" s="976">
        <v>36505</v>
      </c>
      <c r="B212" s="976" t="s">
        <v>998</v>
      </c>
      <c r="C212" s="978">
        <v>1965401</v>
      </c>
    </row>
    <row r="213" spans="1:3" x14ac:dyDescent="0.25">
      <c r="A213" s="976">
        <v>36600</v>
      </c>
      <c r="B213" s="976" t="s">
        <v>999</v>
      </c>
      <c r="C213" s="978">
        <v>731792</v>
      </c>
    </row>
    <row r="214" spans="1:3" x14ac:dyDescent="0.25">
      <c r="A214" s="976">
        <v>36601</v>
      </c>
      <c r="B214" s="976" t="s">
        <v>1000</v>
      </c>
      <c r="C214" s="978">
        <v>336979</v>
      </c>
    </row>
    <row r="215" spans="1:3" x14ac:dyDescent="0.25">
      <c r="A215" s="976">
        <v>36700</v>
      </c>
      <c r="B215" s="976" t="s">
        <v>1001</v>
      </c>
      <c r="C215" s="978">
        <v>7982496</v>
      </c>
    </row>
    <row r="216" spans="1:3" x14ac:dyDescent="0.25">
      <c r="A216" s="976">
        <v>36701</v>
      </c>
      <c r="B216" s="976" t="s">
        <v>1002</v>
      </c>
      <c r="C216" s="978">
        <v>28166</v>
      </c>
    </row>
    <row r="217" spans="1:3" x14ac:dyDescent="0.25">
      <c r="A217" s="976">
        <v>36705</v>
      </c>
      <c r="B217" s="976" t="s">
        <v>1003</v>
      </c>
      <c r="C217" s="978">
        <v>981749</v>
      </c>
    </row>
    <row r="218" spans="1:3" x14ac:dyDescent="0.25">
      <c r="A218" s="976">
        <v>36800</v>
      </c>
      <c r="B218" s="976" t="s">
        <v>1004</v>
      </c>
      <c r="C218" s="978">
        <v>3080947</v>
      </c>
    </row>
    <row r="219" spans="1:3" x14ac:dyDescent="0.25">
      <c r="A219" s="976">
        <v>36802</v>
      </c>
      <c r="B219" s="976" t="s">
        <v>1006</v>
      </c>
      <c r="C219" s="978">
        <v>146212</v>
      </c>
    </row>
    <row r="220" spans="1:3" x14ac:dyDescent="0.25">
      <c r="A220" s="976">
        <v>36810</v>
      </c>
      <c r="B220" s="976" t="s">
        <v>1557</v>
      </c>
      <c r="C220" s="978">
        <v>5584445</v>
      </c>
    </row>
    <row r="221" spans="1:3" x14ac:dyDescent="0.25">
      <c r="A221" s="976">
        <v>36900</v>
      </c>
      <c r="B221" s="976" t="s">
        <v>1008</v>
      </c>
      <c r="C221" s="978">
        <v>575352</v>
      </c>
    </row>
    <row r="222" spans="1:3" x14ac:dyDescent="0.25">
      <c r="A222" s="976">
        <v>36901</v>
      </c>
      <c r="B222" s="976" t="s">
        <v>1009</v>
      </c>
      <c r="C222" s="978">
        <v>204785</v>
      </c>
    </row>
    <row r="223" spans="1:3" x14ac:dyDescent="0.25">
      <c r="A223" s="976">
        <v>36905</v>
      </c>
      <c r="B223" s="976" t="s">
        <v>1010</v>
      </c>
      <c r="C223" s="978">
        <v>225475</v>
      </c>
    </row>
    <row r="224" spans="1:3" x14ac:dyDescent="0.25">
      <c r="A224" s="976">
        <v>37000</v>
      </c>
      <c r="B224" s="976" t="s">
        <v>1011</v>
      </c>
      <c r="C224" s="978">
        <v>1877729</v>
      </c>
    </row>
    <row r="225" spans="1:3" x14ac:dyDescent="0.25">
      <c r="A225" s="976">
        <v>37001</v>
      </c>
      <c r="B225" s="976" t="s">
        <v>1168</v>
      </c>
      <c r="C225" s="978">
        <v>86508</v>
      </c>
    </row>
    <row r="226" spans="1:3" x14ac:dyDescent="0.25">
      <c r="A226" s="976">
        <v>37005</v>
      </c>
      <c r="B226" s="976" t="s">
        <v>1012</v>
      </c>
      <c r="C226" s="978">
        <v>524968</v>
      </c>
    </row>
    <row r="227" spans="1:3" x14ac:dyDescent="0.25">
      <c r="A227" s="976">
        <v>37100</v>
      </c>
      <c r="B227" s="976" t="s">
        <v>1013</v>
      </c>
      <c r="C227" s="978">
        <v>2728575</v>
      </c>
    </row>
    <row r="228" spans="1:3" x14ac:dyDescent="0.25">
      <c r="A228" s="976">
        <v>37200</v>
      </c>
      <c r="B228" s="976" t="s">
        <v>1014</v>
      </c>
      <c r="C228" s="978">
        <v>611266</v>
      </c>
    </row>
    <row r="229" spans="1:3" x14ac:dyDescent="0.25">
      <c r="A229" s="976">
        <v>37300</v>
      </c>
      <c r="B229" s="976" t="s">
        <v>1015</v>
      </c>
      <c r="C229" s="978">
        <v>1619916</v>
      </c>
    </row>
    <row r="230" spans="1:3" x14ac:dyDescent="0.25">
      <c r="A230" s="976">
        <v>37301</v>
      </c>
      <c r="B230" s="976" t="s">
        <v>1016</v>
      </c>
      <c r="C230" s="978">
        <v>182306</v>
      </c>
    </row>
    <row r="231" spans="1:3" x14ac:dyDescent="0.25">
      <c r="A231" s="976">
        <v>37305</v>
      </c>
      <c r="B231" s="976" t="s">
        <v>1017</v>
      </c>
      <c r="C231" s="978">
        <v>510196</v>
      </c>
    </row>
    <row r="232" spans="1:3" x14ac:dyDescent="0.25">
      <c r="A232" s="976">
        <v>37400</v>
      </c>
      <c r="B232" s="976" t="s">
        <v>1018</v>
      </c>
      <c r="C232" s="978">
        <v>7439579</v>
      </c>
    </row>
    <row r="233" spans="1:3" x14ac:dyDescent="0.25">
      <c r="A233" s="976">
        <v>37405</v>
      </c>
      <c r="B233" s="976" t="s">
        <v>1019</v>
      </c>
      <c r="C233" s="978">
        <v>1773506</v>
      </c>
    </row>
    <row r="234" spans="1:3" x14ac:dyDescent="0.25">
      <c r="A234" s="976">
        <v>37500</v>
      </c>
      <c r="B234" s="976" t="s">
        <v>1020</v>
      </c>
      <c r="C234" s="978">
        <v>921085</v>
      </c>
    </row>
    <row r="235" spans="1:3" x14ac:dyDescent="0.25">
      <c r="A235" s="976">
        <v>37600</v>
      </c>
      <c r="B235" s="976" t="s">
        <v>1021</v>
      </c>
      <c r="C235" s="978">
        <v>5263203</v>
      </c>
    </row>
    <row r="236" spans="1:3" x14ac:dyDescent="0.25">
      <c r="A236" s="976">
        <v>37601</v>
      </c>
      <c r="B236" s="976" t="s">
        <v>1022</v>
      </c>
      <c r="C236" s="978">
        <v>214500</v>
      </c>
    </row>
    <row r="237" spans="1:3" x14ac:dyDescent="0.25">
      <c r="A237" s="976">
        <v>37605</v>
      </c>
      <c r="B237" s="976" t="s">
        <v>1023</v>
      </c>
      <c r="C237" s="978">
        <v>666734</v>
      </c>
    </row>
    <row r="238" spans="1:3" x14ac:dyDescent="0.25">
      <c r="A238" s="976">
        <v>37610</v>
      </c>
      <c r="B238" s="976" t="s">
        <v>1024</v>
      </c>
      <c r="C238" s="978">
        <v>1563125</v>
      </c>
    </row>
    <row r="239" spans="1:3" x14ac:dyDescent="0.25">
      <c r="A239" s="976">
        <v>37700</v>
      </c>
      <c r="B239" s="976" t="s">
        <v>1025</v>
      </c>
      <c r="C239" s="978">
        <v>2300396</v>
      </c>
    </row>
    <row r="240" spans="1:3" x14ac:dyDescent="0.25">
      <c r="A240" s="976">
        <v>37705</v>
      </c>
      <c r="B240" s="976" t="s">
        <v>1026</v>
      </c>
      <c r="C240" s="978">
        <v>731452</v>
      </c>
    </row>
    <row r="241" spans="1:3" x14ac:dyDescent="0.25">
      <c r="A241" s="976">
        <v>37800</v>
      </c>
      <c r="B241" s="976" t="s">
        <v>1027</v>
      </c>
      <c r="C241" s="978">
        <v>7419500</v>
      </c>
    </row>
    <row r="242" spans="1:3" x14ac:dyDescent="0.25">
      <c r="A242" s="976">
        <v>37801</v>
      </c>
      <c r="B242" s="976" t="s">
        <v>1028</v>
      </c>
      <c r="C242" s="978">
        <v>46019</v>
      </c>
    </row>
    <row r="243" spans="1:3" x14ac:dyDescent="0.25">
      <c r="A243" s="976">
        <v>37805</v>
      </c>
      <c r="B243" s="976" t="s">
        <v>1029</v>
      </c>
      <c r="C243" s="978">
        <v>575338</v>
      </c>
    </row>
    <row r="244" spans="1:3" x14ac:dyDescent="0.25">
      <c r="A244" s="976">
        <v>37900</v>
      </c>
      <c r="B244" s="976" t="s">
        <v>1030</v>
      </c>
      <c r="C244" s="978">
        <v>3763904</v>
      </c>
    </row>
    <row r="245" spans="1:3" x14ac:dyDescent="0.25">
      <c r="A245" s="976">
        <v>37901</v>
      </c>
      <c r="B245" s="976" t="s">
        <v>1031</v>
      </c>
      <c r="C245" s="978">
        <v>69988</v>
      </c>
    </row>
    <row r="246" spans="1:3" x14ac:dyDescent="0.25">
      <c r="A246" s="976">
        <v>37905</v>
      </c>
      <c r="B246" s="976" t="s">
        <v>1032</v>
      </c>
      <c r="C246" s="978">
        <v>484479</v>
      </c>
    </row>
    <row r="247" spans="1:3" x14ac:dyDescent="0.25">
      <c r="A247" s="976">
        <v>38000</v>
      </c>
      <c r="B247" s="976" t="s">
        <v>1033</v>
      </c>
      <c r="C247" s="978">
        <v>6248601</v>
      </c>
    </row>
    <row r="248" spans="1:3" x14ac:dyDescent="0.25">
      <c r="A248" s="976">
        <v>38005</v>
      </c>
      <c r="B248" s="976" t="s">
        <v>1034</v>
      </c>
      <c r="C248" s="978">
        <v>1232760</v>
      </c>
    </row>
    <row r="249" spans="1:3" x14ac:dyDescent="0.25">
      <c r="A249" s="976">
        <v>38100</v>
      </c>
      <c r="B249" s="976" t="s">
        <v>1035</v>
      </c>
      <c r="C249" s="978">
        <v>2874149</v>
      </c>
    </row>
    <row r="250" spans="1:3" x14ac:dyDescent="0.25">
      <c r="A250" s="976">
        <v>38105</v>
      </c>
      <c r="B250" s="976" t="s">
        <v>1036</v>
      </c>
      <c r="C250" s="978">
        <v>577503</v>
      </c>
    </row>
    <row r="251" spans="1:3" x14ac:dyDescent="0.25">
      <c r="A251" s="976">
        <v>38200</v>
      </c>
      <c r="B251" s="976" t="s">
        <v>1037</v>
      </c>
      <c r="C251" s="978">
        <v>2645408</v>
      </c>
    </row>
    <row r="252" spans="1:3" x14ac:dyDescent="0.25">
      <c r="A252" s="976">
        <v>38205</v>
      </c>
      <c r="B252" s="976" t="s">
        <v>1038</v>
      </c>
      <c r="C252" s="978">
        <v>405541</v>
      </c>
    </row>
    <row r="253" spans="1:3" x14ac:dyDescent="0.25">
      <c r="A253" s="976">
        <v>38210</v>
      </c>
      <c r="B253" s="976" t="s">
        <v>1039</v>
      </c>
      <c r="C253" s="978">
        <v>1020275</v>
      </c>
    </row>
    <row r="254" spans="1:3" x14ac:dyDescent="0.25">
      <c r="A254" s="976">
        <v>38300</v>
      </c>
      <c r="B254" s="976" t="s">
        <v>1040</v>
      </c>
      <c r="C254" s="978">
        <v>2094242</v>
      </c>
    </row>
    <row r="255" spans="1:3" x14ac:dyDescent="0.25">
      <c r="A255" s="976">
        <v>38400</v>
      </c>
      <c r="B255" s="976" t="s">
        <v>1041</v>
      </c>
      <c r="C255" s="978">
        <v>2662722</v>
      </c>
    </row>
    <row r="256" spans="1:3" x14ac:dyDescent="0.25">
      <c r="A256" s="976">
        <v>38402</v>
      </c>
      <c r="B256" s="976" t="s">
        <v>1042</v>
      </c>
      <c r="C256" s="978">
        <v>151720</v>
      </c>
    </row>
    <row r="257" spans="1:3" x14ac:dyDescent="0.25">
      <c r="A257" s="976">
        <v>38405</v>
      </c>
      <c r="B257" s="976" t="s">
        <v>1043</v>
      </c>
      <c r="C257" s="978">
        <v>676663</v>
      </c>
    </row>
    <row r="258" spans="1:3" x14ac:dyDescent="0.25">
      <c r="A258" s="976">
        <v>38500</v>
      </c>
      <c r="B258" s="976" t="s">
        <v>1044</v>
      </c>
      <c r="C258" s="978">
        <v>2052221</v>
      </c>
    </row>
    <row r="259" spans="1:3" x14ac:dyDescent="0.25">
      <c r="A259" s="976">
        <v>38600</v>
      </c>
      <c r="B259" s="976" t="s">
        <v>1045</v>
      </c>
      <c r="C259" s="978">
        <v>2596895</v>
      </c>
    </row>
    <row r="260" spans="1:3" x14ac:dyDescent="0.25">
      <c r="A260" s="976">
        <v>38601</v>
      </c>
      <c r="B260" s="976" t="s">
        <v>1046</v>
      </c>
      <c r="C260" s="978">
        <v>29696</v>
      </c>
    </row>
    <row r="261" spans="1:3" x14ac:dyDescent="0.25">
      <c r="A261" s="976">
        <v>38602</v>
      </c>
      <c r="B261" s="976" t="s">
        <v>1047</v>
      </c>
      <c r="C261" s="978">
        <v>210894</v>
      </c>
    </row>
    <row r="262" spans="1:3" x14ac:dyDescent="0.25">
      <c r="A262" s="976">
        <v>38605</v>
      </c>
      <c r="B262" s="976" t="s">
        <v>1048</v>
      </c>
      <c r="C262" s="978">
        <v>732403</v>
      </c>
    </row>
    <row r="263" spans="1:3" x14ac:dyDescent="0.25">
      <c r="A263" s="976">
        <v>38610</v>
      </c>
      <c r="B263" s="976" t="s">
        <v>1049</v>
      </c>
      <c r="C263" s="978">
        <v>569208</v>
      </c>
    </row>
    <row r="264" spans="1:3" x14ac:dyDescent="0.25">
      <c r="A264" s="976">
        <v>38620</v>
      </c>
      <c r="B264" s="976" t="s">
        <v>1050</v>
      </c>
      <c r="C264" s="978">
        <v>432125</v>
      </c>
    </row>
    <row r="265" spans="1:3" x14ac:dyDescent="0.25">
      <c r="A265" s="976">
        <v>38700</v>
      </c>
      <c r="B265" s="976" t="s">
        <v>1051</v>
      </c>
      <c r="C265" s="978">
        <v>732588</v>
      </c>
    </row>
    <row r="266" spans="1:3" x14ac:dyDescent="0.25">
      <c r="A266" s="976">
        <v>38701</v>
      </c>
      <c r="B266" s="976" t="s">
        <v>1052</v>
      </c>
      <c r="C266" s="978">
        <v>52147</v>
      </c>
    </row>
    <row r="267" spans="1:3" x14ac:dyDescent="0.25">
      <c r="A267" s="976">
        <v>38800</v>
      </c>
      <c r="B267" s="976" t="s">
        <v>1053</v>
      </c>
      <c r="C267" s="978">
        <v>1323924</v>
      </c>
    </row>
    <row r="268" spans="1:3" x14ac:dyDescent="0.25">
      <c r="A268" s="976">
        <v>38801</v>
      </c>
      <c r="B268" s="976" t="s">
        <v>1054</v>
      </c>
      <c r="C268" s="978">
        <v>95341</v>
      </c>
    </row>
    <row r="269" spans="1:3" x14ac:dyDescent="0.25">
      <c r="A269" s="976">
        <v>38900</v>
      </c>
      <c r="B269" s="976" t="s">
        <v>1055</v>
      </c>
      <c r="C269" s="978">
        <v>301149</v>
      </c>
    </row>
    <row r="270" spans="1:3" x14ac:dyDescent="0.25">
      <c r="A270" s="976">
        <v>39000</v>
      </c>
      <c r="B270" s="976" t="s">
        <v>1056</v>
      </c>
      <c r="C270" s="978">
        <v>12979699</v>
      </c>
    </row>
    <row r="271" spans="1:3" x14ac:dyDescent="0.25">
      <c r="A271" s="976">
        <v>39100</v>
      </c>
      <c r="B271" s="976" t="s">
        <v>1057</v>
      </c>
      <c r="C271" s="978">
        <v>2056719</v>
      </c>
    </row>
    <row r="272" spans="1:3" x14ac:dyDescent="0.25">
      <c r="A272" s="976">
        <v>39101</v>
      </c>
      <c r="B272" s="976" t="s">
        <v>1058</v>
      </c>
      <c r="C272" s="978">
        <v>203958</v>
      </c>
    </row>
    <row r="273" spans="1:3" x14ac:dyDescent="0.25">
      <c r="A273" s="976">
        <v>39105</v>
      </c>
      <c r="B273" s="976" t="s">
        <v>1059</v>
      </c>
      <c r="C273" s="978">
        <v>788966</v>
      </c>
    </row>
    <row r="274" spans="1:3" x14ac:dyDescent="0.25">
      <c r="A274" s="976">
        <v>39200</v>
      </c>
      <c r="B274" s="976" t="s">
        <v>1558</v>
      </c>
      <c r="C274" s="978">
        <v>54957968</v>
      </c>
    </row>
    <row r="275" spans="1:3" x14ac:dyDescent="0.25">
      <c r="A275" s="976">
        <v>39201</v>
      </c>
      <c r="B275" s="976" t="s">
        <v>1061</v>
      </c>
      <c r="C275" s="978">
        <v>133068</v>
      </c>
    </row>
    <row r="276" spans="1:3" x14ac:dyDescent="0.25">
      <c r="A276" s="976">
        <v>39204</v>
      </c>
      <c r="B276" s="976" t="s">
        <v>1062</v>
      </c>
      <c r="C276" s="978">
        <v>176647</v>
      </c>
    </row>
    <row r="277" spans="1:3" x14ac:dyDescent="0.25">
      <c r="A277" s="976">
        <v>39205</v>
      </c>
      <c r="B277" s="976" t="s">
        <v>1063</v>
      </c>
      <c r="C277" s="978">
        <v>4840531</v>
      </c>
    </row>
    <row r="278" spans="1:3" x14ac:dyDescent="0.25">
      <c r="A278" s="976">
        <v>39208</v>
      </c>
      <c r="B278" s="976" t="s">
        <v>1559</v>
      </c>
      <c r="C278" s="978">
        <v>292034</v>
      </c>
    </row>
    <row r="279" spans="1:3" x14ac:dyDescent="0.25">
      <c r="A279" s="976">
        <v>39209</v>
      </c>
      <c r="B279" s="976" t="s">
        <v>1065</v>
      </c>
      <c r="C279" s="978">
        <v>141441</v>
      </c>
    </row>
    <row r="280" spans="1:3" x14ac:dyDescent="0.25">
      <c r="A280" s="976">
        <v>39300</v>
      </c>
      <c r="B280" s="976" t="s">
        <v>1066</v>
      </c>
      <c r="C280" s="978">
        <v>771323</v>
      </c>
    </row>
    <row r="281" spans="1:3" x14ac:dyDescent="0.25">
      <c r="A281" s="976">
        <v>39301</v>
      </c>
      <c r="B281" s="976" t="s">
        <v>1067</v>
      </c>
      <c r="C281" s="978">
        <v>35400</v>
      </c>
    </row>
    <row r="282" spans="1:3" x14ac:dyDescent="0.25">
      <c r="A282" s="976">
        <v>39400</v>
      </c>
      <c r="B282" s="976" t="s">
        <v>1068</v>
      </c>
      <c r="C282" s="978">
        <v>593673</v>
      </c>
    </row>
    <row r="283" spans="1:3" x14ac:dyDescent="0.25">
      <c r="A283" s="976">
        <v>39401</v>
      </c>
      <c r="B283" s="976" t="s">
        <v>1069</v>
      </c>
      <c r="C283" s="978">
        <v>259237</v>
      </c>
    </row>
    <row r="284" spans="1:3" x14ac:dyDescent="0.25">
      <c r="A284" s="976">
        <v>39500</v>
      </c>
      <c r="B284" s="976" t="s">
        <v>1070</v>
      </c>
      <c r="C284" s="978">
        <v>1720303</v>
      </c>
    </row>
    <row r="285" spans="1:3" x14ac:dyDescent="0.25">
      <c r="A285" s="976">
        <v>39501</v>
      </c>
      <c r="B285" s="976" t="s">
        <v>1071</v>
      </c>
      <c r="C285" s="978">
        <v>47731</v>
      </c>
    </row>
    <row r="286" spans="1:3" x14ac:dyDescent="0.25">
      <c r="A286" s="976">
        <v>39600</v>
      </c>
      <c r="B286" s="976" t="s">
        <v>1072</v>
      </c>
      <c r="C286" s="978">
        <v>5810629</v>
      </c>
    </row>
    <row r="287" spans="1:3" x14ac:dyDescent="0.25">
      <c r="A287" s="976">
        <v>39605</v>
      </c>
      <c r="B287" s="976" t="s">
        <v>1073</v>
      </c>
      <c r="C287" s="978">
        <v>891316</v>
      </c>
    </row>
    <row r="288" spans="1:3" x14ac:dyDescent="0.25">
      <c r="A288" s="976">
        <v>39700</v>
      </c>
      <c r="B288" s="976" t="s">
        <v>1074</v>
      </c>
      <c r="C288" s="978">
        <v>3141979</v>
      </c>
    </row>
    <row r="289" spans="1:3" x14ac:dyDescent="0.25">
      <c r="A289" s="976">
        <v>39703</v>
      </c>
      <c r="B289" s="976" t="s">
        <v>1075</v>
      </c>
      <c r="C289" s="978">
        <v>159038</v>
      </c>
    </row>
    <row r="290" spans="1:3" x14ac:dyDescent="0.25">
      <c r="A290" s="976">
        <v>39705</v>
      </c>
      <c r="B290" s="976" t="s">
        <v>1076</v>
      </c>
      <c r="C290" s="978">
        <v>823054</v>
      </c>
    </row>
    <row r="291" spans="1:3" x14ac:dyDescent="0.25">
      <c r="A291" s="976">
        <v>39800</v>
      </c>
      <c r="B291" s="976" t="s">
        <v>1077</v>
      </c>
      <c r="C291" s="978">
        <v>3749096</v>
      </c>
    </row>
    <row r="292" spans="1:3" x14ac:dyDescent="0.25">
      <c r="A292" s="976">
        <v>39805</v>
      </c>
      <c r="B292" s="976" t="s">
        <v>1078</v>
      </c>
      <c r="C292" s="978">
        <v>462375</v>
      </c>
    </row>
    <row r="293" spans="1:3" x14ac:dyDescent="0.25">
      <c r="A293" s="976">
        <v>39900</v>
      </c>
      <c r="B293" s="976" t="s">
        <v>1079</v>
      </c>
      <c r="C293" s="978">
        <v>1854894</v>
      </c>
    </row>
    <row r="294" spans="1:3" x14ac:dyDescent="0.25">
      <c r="A294" s="979">
        <v>40000</v>
      </c>
      <c r="B294" s="979" t="s">
        <v>1719</v>
      </c>
      <c r="C294" s="978">
        <v>4407430</v>
      </c>
    </row>
    <row r="295" spans="1:3" x14ac:dyDescent="0.25">
      <c r="A295" s="976">
        <v>51000</v>
      </c>
      <c r="B295" s="976" t="s">
        <v>1080</v>
      </c>
      <c r="C295" s="978">
        <v>30296411</v>
      </c>
    </row>
    <row r="296" spans="1:3" x14ac:dyDescent="0.25">
      <c r="A296" s="976">
        <v>51000.1</v>
      </c>
      <c r="B296" s="976" t="s">
        <v>1509</v>
      </c>
      <c r="C296" s="978">
        <v>38731</v>
      </c>
    </row>
    <row r="297" spans="1:3" x14ac:dyDescent="0.25">
      <c r="A297" s="976">
        <v>51000.2</v>
      </c>
      <c r="B297" s="976" t="s">
        <v>1510</v>
      </c>
      <c r="C297" s="978">
        <v>761378</v>
      </c>
    </row>
    <row r="298" spans="1:3" x14ac:dyDescent="0.25">
      <c r="A298" s="979">
        <v>60000</v>
      </c>
      <c r="B298" s="979" t="s">
        <v>1720</v>
      </c>
      <c r="C298" s="978">
        <v>218813</v>
      </c>
    </row>
    <row r="299" spans="1:3" x14ac:dyDescent="0.25">
      <c r="A299" s="976">
        <v>90901</v>
      </c>
      <c r="B299" s="976" t="s">
        <v>1721</v>
      </c>
      <c r="C299" s="978">
        <v>857112</v>
      </c>
    </row>
    <row r="300" spans="1:3" x14ac:dyDescent="0.25">
      <c r="A300" s="976">
        <v>91041</v>
      </c>
      <c r="B300" s="976" t="s">
        <v>1722</v>
      </c>
      <c r="C300" s="978">
        <v>140691</v>
      </c>
    </row>
    <row r="301" spans="1:3" x14ac:dyDescent="0.25">
      <c r="A301" s="976">
        <v>91111</v>
      </c>
      <c r="B301" s="976" t="s">
        <v>1723</v>
      </c>
      <c r="C301" s="978">
        <v>87947</v>
      </c>
    </row>
    <row r="302" spans="1:3" x14ac:dyDescent="0.25">
      <c r="A302" s="976">
        <v>91151</v>
      </c>
      <c r="B302" s="976" t="s">
        <v>1724</v>
      </c>
      <c r="C302" s="978">
        <v>210302</v>
      </c>
    </row>
    <row r="303" spans="1:3" x14ac:dyDescent="0.25">
      <c r="A303" s="976">
        <v>98101</v>
      </c>
      <c r="B303" s="976" t="s">
        <v>1725</v>
      </c>
      <c r="C303" s="978">
        <v>1004417</v>
      </c>
    </row>
    <row r="304" spans="1:3" x14ac:dyDescent="0.25">
      <c r="A304" s="976">
        <v>98103</v>
      </c>
      <c r="B304" s="976" t="s">
        <v>1726</v>
      </c>
      <c r="C304" s="978">
        <v>202264</v>
      </c>
    </row>
    <row r="305" spans="1:3" x14ac:dyDescent="0.25">
      <c r="A305" s="976">
        <v>98111</v>
      </c>
      <c r="B305" s="976" t="s">
        <v>1727</v>
      </c>
      <c r="C305" s="978">
        <v>359733</v>
      </c>
    </row>
    <row r="306" spans="1:3" x14ac:dyDescent="0.25">
      <c r="A306" s="976">
        <v>98131</v>
      </c>
      <c r="B306" s="976" t="s">
        <v>1728</v>
      </c>
      <c r="C306" s="978">
        <v>91863</v>
      </c>
    </row>
    <row r="307" spans="1:3" x14ac:dyDescent="0.25">
      <c r="A307" s="976">
        <v>99401</v>
      </c>
      <c r="B307" s="976" t="s">
        <v>1729</v>
      </c>
      <c r="C307" s="978">
        <v>330433</v>
      </c>
    </row>
    <row r="308" spans="1:3" x14ac:dyDescent="0.25">
      <c r="A308" s="976">
        <v>99521</v>
      </c>
      <c r="B308" s="976" t="s">
        <v>1730</v>
      </c>
      <c r="C308" s="978">
        <v>165126</v>
      </c>
    </row>
    <row r="309" spans="1:3" x14ac:dyDescent="0.25">
      <c r="A309" s="976">
        <v>99831</v>
      </c>
      <c r="B309" s="976" t="s">
        <v>1731</v>
      </c>
      <c r="C309" s="978">
        <v>21754</v>
      </c>
    </row>
    <row r="310" spans="1:3" x14ac:dyDescent="0.25">
      <c r="C310" s="978"/>
    </row>
    <row r="311" spans="1:3" x14ac:dyDescent="0.25">
      <c r="A311" s="977" t="s">
        <v>1157</v>
      </c>
      <c r="B311" s="976" t="s">
        <v>1163</v>
      </c>
      <c r="C311" s="978">
        <v>35485</v>
      </c>
    </row>
    <row r="312" spans="1:3" x14ac:dyDescent="0.25">
      <c r="B312" s="981"/>
      <c r="C312" s="982">
        <f>SUM(C3:C310)</f>
        <v>1018581304</v>
      </c>
    </row>
  </sheetData>
  <autoFilter ref="B1:C313" xr:uid="{CAF8FA8D-222B-48B4-9A14-EBBAF0B6670C}"/>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870-5560-42AB-9FD1-B55E16653BFF}">
  <dimension ref="A1:C305"/>
  <sheetViews>
    <sheetView workbookViewId="0">
      <selection sqref="A1:B2"/>
    </sheetView>
  </sheetViews>
  <sheetFormatPr defaultRowHeight="15" x14ac:dyDescent="0.25"/>
  <cols>
    <col min="1" max="1" width="12.140625" style="976" bestFit="1" customWidth="1"/>
    <col min="2" max="2" width="53.7109375" style="976" bestFit="1" customWidth="1"/>
    <col min="3" max="3" width="28.7109375" style="983" customWidth="1"/>
    <col min="4" max="16384" width="9.140625" style="976"/>
  </cols>
  <sheetData>
    <row r="1" spans="1:3" x14ac:dyDescent="0.25">
      <c r="A1" s="976" t="s">
        <v>1695</v>
      </c>
      <c r="B1" s="976" t="s">
        <v>1083</v>
      </c>
      <c r="C1" s="984" t="s">
        <v>1732</v>
      </c>
    </row>
    <row r="2" spans="1:3" x14ac:dyDescent="0.25">
      <c r="A2" s="977" t="s">
        <v>533</v>
      </c>
      <c r="B2" s="976" t="s">
        <v>1220</v>
      </c>
      <c r="C2" s="978">
        <v>0</v>
      </c>
    </row>
    <row r="3" spans="1:3" x14ac:dyDescent="0.25">
      <c r="A3" s="976">
        <v>10200</v>
      </c>
      <c r="B3" s="976" t="s">
        <v>791</v>
      </c>
      <c r="C3" s="978">
        <v>841156</v>
      </c>
    </row>
    <row r="4" spans="1:3" x14ac:dyDescent="0.25">
      <c r="A4" s="976">
        <v>10400</v>
      </c>
      <c r="B4" s="976" t="s">
        <v>792</v>
      </c>
      <c r="C4" s="978">
        <v>2883645</v>
      </c>
    </row>
    <row r="5" spans="1:3" x14ac:dyDescent="0.25">
      <c r="A5" s="976">
        <v>10500</v>
      </c>
      <c r="B5" s="976" t="s">
        <v>793</v>
      </c>
      <c r="C5" s="978">
        <v>618745</v>
      </c>
    </row>
    <row r="6" spans="1:3" x14ac:dyDescent="0.25">
      <c r="A6" s="976">
        <v>10700</v>
      </c>
      <c r="B6" s="976" t="s">
        <v>1544</v>
      </c>
      <c r="C6" s="978">
        <v>4278473</v>
      </c>
    </row>
    <row r="7" spans="1:3" x14ac:dyDescent="0.25">
      <c r="A7" s="976">
        <v>10800</v>
      </c>
      <c r="B7" s="976" t="s">
        <v>795</v>
      </c>
      <c r="C7" s="978">
        <v>17925903</v>
      </c>
    </row>
    <row r="8" spans="1:3" x14ac:dyDescent="0.25">
      <c r="A8" s="976">
        <v>10850</v>
      </c>
      <c r="B8" s="976" t="s">
        <v>796</v>
      </c>
      <c r="C8" s="978">
        <v>181486</v>
      </c>
    </row>
    <row r="9" spans="1:3" x14ac:dyDescent="0.25">
      <c r="A9" s="976">
        <v>10900</v>
      </c>
      <c r="B9" s="976" t="s">
        <v>797</v>
      </c>
      <c r="C9" s="978">
        <v>1870960</v>
      </c>
    </row>
    <row r="10" spans="1:3" x14ac:dyDescent="0.25">
      <c r="A10" s="976">
        <v>10910</v>
      </c>
      <c r="B10" s="976" t="s">
        <v>798</v>
      </c>
      <c r="C10" s="978">
        <v>240601</v>
      </c>
    </row>
    <row r="11" spans="1:3" x14ac:dyDescent="0.25">
      <c r="A11" s="976">
        <v>10930</v>
      </c>
      <c r="B11" s="976" t="s">
        <v>799</v>
      </c>
      <c r="C11" s="978">
        <v>2682244</v>
      </c>
    </row>
    <row r="12" spans="1:3" x14ac:dyDescent="0.25">
      <c r="A12" s="976">
        <v>10940</v>
      </c>
      <c r="B12" s="976" t="s">
        <v>800</v>
      </c>
      <c r="C12" s="978">
        <v>676496</v>
      </c>
    </row>
    <row r="13" spans="1:3" x14ac:dyDescent="0.25">
      <c r="A13" s="976">
        <v>10950</v>
      </c>
      <c r="B13" s="976" t="s">
        <v>801</v>
      </c>
      <c r="C13" s="978">
        <v>736220</v>
      </c>
    </row>
    <row r="14" spans="1:3" x14ac:dyDescent="0.25">
      <c r="A14" s="976">
        <v>11300</v>
      </c>
      <c r="B14" s="976" t="s">
        <v>802</v>
      </c>
      <c r="C14" s="978">
        <v>4713318</v>
      </c>
    </row>
    <row r="15" spans="1:3" x14ac:dyDescent="0.25">
      <c r="A15" s="976">
        <v>11310</v>
      </c>
      <c r="B15" s="976" t="s">
        <v>803</v>
      </c>
      <c r="C15" s="978">
        <v>502637</v>
      </c>
    </row>
    <row r="16" spans="1:3" x14ac:dyDescent="0.25">
      <c r="A16" s="976">
        <v>11600</v>
      </c>
      <c r="B16" s="976" t="s">
        <v>804</v>
      </c>
      <c r="C16" s="978">
        <v>1808229</v>
      </c>
    </row>
    <row r="17" spans="1:3" x14ac:dyDescent="0.25">
      <c r="A17" s="976">
        <v>11900</v>
      </c>
      <c r="B17" s="976" t="s">
        <v>805</v>
      </c>
      <c r="C17" s="978">
        <v>181074</v>
      </c>
    </row>
    <row r="18" spans="1:3" x14ac:dyDescent="0.25">
      <c r="A18" s="976">
        <v>12100</v>
      </c>
      <c r="B18" s="976" t="s">
        <v>806</v>
      </c>
      <c r="C18" s="978">
        <v>234608</v>
      </c>
    </row>
    <row r="19" spans="1:3" x14ac:dyDescent="0.25">
      <c r="A19" s="976">
        <v>12150</v>
      </c>
      <c r="B19" s="976" t="s">
        <v>807</v>
      </c>
      <c r="C19" s="978">
        <v>28290</v>
      </c>
    </row>
    <row r="20" spans="1:3" x14ac:dyDescent="0.25">
      <c r="A20" s="976">
        <v>12160</v>
      </c>
      <c r="B20" s="976" t="s">
        <v>808</v>
      </c>
      <c r="C20" s="978">
        <v>1793659</v>
      </c>
    </row>
    <row r="21" spans="1:3" x14ac:dyDescent="0.25">
      <c r="A21" s="976">
        <v>12220</v>
      </c>
      <c r="B21" s="976" t="s">
        <v>809</v>
      </c>
      <c r="C21" s="978">
        <v>44591568</v>
      </c>
    </row>
    <row r="22" spans="1:3" x14ac:dyDescent="0.25">
      <c r="A22" s="976">
        <v>12510</v>
      </c>
      <c r="B22" s="976" t="s">
        <v>810</v>
      </c>
      <c r="C22" s="978">
        <v>5383201</v>
      </c>
    </row>
    <row r="23" spans="1:3" x14ac:dyDescent="0.25">
      <c r="A23" s="976">
        <v>12600</v>
      </c>
      <c r="B23" s="976" t="s">
        <v>811</v>
      </c>
      <c r="C23" s="978">
        <v>1461714</v>
      </c>
    </row>
    <row r="24" spans="1:3" x14ac:dyDescent="0.25">
      <c r="A24" s="976">
        <v>12700</v>
      </c>
      <c r="B24" s="976" t="s">
        <v>812</v>
      </c>
      <c r="C24" s="978">
        <v>1123891</v>
      </c>
    </row>
    <row r="25" spans="1:3" x14ac:dyDescent="0.25">
      <c r="A25" s="976">
        <v>13500</v>
      </c>
      <c r="B25" s="976" t="s">
        <v>813</v>
      </c>
      <c r="C25" s="978">
        <v>4052239</v>
      </c>
    </row>
    <row r="26" spans="1:3" x14ac:dyDescent="0.25">
      <c r="A26" s="976">
        <v>13700</v>
      </c>
      <c r="B26" s="976" t="s">
        <v>814</v>
      </c>
      <c r="C26" s="978">
        <v>477982</v>
      </c>
    </row>
    <row r="27" spans="1:3" x14ac:dyDescent="0.25">
      <c r="A27" s="976">
        <v>14300</v>
      </c>
      <c r="B27" s="976" t="s">
        <v>816</v>
      </c>
      <c r="C27" s="978">
        <v>1597828</v>
      </c>
    </row>
    <row r="28" spans="1:3" x14ac:dyDescent="0.25">
      <c r="A28" s="976">
        <v>18400</v>
      </c>
      <c r="B28" s="976" t="s">
        <v>1546</v>
      </c>
      <c r="C28" s="978">
        <v>5234297</v>
      </c>
    </row>
    <row r="29" spans="1:3" x14ac:dyDescent="0.25">
      <c r="A29" s="976">
        <v>18600</v>
      </c>
      <c r="B29" s="976" t="s">
        <v>818</v>
      </c>
      <c r="C29" s="978">
        <v>14710</v>
      </c>
    </row>
    <row r="30" spans="1:3" x14ac:dyDescent="0.25">
      <c r="A30" s="976">
        <v>18640</v>
      </c>
      <c r="B30" s="976" t="s">
        <v>819</v>
      </c>
      <c r="C30" s="978">
        <v>301</v>
      </c>
    </row>
    <row r="31" spans="1:3" x14ac:dyDescent="0.25">
      <c r="A31" s="976">
        <v>18690</v>
      </c>
      <c r="B31" s="976" t="s">
        <v>821</v>
      </c>
      <c r="C31" s="978">
        <v>3520</v>
      </c>
    </row>
    <row r="32" spans="1:3" x14ac:dyDescent="0.25">
      <c r="A32" s="976">
        <v>18740</v>
      </c>
      <c r="B32" s="976" t="s">
        <v>822</v>
      </c>
      <c r="C32" s="978">
        <v>7558</v>
      </c>
    </row>
    <row r="33" spans="1:3" x14ac:dyDescent="0.25">
      <c r="A33" s="976">
        <v>18780</v>
      </c>
      <c r="B33" s="976" t="s">
        <v>823</v>
      </c>
      <c r="C33" s="978">
        <v>14463</v>
      </c>
    </row>
    <row r="34" spans="1:3" x14ac:dyDescent="0.25">
      <c r="A34" s="976">
        <v>19005</v>
      </c>
      <c r="B34" s="976" t="s">
        <v>824</v>
      </c>
      <c r="C34" s="978">
        <v>794049</v>
      </c>
    </row>
    <row r="35" spans="1:3" x14ac:dyDescent="0.25">
      <c r="A35" s="976">
        <v>19100</v>
      </c>
      <c r="B35" s="976" t="s">
        <v>825</v>
      </c>
      <c r="C35" s="978">
        <v>60568822</v>
      </c>
    </row>
    <row r="36" spans="1:3" x14ac:dyDescent="0.25">
      <c r="A36" s="976">
        <v>20100</v>
      </c>
      <c r="B36" s="976" t="s">
        <v>826</v>
      </c>
      <c r="C36" s="978">
        <v>10028643</v>
      </c>
    </row>
    <row r="37" spans="1:3" x14ac:dyDescent="0.25">
      <c r="A37" s="976">
        <v>20200</v>
      </c>
      <c r="B37" s="976" t="s">
        <v>827</v>
      </c>
      <c r="C37" s="978">
        <v>1562359</v>
      </c>
    </row>
    <row r="38" spans="1:3" x14ac:dyDescent="0.25">
      <c r="A38" s="976">
        <v>20300</v>
      </c>
      <c r="B38" s="976" t="s">
        <v>828</v>
      </c>
      <c r="C38" s="978">
        <v>23204464</v>
      </c>
    </row>
    <row r="39" spans="1:3" x14ac:dyDescent="0.25">
      <c r="A39" s="976">
        <v>20400</v>
      </c>
      <c r="B39" s="976" t="s">
        <v>829</v>
      </c>
      <c r="C39" s="978">
        <v>1224248</v>
      </c>
    </row>
    <row r="40" spans="1:3" x14ac:dyDescent="0.25">
      <c r="A40" s="976">
        <v>20600</v>
      </c>
      <c r="B40" s="976" t="s">
        <v>830</v>
      </c>
      <c r="C40" s="978">
        <v>2871469</v>
      </c>
    </row>
    <row r="41" spans="1:3" x14ac:dyDescent="0.25">
      <c r="A41" s="976">
        <v>20700</v>
      </c>
      <c r="B41" s="976" t="s">
        <v>831</v>
      </c>
      <c r="C41" s="978">
        <v>6185261</v>
      </c>
    </row>
    <row r="42" spans="1:3" x14ac:dyDescent="0.25">
      <c r="A42" s="976">
        <v>20800</v>
      </c>
      <c r="B42" s="976" t="s">
        <v>832</v>
      </c>
      <c r="C42" s="978">
        <v>4710210</v>
      </c>
    </row>
    <row r="43" spans="1:3" x14ac:dyDescent="0.25">
      <c r="A43" s="976">
        <v>20900</v>
      </c>
      <c r="B43" s="976" t="s">
        <v>833</v>
      </c>
      <c r="C43" s="978">
        <v>9568368</v>
      </c>
    </row>
    <row r="44" spans="1:3" x14ac:dyDescent="0.25">
      <c r="A44" s="976">
        <v>21200</v>
      </c>
      <c r="B44" s="976" t="s">
        <v>834</v>
      </c>
      <c r="C44" s="978">
        <v>2901634</v>
      </c>
    </row>
    <row r="45" spans="1:3" x14ac:dyDescent="0.25">
      <c r="A45" s="976">
        <v>21300</v>
      </c>
      <c r="B45" s="976" t="s">
        <v>835</v>
      </c>
      <c r="C45" s="978">
        <v>36269435</v>
      </c>
    </row>
    <row r="46" spans="1:3" x14ac:dyDescent="0.25">
      <c r="A46" s="976">
        <v>21520</v>
      </c>
      <c r="B46" s="976" t="s">
        <v>1547</v>
      </c>
      <c r="C46" s="978">
        <v>64376483</v>
      </c>
    </row>
    <row r="47" spans="1:3" x14ac:dyDescent="0.25">
      <c r="A47" s="976">
        <v>21525</v>
      </c>
      <c r="B47" s="976" t="s">
        <v>837</v>
      </c>
      <c r="C47" s="978">
        <v>1853481</v>
      </c>
    </row>
    <row r="48" spans="1:3" x14ac:dyDescent="0.25">
      <c r="A48" s="976">
        <v>21550</v>
      </c>
      <c r="B48" s="976" t="s">
        <v>838</v>
      </c>
      <c r="C48" s="978">
        <v>35423392</v>
      </c>
    </row>
    <row r="49" spans="1:3" x14ac:dyDescent="0.25">
      <c r="A49" s="976">
        <v>21570</v>
      </c>
      <c r="B49" s="976" t="s">
        <v>839</v>
      </c>
      <c r="C49" s="978">
        <v>180756</v>
      </c>
    </row>
    <row r="50" spans="1:3" x14ac:dyDescent="0.25">
      <c r="A50" s="976">
        <v>21800</v>
      </c>
      <c r="B50" s="976" t="s">
        <v>840</v>
      </c>
      <c r="C50" s="978">
        <v>5298730</v>
      </c>
    </row>
    <row r="51" spans="1:3" x14ac:dyDescent="0.25">
      <c r="A51" s="976">
        <v>21900</v>
      </c>
      <c r="B51" s="976" t="s">
        <v>841</v>
      </c>
      <c r="C51" s="978">
        <v>3263663</v>
      </c>
    </row>
    <row r="52" spans="1:3" x14ac:dyDescent="0.25">
      <c r="A52" s="976">
        <v>22000</v>
      </c>
      <c r="B52" s="976" t="s">
        <v>842</v>
      </c>
      <c r="C52" s="978">
        <v>3751531</v>
      </c>
    </row>
    <row r="53" spans="1:3" x14ac:dyDescent="0.25">
      <c r="A53" s="976">
        <v>23000</v>
      </c>
      <c r="B53" s="976" t="s">
        <v>843</v>
      </c>
      <c r="C53" s="978">
        <v>2431323</v>
      </c>
    </row>
    <row r="54" spans="1:3" x14ac:dyDescent="0.25">
      <c r="A54" s="976">
        <v>23100</v>
      </c>
      <c r="B54" s="976" t="s">
        <v>844</v>
      </c>
      <c r="C54" s="978">
        <v>14193190</v>
      </c>
    </row>
    <row r="55" spans="1:3" x14ac:dyDescent="0.25">
      <c r="A55" s="976">
        <v>23200</v>
      </c>
      <c r="B55" s="976" t="s">
        <v>845</v>
      </c>
      <c r="C55" s="978">
        <v>6479303</v>
      </c>
    </row>
    <row r="56" spans="1:3" x14ac:dyDescent="0.25">
      <c r="A56" s="976">
        <v>30000</v>
      </c>
      <c r="B56" s="976" t="s">
        <v>846</v>
      </c>
      <c r="C56" s="978">
        <v>806446</v>
      </c>
    </row>
    <row r="57" spans="1:3" x14ac:dyDescent="0.25">
      <c r="A57" s="976">
        <v>30100</v>
      </c>
      <c r="B57" s="976" t="s">
        <v>847</v>
      </c>
      <c r="C57" s="978">
        <v>6665138</v>
      </c>
    </row>
    <row r="58" spans="1:3" x14ac:dyDescent="0.25">
      <c r="A58" s="976">
        <v>30102</v>
      </c>
      <c r="B58" s="976" t="s">
        <v>848</v>
      </c>
      <c r="C58" s="978">
        <v>118573</v>
      </c>
    </row>
    <row r="59" spans="1:3" x14ac:dyDescent="0.25">
      <c r="A59" s="976">
        <v>30103</v>
      </c>
      <c r="B59" s="976" t="s">
        <v>849</v>
      </c>
      <c r="C59" s="978">
        <v>157470</v>
      </c>
    </row>
    <row r="60" spans="1:3" x14ac:dyDescent="0.25">
      <c r="A60" s="976">
        <v>30104</v>
      </c>
      <c r="B60" s="976" t="s">
        <v>850</v>
      </c>
      <c r="C60" s="978">
        <v>80744</v>
      </c>
    </row>
    <row r="61" spans="1:3" x14ac:dyDescent="0.25">
      <c r="A61" s="976">
        <v>30105</v>
      </c>
      <c r="B61" s="976" t="s">
        <v>851</v>
      </c>
      <c r="C61" s="978">
        <v>798462</v>
      </c>
    </row>
    <row r="62" spans="1:3" x14ac:dyDescent="0.25">
      <c r="A62" s="976">
        <v>30200</v>
      </c>
      <c r="B62" s="976" t="s">
        <v>852</v>
      </c>
      <c r="C62" s="978">
        <v>1598287</v>
      </c>
    </row>
    <row r="63" spans="1:3" x14ac:dyDescent="0.25">
      <c r="A63" s="976">
        <v>30300</v>
      </c>
      <c r="B63" s="976" t="s">
        <v>853</v>
      </c>
      <c r="C63" s="978">
        <v>529442</v>
      </c>
    </row>
    <row r="64" spans="1:3" x14ac:dyDescent="0.25">
      <c r="A64" s="976">
        <v>30400</v>
      </c>
      <c r="B64" s="976" t="s">
        <v>854</v>
      </c>
      <c r="C64" s="978">
        <v>1077886</v>
      </c>
    </row>
    <row r="65" spans="1:3" x14ac:dyDescent="0.25">
      <c r="A65" s="976">
        <v>30405</v>
      </c>
      <c r="B65" s="976" t="s">
        <v>855</v>
      </c>
      <c r="C65" s="978">
        <v>674737</v>
      </c>
    </row>
    <row r="66" spans="1:3" x14ac:dyDescent="0.25">
      <c r="A66" s="976">
        <v>30500</v>
      </c>
      <c r="B66" s="976" t="s">
        <v>856</v>
      </c>
      <c r="C66" s="978">
        <v>1059216</v>
      </c>
    </row>
    <row r="67" spans="1:3" x14ac:dyDescent="0.25">
      <c r="A67" s="976">
        <v>30600</v>
      </c>
      <c r="B67" s="976" t="s">
        <v>857</v>
      </c>
      <c r="C67" s="978">
        <v>828995</v>
      </c>
    </row>
    <row r="68" spans="1:3" x14ac:dyDescent="0.25">
      <c r="A68" s="976">
        <v>30601</v>
      </c>
      <c r="B68" s="976" t="s">
        <v>858</v>
      </c>
      <c r="C68" s="978">
        <v>17785</v>
      </c>
    </row>
    <row r="69" spans="1:3" x14ac:dyDescent="0.25">
      <c r="A69" s="976">
        <v>30700</v>
      </c>
      <c r="B69" s="976" t="s">
        <v>859</v>
      </c>
      <c r="C69" s="978">
        <v>2150295</v>
      </c>
    </row>
    <row r="70" spans="1:3" x14ac:dyDescent="0.25">
      <c r="A70" s="976">
        <v>30705</v>
      </c>
      <c r="B70" s="976" t="s">
        <v>860</v>
      </c>
      <c r="C70" s="978">
        <v>421344</v>
      </c>
    </row>
    <row r="71" spans="1:3" x14ac:dyDescent="0.25">
      <c r="A71" s="976">
        <v>30800</v>
      </c>
      <c r="B71" s="976" t="s">
        <v>861</v>
      </c>
      <c r="C71" s="978">
        <v>831610</v>
      </c>
    </row>
    <row r="72" spans="1:3" x14ac:dyDescent="0.25">
      <c r="A72" s="976">
        <v>30900</v>
      </c>
      <c r="B72" s="976" t="s">
        <v>862</v>
      </c>
      <c r="C72" s="978">
        <v>1466863</v>
      </c>
    </row>
    <row r="73" spans="1:3" x14ac:dyDescent="0.25">
      <c r="A73" s="976">
        <v>30905</v>
      </c>
      <c r="B73" s="976" t="s">
        <v>863</v>
      </c>
      <c r="C73" s="978">
        <v>343909</v>
      </c>
    </row>
    <row r="74" spans="1:3" x14ac:dyDescent="0.25">
      <c r="A74" s="976">
        <v>31000</v>
      </c>
      <c r="B74" s="976" t="s">
        <v>864</v>
      </c>
      <c r="C74" s="978">
        <v>4009249</v>
      </c>
    </row>
    <row r="75" spans="1:3" x14ac:dyDescent="0.25">
      <c r="A75" s="976">
        <v>31005</v>
      </c>
      <c r="B75" s="976" t="s">
        <v>865</v>
      </c>
      <c r="C75" s="978">
        <v>438899</v>
      </c>
    </row>
    <row r="76" spans="1:3" x14ac:dyDescent="0.25">
      <c r="A76" s="976">
        <v>31100</v>
      </c>
      <c r="B76" s="976" t="s">
        <v>866</v>
      </c>
      <c r="C76" s="978">
        <v>8024306</v>
      </c>
    </row>
    <row r="77" spans="1:3" x14ac:dyDescent="0.25">
      <c r="A77" s="976">
        <v>31101</v>
      </c>
      <c r="B77" s="976" t="s">
        <v>867</v>
      </c>
      <c r="C77" s="978">
        <v>49397</v>
      </c>
    </row>
    <row r="78" spans="1:3" x14ac:dyDescent="0.25">
      <c r="A78" s="976">
        <v>31102</v>
      </c>
      <c r="B78" s="976" t="s">
        <v>868</v>
      </c>
      <c r="C78" s="978">
        <v>116037</v>
      </c>
    </row>
    <row r="79" spans="1:3" x14ac:dyDescent="0.25">
      <c r="A79" s="976">
        <v>31105</v>
      </c>
      <c r="B79" s="976" t="s">
        <v>869</v>
      </c>
      <c r="C79" s="978">
        <v>1372900</v>
      </c>
    </row>
    <row r="80" spans="1:3" x14ac:dyDescent="0.25">
      <c r="A80" s="976">
        <v>31110</v>
      </c>
      <c r="B80" s="976" t="s">
        <v>870</v>
      </c>
      <c r="C80" s="978">
        <v>1764773</v>
      </c>
    </row>
    <row r="81" spans="1:3" x14ac:dyDescent="0.25">
      <c r="A81" s="976">
        <v>31200</v>
      </c>
      <c r="B81" s="976" t="s">
        <v>871</v>
      </c>
      <c r="C81" s="978">
        <v>3656703</v>
      </c>
    </row>
    <row r="82" spans="1:3" x14ac:dyDescent="0.25">
      <c r="A82" s="976">
        <v>31205</v>
      </c>
      <c r="B82" s="976" t="s">
        <v>872</v>
      </c>
      <c r="C82" s="978">
        <v>493548</v>
      </c>
    </row>
    <row r="83" spans="1:3" x14ac:dyDescent="0.25">
      <c r="A83" s="976">
        <v>31300</v>
      </c>
      <c r="B83" s="976" t="s">
        <v>873</v>
      </c>
      <c r="C83" s="978">
        <v>9173516</v>
      </c>
    </row>
    <row r="84" spans="1:3" x14ac:dyDescent="0.25">
      <c r="A84" s="976">
        <v>31301</v>
      </c>
      <c r="B84" s="976" t="s">
        <v>874</v>
      </c>
      <c r="C84" s="978">
        <v>200290</v>
      </c>
    </row>
    <row r="85" spans="1:3" x14ac:dyDescent="0.25">
      <c r="A85" s="976">
        <v>31320</v>
      </c>
      <c r="B85" s="976" t="s">
        <v>875</v>
      </c>
      <c r="C85" s="978">
        <v>1656947</v>
      </c>
    </row>
    <row r="86" spans="1:3" x14ac:dyDescent="0.25">
      <c r="A86" s="976">
        <v>31400</v>
      </c>
      <c r="B86" s="976" t="s">
        <v>876</v>
      </c>
      <c r="C86" s="978">
        <v>3809318</v>
      </c>
    </row>
    <row r="87" spans="1:3" x14ac:dyDescent="0.25">
      <c r="A87" s="976">
        <v>31405</v>
      </c>
      <c r="B87" s="976" t="s">
        <v>877</v>
      </c>
      <c r="C87" s="978">
        <v>869886</v>
      </c>
    </row>
    <row r="88" spans="1:3" x14ac:dyDescent="0.25">
      <c r="A88" s="976">
        <v>31500</v>
      </c>
      <c r="B88" s="976" t="s">
        <v>878</v>
      </c>
      <c r="C88" s="978">
        <v>608075</v>
      </c>
    </row>
    <row r="89" spans="1:3" x14ac:dyDescent="0.25">
      <c r="A89" s="976">
        <v>31600</v>
      </c>
      <c r="B89" s="976" t="s">
        <v>879</v>
      </c>
      <c r="C89" s="978">
        <v>2693534</v>
      </c>
    </row>
    <row r="90" spans="1:3" x14ac:dyDescent="0.25">
      <c r="A90" s="976">
        <v>31605</v>
      </c>
      <c r="B90" s="976" t="s">
        <v>881</v>
      </c>
      <c r="C90" s="978">
        <v>441394</v>
      </c>
    </row>
    <row r="91" spans="1:3" x14ac:dyDescent="0.25">
      <c r="A91" s="976">
        <v>31700</v>
      </c>
      <c r="B91" s="976" t="s">
        <v>882</v>
      </c>
      <c r="C91" s="978">
        <v>859836</v>
      </c>
    </row>
    <row r="92" spans="1:3" x14ac:dyDescent="0.25">
      <c r="A92" s="976">
        <v>31800</v>
      </c>
      <c r="B92" s="976" t="s">
        <v>883</v>
      </c>
      <c r="C92" s="978">
        <v>4870736</v>
      </c>
    </row>
    <row r="93" spans="1:3" x14ac:dyDescent="0.25">
      <c r="A93" s="976">
        <v>31805</v>
      </c>
      <c r="B93" s="976" t="s">
        <v>884</v>
      </c>
      <c r="C93" s="978">
        <v>1038616</v>
      </c>
    </row>
    <row r="94" spans="1:3" x14ac:dyDescent="0.25">
      <c r="A94" s="976">
        <v>31810</v>
      </c>
      <c r="B94" s="976" t="s">
        <v>885</v>
      </c>
      <c r="C94" s="978">
        <v>1236609</v>
      </c>
    </row>
    <row r="95" spans="1:3" x14ac:dyDescent="0.25">
      <c r="A95" s="976">
        <v>31820</v>
      </c>
      <c r="B95" s="976" t="s">
        <v>886</v>
      </c>
      <c r="C95" s="978">
        <v>1016206</v>
      </c>
    </row>
    <row r="96" spans="1:3" x14ac:dyDescent="0.25">
      <c r="A96" s="976">
        <v>31900</v>
      </c>
      <c r="B96" s="976" t="s">
        <v>887</v>
      </c>
      <c r="C96" s="978">
        <v>2898313</v>
      </c>
    </row>
    <row r="97" spans="1:3" x14ac:dyDescent="0.25">
      <c r="A97" s="976">
        <v>32000</v>
      </c>
      <c r="B97" s="976" t="s">
        <v>888</v>
      </c>
      <c r="C97" s="978">
        <v>1191512</v>
      </c>
    </row>
    <row r="98" spans="1:3" x14ac:dyDescent="0.25">
      <c r="A98" s="976">
        <v>32005</v>
      </c>
      <c r="B98" s="976" t="s">
        <v>889</v>
      </c>
      <c r="C98" s="978">
        <v>296826</v>
      </c>
    </row>
    <row r="99" spans="1:3" x14ac:dyDescent="0.25">
      <c r="A99" s="976">
        <v>32100</v>
      </c>
      <c r="B99" s="976" t="s">
        <v>890</v>
      </c>
      <c r="C99" s="978">
        <v>725085</v>
      </c>
    </row>
    <row r="100" spans="1:3" x14ac:dyDescent="0.25">
      <c r="A100" s="976">
        <v>32200</v>
      </c>
      <c r="B100" s="976" t="s">
        <v>891</v>
      </c>
      <c r="C100" s="978">
        <v>464194</v>
      </c>
    </row>
    <row r="101" spans="1:3" x14ac:dyDescent="0.25">
      <c r="A101" s="976">
        <v>32300</v>
      </c>
      <c r="B101" s="976" t="s">
        <v>892</v>
      </c>
      <c r="C101" s="978">
        <v>4938539</v>
      </c>
    </row>
    <row r="102" spans="1:3" x14ac:dyDescent="0.25">
      <c r="A102" s="976">
        <v>32305</v>
      </c>
      <c r="B102" s="976" t="s">
        <v>1548</v>
      </c>
      <c r="C102" s="978">
        <v>579445</v>
      </c>
    </row>
    <row r="103" spans="1:3" x14ac:dyDescent="0.25">
      <c r="A103" s="976">
        <v>32400</v>
      </c>
      <c r="B103" s="976" t="s">
        <v>894</v>
      </c>
      <c r="C103" s="978">
        <v>1914887</v>
      </c>
    </row>
    <row r="104" spans="1:3" x14ac:dyDescent="0.25">
      <c r="A104" s="976">
        <v>32405</v>
      </c>
      <c r="B104" s="976" t="s">
        <v>895</v>
      </c>
      <c r="C104" s="978">
        <v>518032</v>
      </c>
    </row>
    <row r="105" spans="1:3" x14ac:dyDescent="0.25">
      <c r="A105" s="976">
        <v>32410</v>
      </c>
      <c r="B105" s="976" t="s">
        <v>896</v>
      </c>
      <c r="C105" s="978">
        <v>758316</v>
      </c>
    </row>
    <row r="106" spans="1:3" x14ac:dyDescent="0.25">
      <c r="A106" s="976">
        <v>32500</v>
      </c>
      <c r="B106" s="976" t="s">
        <v>1549</v>
      </c>
      <c r="C106" s="978">
        <v>3928750</v>
      </c>
    </row>
    <row r="107" spans="1:3" x14ac:dyDescent="0.25">
      <c r="A107" s="976">
        <v>32505</v>
      </c>
      <c r="B107" s="976" t="s">
        <v>899</v>
      </c>
      <c r="C107" s="978">
        <v>644808</v>
      </c>
    </row>
    <row r="108" spans="1:3" x14ac:dyDescent="0.25">
      <c r="A108" s="976">
        <v>32600</v>
      </c>
      <c r="B108" s="976" t="s">
        <v>900</v>
      </c>
      <c r="C108" s="978">
        <v>14227355</v>
      </c>
    </row>
    <row r="109" spans="1:3" x14ac:dyDescent="0.25">
      <c r="A109" s="976">
        <v>32605</v>
      </c>
      <c r="B109" s="976" t="s">
        <v>901</v>
      </c>
      <c r="C109" s="978">
        <v>2275560</v>
      </c>
    </row>
    <row r="110" spans="1:3" x14ac:dyDescent="0.25">
      <c r="A110" s="976">
        <v>32700</v>
      </c>
      <c r="B110" s="976" t="s">
        <v>902</v>
      </c>
      <c r="C110" s="978">
        <v>1319508</v>
      </c>
    </row>
    <row r="111" spans="1:3" x14ac:dyDescent="0.25">
      <c r="A111" s="976">
        <v>32800</v>
      </c>
      <c r="B111" s="976" t="s">
        <v>903</v>
      </c>
      <c r="C111" s="978">
        <v>1940996</v>
      </c>
    </row>
    <row r="112" spans="1:3" x14ac:dyDescent="0.25">
      <c r="A112" s="976">
        <v>32900</v>
      </c>
      <c r="B112" s="976" t="s">
        <v>904</v>
      </c>
      <c r="C112" s="978">
        <v>5308245</v>
      </c>
    </row>
    <row r="113" spans="1:3" x14ac:dyDescent="0.25">
      <c r="A113" s="976">
        <v>32901</v>
      </c>
      <c r="B113" s="976" t="s">
        <v>1550</v>
      </c>
      <c r="C113" s="978">
        <v>113778</v>
      </c>
    </row>
    <row r="114" spans="1:3" x14ac:dyDescent="0.25">
      <c r="A114" s="976">
        <v>32905</v>
      </c>
      <c r="B114" s="976" t="s">
        <v>906</v>
      </c>
      <c r="C114" s="978">
        <v>846743</v>
      </c>
    </row>
    <row r="115" spans="1:3" x14ac:dyDescent="0.25">
      <c r="A115" s="976">
        <v>32910</v>
      </c>
      <c r="B115" s="976" t="s">
        <v>907</v>
      </c>
      <c r="C115" s="978">
        <v>1035320</v>
      </c>
    </row>
    <row r="116" spans="1:3" x14ac:dyDescent="0.25">
      <c r="A116" s="976">
        <v>32920</v>
      </c>
      <c r="B116" s="976" t="s">
        <v>908</v>
      </c>
      <c r="C116" s="978">
        <v>817991</v>
      </c>
    </row>
    <row r="117" spans="1:3" x14ac:dyDescent="0.25">
      <c r="A117" s="976">
        <v>33000</v>
      </c>
      <c r="B117" s="976" t="s">
        <v>909</v>
      </c>
      <c r="C117" s="978">
        <v>1951984</v>
      </c>
    </row>
    <row r="118" spans="1:3" x14ac:dyDescent="0.25">
      <c r="A118" s="976">
        <v>33001</v>
      </c>
      <c r="B118" s="976" t="s">
        <v>910</v>
      </c>
      <c r="C118" s="978">
        <v>58316</v>
      </c>
    </row>
    <row r="119" spans="1:3" x14ac:dyDescent="0.25">
      <c r="A119" s="976">
        <v>33027</v>
      </c>
      <c r="B119" s="976" t="s">
        <v>911</v>
      </c>
      <c r="C119" s="978">
        <v>187623</v>
      </c>
    </row>
    <row r="120" spans="1:3" x14ac:dyDescent="0.25">
      <c r="A120" s="976">
        <v>33100</v>
      </c>
      <c r="B120" s="976" t="s">
        <v>912</v>
      </c>
      <c r="C120" s="978">
        <v>2913985</v>
      </c>
    </row>
    <row r="121" spans="1:3" x14ac:dyDescent="0.25">
      <c r="A121" s="976">
        <v>33105</v>
      </c>
      <c r="B121" s="976" t="s">
        <v>913</v>
      </c>
      <c r="C121" s="978">
        <v>349470</v>
      </c>
    </row>
    <row r="122" spans="1:3" x14ac:dyDescent="0.25">
      <c r="A122" s="976">
        <v>33200</v>
      </c>
      <c r="B122" s="976" t="s">
        <v>914</v>
      </c>
      <c r="C122" s="978">
        <v>12147277</v>
      </c>
    </row>
    <row r="123" spans="1:3" x14ac:dyDescent="0.25">
      <c r="A123" s="976">
        <v>33202</v>
      </c>
      <c r="B123" s="976" t="s">
        <v>915</v>
      </c>
      <c r="C123" s="978">
        <v>158030</v>
      </c>
    </row>
    <row r="124" spans="1:3" x14ac:dyDescent="0.25">
      <c r="A124" s="976">
        <v>33203</v>
      </c>
      <c r="B124" s="976" t="s">
        <v>916</v>
      </c>
      <c r="C124" s="978">
        <v>91892</v>
      </c>
    </row>
    <row r="125" spans="1:3" x14ac:dyDescent="0.25">
      <c r="A125" s="976">
        <v>33204</v>
      </c>
      <c r="B125" s="976" t="s">
        <v>917</v>
      </c>
      <c r="C125" s="978">
        <v>312411</v>
      </c>
    </row>
    <row r="126" spans="1:3" x14ac:dyDescent="0.25">
      <c r="A126" s="976">
        <v>33205</v>
      </c>
      <c r="B126" s="976" t="s">
        <v>918</v>
      </c>
      <c r="C126" s="978">
        <v>1128783</v>
      </c>
    </row>
    <row r="127" spans="1:3" x14ac:dyDescent="0.25">
      <c r="A127" s="976">
        <v>33206</v>
      </c>
      <c r="B127" s="976" t="s">
        <v>919</v>
      </c>
      <c r="C127" s="978">
        <v>90603</v>
      </c>
    </row>
    <row r="128" spans="1:3" x14ac:dyDescent="0.25">
      <c r="A128" s="976">
        <v>33207</v>
      </c>
      <c r="B128" s="976" t="s">
        <v>1134</v>
      </c>
      <c r="C128" s="978">
        <v>180973</v>
      </c>
    </row>
    <row r="129" spans="1:3" x14ac:dyDescent="0.25">
      <c r="A129" s="976">
        <v>33208</v>
      </c>
      <c r="B129" s="976" t="s">
        <v>1135</v>
      </c>
      <c r="C129" s="978">
        <v>6304</v>
      </c>
    </row>
    <row r="130" spans="1:3" x14ac:dyDescent="0.25">
      <c r="A130" s="976">
        <v>33209</v>
      </c>
      <c r="B130" s="976" t="s">
        <v>1136</v>
      </c>
      <c r="C130" s="978">
        <v>56671</v>
      </c>
    </row>
    <row r="131" spans="1:3" x14ac:dyDescent="0.25">
      <c r="A131" s="976">
        <v>33300</v>
      </c>
      <c r="B131" s="976" t="s">
        <v>920</v>
      </c>
      <c r="C131" s="978">
        <v>1895180</v>
      </c>
    </row>
    <row r="132" spans="1:3" x14ac:dyDescent="0.25">
      <c r="A132" s="976">
        <v>33305</v>
      </c>
      <c r="B132" s="976" t="s">
        <v>921</v>
      </c>
      <c r="C132" s="978">
        <v>556456</v>
      </c>
    </row>
    <row r="133" spans="1:3" x14ac:dyDescent="0.25">
      <c r="A133" s="976">
        <v>33400</v>
      </c>
      <c r="B133" s="976" t="s">
        <v>922</v>
      </c>
      <c r="C133" s="978">
        <v>16946432</v>
      </c>
    </row>
    <row r="134" spans="1:3" x14ac:dyDescent="0.25">
      <c r="A134" s="976">
        <v>33402</v>
      </c>
      <c r="B134" s="976" t="s">
        <v>923</v>
      </c>
      <c r="C134" s="978">
        <v>121377</v>
      </c>
    </row>
    <row r="135" spans="1:3" x14ac:dyDescent="0.25">
      <c r="A135" s="976">
        <v>33405</v>
      </c>
      <c r="B135" s="976" t="s">
        <v>925</v>
      </c>
      <c r="C135" s="978">
        <v>1764451</v>
      </c>
    </row>
    <row r="136" spans="1:3" x14ac:dyDescent="0.25">
      <c r="A136" s="976">
        <v>33500</v>
      </c>
      <c r="B136" s="976" t="s">
        <v>926</v>
      </c>
      <c r="C136" s="978">
        <v>2527287</v>
      </c>
    </row>
    <row r="137" spans="1:3" x14ac:dyDescent="0.25">
      <c r="A137" s="976">
        <v>33501</v>
      </c>
      <c r="B137" s="976" t="s">
        <v>927</v>
      </c>
      <c r="C137" s="978">
        <v>55955</v>
      </c>
    </row>
    <row r="138" spans="1:3" x14ac:dyDescent="0.25">
      <c r="A138" s="976">
        <v>33600</v>
      </c>
      <c r="B138" s="976" t="s">
        <v>928</v>
      </c>
      <c r="C138" s="978">
        <v>8723375</v>
      </c>
    </row>
    <row r="139" spans="1:3" x14ac:dyDescent="0.25">
      <c r="A139" s="976">
        <v>33605</v>
      </c>
      <c r="B139" s="976" t="s">
        <v>929</v>
      </c>
      <c r="C139" s="978">
        <v>1339219</v>
      </c>
    </row>
    <row r="140" spans="1:3" x14ac:dyDescent="0.25">
      <c r="A140" s="976">
        <v>33700</v>
      </c>
      <c r="B140" s="976" t="s">
        <v>930</v>
      </c>
      <c r="C140" s="978">
        <v>630168</v>
      </c>
    </row>
    <row r="141" spans="1:3" x14ac:dyDescent="0.25">
      <c r="A141" s="976">
        <v>33800</v>
      </c>
      <c r="B141" s="976" t="s">
        <v>931</v>
      </c>
      <c r="C141" s="978">
        <v>476289</v>
      </c>
    </row>
    <row r="142" spans="1:3" x14ac:dyDescent="0.25">
      <c r="A142" s="976">
        <v>33900</v>
      </c>
      <c r="B142" s="976" t="s">
        <v>932</v>
      </c>
      <c r="C142" s="978">
        <v>2458409</v>
      </c>
    </row>
    <row r="143" spans="1:3" x14ac:dyDescent="0.25">
      <c r="A143" s="976">
        <v>34000</v>
      </c>
      <c r="B143" s="976" t="s">
        <v>933</v>
      </c>
      <c r="C143" s="978">
        <v>1035624</v>
      </c>
    </row>
    <row r="144" spans="1:3" x14ac:dyDescent="0.25">
      <c r="A144" s="976">
        <v>34100</v>
      </c>
      <c r="B144" s="976" t="s">
        <v>934</v>
      </c>
      <c r="C144" s="978">
        <v>23151311</v>
      </c>
    </row>
    <row r="145" spans="1:3" x14ac:dyDescent="0.25">
      <c r="A145" s="976">
        <v>34105</v>
      </c>
      <c r="B145" s="976" t="s">
        <v>935</v>
      </c>
      <c r="C145" s="978">
        <v>2246887</v>
      </c>
    </row>
    <row r="146" spans="1:3" x14ac:dyDescent="0.25">
      <c r="A146" s="976">
        <v>34200</v>
      </c>
      <c r="B146" s="976" t="s">
        <v>936</v>
      </c>
      <c r="C146" s="978">
        <v>863918</v>
      </c>
    </row>
    <row r="147" spans="1:3" x14ac:dyDescent="0.25">
      <c r="A147" s="976">
        <v>34205</v>
      </c>
      <c r="B147" s="976" t="s">
        <v>937</v>
      </c>
      <c r="C147" s="978">
        <v>424109</v>
      </c>
    </row>
    <row r="148" spans="1:3" x14ac:dyDescent="0.25">
      <c r="A148" s="976">
        <v>34220</v>
      </c>
      <c r="B148" s="976" t="s">
        <v>938</v>
      </c>
      <c r="C148" s="978">
        <v>942468</v>
      </c>
    </row>
    <row r="149" spans="1:3" x14ac:dyDescent="0.25">
      <c r="A149" s="976">
        <v>34230</v>
      </c>
      <c r="B149" s="976" t="s">
        <v>939</v>
      </c>
      <c r="C149" s="978">
        <v>367062</v>
      </c>
    </row>
    <row r="150" spans="1:3" x14ac:dyDescent="0.25">
      <c r="A150" s="976">
        <v>34300</v>
      </c>
      <c r="B150" s="976" t="s">
        <v>940</v>
      </c>
      <c r="C150" s="978">
        <v>5565956</v>
      </c>
    </row>
    <row r="151" spans="1:3" x14ac:dyDescent="0.25">
      <c r="A151" s="976">
        <v>34400</v>
      </c>
      <c r="B151" s="976" t="s">
        <v>941</v>
      </c>
      <c r="C151" s="978">
        <v>2256446</v>
      </c>
    </row>
    <row r="152" spans="1:3" x14ac:dyDescent="0.25">
      <c r="A152" s="976">
        <v>34405</v>
      </c>
      <c r="B152" s="976" t="s">
        <v>942</v>
      </c>
      <c r="C152" s="978">
        <v>478050</v>
      </c>
    </row>
    <row r="153" spans="1:3" x14ac:dyDescent="0.25">
      <c r="A153" s="976">
        <v>34500</v>
      </c>
      <c r="B153" s="976" t="s">
        <v>943</v>
      </c>
      <c r="C153" s="978">
        <v>4080408</v>
      </c>
    </row>
    <row r="154" spans="1:3" x14ac:dyDescent="0.25">
      <c r="A154" s="976">
        <v>34501</v>
      </c>
      <c r="B154" s="976" t="s">
        <v>944</v>
      </c>
      <c r="C154" s="978">
        <v>46810</v>
      </c>
    </row>
    <row r="155" spans="1:3" x14ac:dyDescent="0.25">
      <c r="A155" s="976">
        <v>34505</v>
      </c>
      <c r="B155" s="976" t="s">
        <v>945</v>
      </c>
      <c r="C155" s="978">
        <v>601287</v>
      </c>
    </row>
    <row r="156" spans="1:3" x14ac:dyDescent="0.25">
      <c r="A156" s="976">
        <v>34600</v>
      </c>
      <c r="B156" s="976" t="s">
        <v>946</v>
      </c>
      <c r="C156" s="978">
        <v>1038647</v>
      </c>
    </row>
    <row r="157" spans="1:3" x14ac:dyDescent="0.25">
      <c r="A157" s="976">
        <v>34605</v>
      </c>
      <c r="B157" s="976" t="s">
        <v>947</v>
      </c>
      <c r="C157" s="978">
        <v>222915</v>
      </c>
    </row>
    <row r="158" spans="1:3" x14ac:dyDescent="0.25">
      <c r="A158" s="976">
        <v>34700</v>
      </c>
      <c r="B158" s="976" t="s">
        <v>948</v>
      </c>
      <c r="C158" s="978">
        <v>2472898</v>
      </c>
    </row>
    <row r="159" spans="1:3" x14ac:dyDescent="0.25">
      <c r="A159" s="976">
        <v>34800</v>
      </c>
      <c r="B159" s="976" t="s">
        <v>949</v>
      </c>
      <c r="C159" s="978">
        <v>334142</v>
      </c>
    </row>
    <row r="160" spans="1:3" x14ac:dyDescent="0.25">
      <c r="A160" s="976">
        <v>34900</v>
      </c>
      <c r="B160" s="976" t="s">
        <v>1551</v>
      </c>
      <c r="C160" s="978">
        <v>5966256</v>
      </c>
    </row>
    <row r="161" spans="1:3" x14ac:dyDescent="0.25">
      <c r="A161" s="976">
        <v>34901</v>
      </c>
      <c r="B161" s="976" t="s">
        <v>1552</v>
      </c>
      <c r="C161" s="978">
        <v>127599</v>
      </c>
    </row>
    <row r="162" spans="1:3" x14ac:dyDescent="0.25">
      <c r="A162" s="976">
        <v>34903</v>
      </c>
      <c r="B162" s="976" t="s">
        <v>952</v>
      </c>
      <c r="C162" s="978">
        <v>15019</v>
      </c>
    </row>
    <row r="163" spans="1:3" x14ac:dyDescent="0.25">
      <c r="A163" s="976">
        <v>34905</v>
      </c>
      <c r="B163" s="976" t="s">
        <v>953</v>
      </c>
      <c r="C163" s="978">
        <v>606345</v>
      </c>
    </row>
    <row r="164" spans="1:3" x14ac:dyDescent="0.25">
      <c r="A164" s="976">
        <v>34910</v>
      </c>
      <c r="B164" s="976" t="s">
        <v>954</v>
      </c>
      <c r="C164" s="978">
        <v>1758368</v>
      </c>
    </row>
    <row r="165" spans="1:3" x14ac:dyDescent="0.25">
      <c r="A165" s="976">
        <v>35000</v>
      </c>
      <c r="B165" s="976" t="s">
        <v>955</v>
      </c>
      <c r="C165" s="978">
        <v>1191995</v>
      </c>
    </row>
    <row r="166" spans="1:3" x14ac:dyDescent="0.25">
      <c r="A166" s="976">
        <v>35005</v>
      </c>
      <c r="B166" s="976" t="s">
        <v>956</v>
      </c>
      <c r="C166" s="978">
        <v>600536</v>
      </c>
    </row>
    <row r="167" spans="1:3" x14ac:dyDescent="0.25">
      <c r="A167" s="976">
        <v>35100</v>
      </c>
      <c r="B167" s="976" t="s">
        <v>957</v>
      </c>
      <c r="C167" s="978">
        <v>10152274</v>
      </c>
    </row>
    <row r="168" spans="1:3" x14ac:dyDescent="0.25">
      <c r="A168" s="976">
        <v>35105</v>
      </c>
      <c r="B168" s="976" t="s">
        <v>958</v>
      </c>
      <c r="C168" s="978">
        <v>934987</v>
      </c>
    </row>
    <row r="169" spans="1:3" x14ac:dyDescent="0.25">
      <c r="A169" s="976">
        <v>35106</v>
      </c>
      <c r="B169" s="976" t="s">
        <v>959</v>
      </c>
      <c r="C169" s="978">
        <v>200464</v>
      </c>
    </row>
    <row r="170" spans="1:3" x14ac:dyDescent="0.25">
      <c r="A170" s="976">
        <v>35200</v>
      </c>
      <c r="B170" s="976" t="s">
        <v>960</v>
      </c>
      <c r="C170" s="978">
        <v>497265</v>
      </c>
    </row>
    <row r="171" spans="1:3" x14ac:dyDescent="0.25">
      <c r="A171" s="976">
        <v>35300</v>
      </c>
      <c r="B171" s="976" t="s">
        <v>961</v>
      </c>
      <c r="C171" s="978">
        <v>3113992</v>
      </c>
    </row>
    <row r="172" spans="1:3" x14ac:dyDescent="0.25">
      <c r="A172" s="976">
        <v>35305</v>
      </c>
      <c r="B172" s="976" t="s">
        <v>962</v>
      </c>
      <c r="C172" s="978">
        <v>1204395</v>
      </c>
    </row>
    <row r="173" spans="1:3" x14ac:dyDescent="0.25">
      <c r="A173" s="976">
        <v>35400</v>
      </c>
      <c r="B173" s="976" t="s">
        <v>963</v>
      </c>
      <c r="C173" s="978">
        <v>2510858</v>
      </c>
    </row>
    <row r="174" spans="1:3" x14ac:dyDescent="0.25">
      <c r="A174" s="976">
        <v>35401</v>
      </c>
      <c r="B174" s="976" t="s">
        <v>964</v>
      </c>
      <c r="C174" s="978">
        <v>26319</v>
      </c>
    </row>
    <row r="175" spans="1:3" x14ac:dyDescent="0.25">
      <c r="A175" s="976">
        <v>35405</v>
      </c>
      <c r="B175" s="976" t="s">
        <v>966</v>
      </c>
      <c r="C175" s="978">
        <v>842764</v>
      </c>
    </row>
    <row r="176" spans="1:3" x14ac:dyDescent="0.25">
      <c r="A176" s="976">
        <v>35500</v>
      </c>
      <c r="B176" s="976" t="s">
        <v>967</v>
      </c>
      <c r="C176" s="978">
        <v>3283379</v>
      </c>
    </row>
    <row r="177" spans="1:3" x14ac:dyDescent="0.25">
      <c r="A177" s="976">
        <v>35600</v>
      </c>
      <c r="B177" s="976" t="s">
        <v>968</v>
      </c>
      <c r="C177" s="978">
        <v>1416457</v>
      </c>
    </row>
    <row r="178" spans="1:3" x14ac:dyDescent="0.25">
      <c r="A178" s="976">
        <v>35700</v>
      </c>
      <c r="B178" s="976" t="s">
        <v>969</v>
      </c>
      <c r="C178" s="978">
        <v>782615</v>
      </c>
    </row>
    <row r="179" spans="1:3" x14ac:dyDescent="0.25">
      <c r="A179" s="976">
        <v>35800</v>
      </c>
      <c r="B179" s="976" t="s">
        <v>970</v>
      </c>
      <c r="C179" s="978">
        <v>1186474</v>
      </c>
    </row>
    <row r="180" spans="1:3" x14ac:dyDescent="0.25">
      <c r="A180" s="976">
        <v>35805</v>
      </c>
      <c r="B180" s="976" t="s">
        <v>971</v>
      </c>
      <c r="C180" s="978">
        <v>231674</v>
      </c>
    </row>
    <row r="181" spans="1:3" x14ac:dyDescent="0.25">
      <c r="A181" s="976">
        <v>35900</v>
      </c>
      <c r="B181" s="976" t="s">
        <v>972</v>
      </c>
      <c r="C181" s="978">
        <v>2015604</v>
      </c>
    </row>
    <row r="182" spans="1:3" x14ac:dyDescent="0.25">
      <c r="A182" s="976">
        <v>35905</v>
      </c>
      <c r="B182" s="976" t="s">
        <v>973</v>
      </c>
      <c r="C182" s="978">
        <v>343910</v>
      </c>
    </row>
    <row r="183" spans="1:3" x14ac:dyDescent="0.25">
      <c r="A183" s="976">
        <v>36000</v>
      </c>
      <c r="B183" s="976" t="s">
        <v>974</v>
      </c>
      <c r="C183" s="978">
        <v>45589962</v>
      </c>
    </row>
    <row r="184" spans="1:3" x14ac:dyDescent="0.25">
      <c r="A184" s="976">
        <v>36001</v>
      </c>
      <c r="B184" s="976" t="s">
        <v>975</v>
      </c>
      <c r="C184" s="978">
        <v>25887</v>
      </c>
    </row>
    <row r="185" spans="1:3" x14ac:dyDescent="0.25">
      <c r="A185" s="976">
        <v>36003</v>
      </c>
      <c r="B185" s="976" t="s">
        <v>977</v>
      </c>
      <c r="C185" s="978">
        <v>298440</v>
      </c>
    </row>
    <row r="186" spans="1:3" x14ac:dyDescent="0.25">
      <c r="A186" s="976">
        <v>36004</v>
      </c>
      <c r="B186" s="976" t="s">
        <v>1554</v>
      </c>
      <c r="C186" s="978">
        <v>157722</v>
      </c>
    </row>
    <row r="187" spans="1:3" x14ac:dyDescent="0.25">
      <c r="A187" s="976">
        <v>36005</v>
      </c>
      <c r="B187" s="976" t="s">
        <v>979</v>
      </c>
      <c r="C187" s="978">
        <v>4250772</v>
      </c>
    </row>
    <row r="188" spans="1:3" x14ac:dyDescent="0.25">
      <c r="A188" s="976">
        <v>36006</v>
      </c>
      <c r="B188" s="976" t="s">
        <v>980</v>
      </c>
      <c r="C188" s="978">
        <v>387676</v>
      </c>
    </row>
    <row r="189" spans="1:3" x14ac:dyDescent="0.25">
      <c r="A189" s="976">
        <v>36007</v>
      </c>
      <c r="B189" s="976" t="s">
        <v>981</v>
      </c>
      <c r="C189" s="978">
        <v>142456</v>
      </c>
    </row>
    <row r="190" spans="1:3" x14ac:dyDescent="0.25">
      <c r="A190" s="976">
        <v>36008</v>
      </c>
      <c r="B190" s="976" t="s">
        <v>982</v>
      </c>
      <c r="C190" s="978">
        <v>400654</v>
      </c>
    </row>
    <row r="191" spans="1:3" x14ac:dyDescent="0.25">
      <c r="A191" s="976">
        <v>36009</v>
      </c>
      <c r="B191" s="976" t="s">
        <v>983</v>
      </c>
      <c r="C191" s="978">
        <v>98785</v>
      </c>
    </row>
    <row r="192" spans="1:3" x14ac:dyDescent="0.25">
      <c r="A192" s="976">
        <v>36100</v>
      </c>
      <c r="B192" s="976" t="s">
        <v>984</v>
      </c>
      <c r="C192" s="978">
        <v>654356</v>
      </c>
    </row>
    <row r="193" spans="1:3" x14ac:dyDescent="0.25">
      <c r="A193" s="976">
        <v>36102</v>
      </c>
      <c r="B193" s="976" t="s">
        <v>985</v>
      </c>
      <c r="C193" s="978">
        <v>142086</v>
      </c>
    </row>
    <row r="194" spans="1:3" x14ac:dyDescent="0.25">
      <c r="A194" s="976">
        <v>36105</v>
      </c>
      <c r="B194" s="976" t="s">
        <v>986</v>
      </c>
      <c r="C194" s="978">
        <v>367110</v>
      </c>
    </row>
    <row r="195" spans="1:3" x14ac:dyDescent="0.25">
      <c r="A195" s="976">
        <v>36200</v>
      </c>
      <c r="B195" s="976" t="s">
        <v>987</v>
      </c>
      <c r="C195" s="978">
        <v>1341521</v>
      </c>
    </row>
    <row r="196" spans="1:3" x14ac:dyDescent="0.25">
      <c r="A196" s="976">
        <v>36205</v>
      </c>
      <c r="B196" s="976" t="s">
        <v>988</v>
      </c>
      <c r="C196" s="978">
        <v>236772</v>
      </c>
    </row>
    <row r="197" spans="1:3" x14ac:dyDescent="0.25">
      <c r="A197" s="976">
        <v>36300</v>
      </c>
      <c r="B197" s="976" t="s">
        <v>989</v>
      </c>
      <c r="C197" s="978">
        <v>4024033</v>
      </c>
    </row>
    <row r="198" spans="1:3" x14ac:dyDescent="0.25">
      <c r="A198" s="976">
        <v>36301</v>
      </c>
      <c r="B198" s="976" t="s">
        <v>990</v>
      </c>
      <c r="C198" s="978">
        <v>53432</v>
      </c>
    </row>
    <row r="199" spans="1:3" x14ac:dyDescent="0.25">
      <c r="A199" s="976">
        <v>36302</v>
      </c>
      <c r="B199" s="976" t="s">
        <v>991</v>
      </c>
      <c r="C199" s="978">
        <v>83507</v>
      </c>
    </row>
    <row r="200" spans="1:3" x14ac:dyDescent="0.25">
      <c r="A200" s="976">
        <v>36303</v>
      </c>
      <c r="B200" s="976" t="s">
        <v>1667</v>
      </c>
      <c r="C200" s="978">
        <v>38481</v>
      </c>
    </row>
    <row r="201" spans="1:3" x14ac:dyDescent="0.25">
      <c r="A201" s="976">
        <v>36305</v>
      </c>
      <c r="B201" s="976" t="s">
        <v>992</v>
      </c>
      <c r="C201" s="978">
        <v>887506</v>
      </c>
    </row>
    <row r="202" spans="1:3" x14ac:dyDescent="0.25">
      <c r="A202" s="976">
        <v>36310</v>
      </c>
      <c r="B202" s="976" t="s">
        <v>1555</v>
      </c>
      <c r="C202" s="978">
        <v>28772</v>
      </c>
    </row>
    <row r="203" spans="1:3" x14ac:dyDescent="0.25">
      <c r="A203" s="976">
        <v>36400</v>
      </c>
      <c r="B203" s="976" t="s">
        <v>993</v>
      </c>
      <c r="C203" s="978">
        <v>4735172</v>
      </c>
    </row>
    <row r="204" spans="1:3" x14ac:dyDescent="0.25">
      <c r="A204" s="976">
        <v>36405</v>
      </c>
      <c r="B204" s="976" t="s">
        <v>1556</v>
      </c>
      <c r="C204" s="978">
        <v>776403</v>
      </c>
    </row>
    <row r="205" spans="1:3" x14ac:dyDescent="0.25">
      <c r="A205" s="976">
        <v>36500</v>
      </c>
      <c r="B205" s="976" t="s">
        <v>995</v>
      </c>
      <c r="C205" s="978">
        <v>8751384</v>
      </c>
    </row>
    <row r="206" spans="1:3" x14ac:dyDescent="0.25">
      <c r="A206" s="976">
        <v>36501</v>
      </c>
      <c r="B206" s="976" t="s">
        <v>996</v>
      </c>
      <c r="C206" s="978">
        <v>99615</v>
      </c>
    </row>
    <row r="207" spans="1:3" x14ac:dyDescent="0.25">
      <c r="A207" s="976">
        <v>36502</v>
      </c>
      <c r="B207" s="976" t="s">
        <v>997</v>
      </c>
      <c r="C207" s="978">
        <v>35651</v>
      </c>
    </row>
    <row r="208" spans="1:3" x14ac:dyDescent="0.25">
      <c r="A208" s="976">
        <v>36505</v>
      </c>
      <c r="B208" s="976" t="s">
        <v>998</v>
      </c>
      <c r="C208" s="978">
        <v>1883701</v>
      </c>
    </row>
    <row r="209" spans="1:3" x14ac:dyDescent="0.25">
      <c r="A209" s="976">
        <v>36600</v>
      </c>
      <c r="B209" s="976" t="s">
        <v>999</v>
      </c>
      <c r="C209" s="978">
        <v>721986</v>
      </c>
    </row>
    <row r="210" spans="1:3" x14ac:dyDescent="0.25">
      <c r="A210" s="976">
        <v>36601</v>
      </c>
      <c r="B210" s="976" t="s">
        <v>1000</v>
      </c>
      <c r="C210" s="978">
        <v>308648</v>
      </c>
    </row>
    <row r="211" spans="1:3" x14ac:dyDescent="0.25">
      <c r="A211" s="976">
        <v>36700</v>
      </c>
      <c r="B211" s="976" t="s">
        <v>1001</v>
      </c>
      <c r="C211" s="978">
        <v>7264276</v>
      </c>
    </row>
    <row r="212" spans="1:3" x14ac:dyDescent="0.25">
      <c r="A212" s="976">
        <v>36701</v>
      </c>
      <c r="B212" s="976" t="s">
        <v>1002</v>
      </c>
      <c r="C212" s="978">
        <v>20124</v>
      </c>
    </row>
    <row r="213" spans="1:3" x14ac:dyDescent="0.25">
      <c r="A213" s="976">
        <v>36705</v>
      </c>
      <c r="B213" s="976" t="s">
        <v>1003</v>
      </c>
      <c r="C213" s="978">
        <v>922102</v>
      </c>
    </row>
    <row r="214" spans="1:3" x14ac:dyDescent="0.25">
      <c r="A214" s="976">
        <v>36800</v>
      </c>
      <c r="B214" s="976" t="s">
        <v>1004</v>
      </c>
      <c r="C214" s="978">
        <v>2920222</v>
      </c>
    </row>
    <row r="215" spans="1:3" x14ac:dyDescent="0.25">
      <c r="A215" s="976">
        <v>36802</v>
      </c>
      <c r="B215" s="976" t="s">
        <v>1006</v>
      </c>
      <c r="C215" s="978">
        <v>81062</v>
      </c>
    </row>
    <row r="216" spans="1:3" x14ac:dyDescent="0.25">
      <c r="A216" s="976">
        <v>36810</v>
      </c>
      <c r="B216" s="976" t="s">
        <v>1557</v>
      </c>
      <c r="C216" s="978">
        <v>5227879</v>
      </c>
    </row>
    <row r="217" spans="1:3" x14ac:dyDescent="0.25">
      <c r="A217" s="976">
        <v>36900</v>
      </c>
      <c r="B217" s="976" t="s">
        <v>1008</v>
      </c>
      <c r="C217" s="978">
        <v>538214</v>
      </c>
    </row>
    <row r="218" spans="1:3" x14ac:dyDescent="0.25">
      <c r="A218" s="976">
        <v>36901</v>
      </c>
      <c r="B218" s="976" t="s">
        <v>1009</v>
      </c>
      <c r="C218" s="978">
        <v>184430</v>
      </c>
    </row>
    <row r="219" spans="1:3" x14ac:dyDescent="0.25">
      <c r="A219" s="976">
        <v>36905</v>
      </c>
      <c r="B219" s="976" t="s">
        <v>1010</v>
      </c>
      <c r="C219" s="978">
        <v>207667</v>
      </c>
    </row>
    <row r="220" spans="1:3" x14ac:dyDescent="0.25">
      <c r="A220" s="976">
        <v>37000</v>
      </c>
      <c r="B220" s="976" t="s">
        <v>1011</v>
      </c>
      <c r="C220" s="978">
        <v>1779708</v>
      </c>
    </row>
    <row r="221" spans="1:3" x14ac:dyDescent="0.25">
      <c r="A221" s="976">
        <v>37001</v>
      </c>
      <c r="B221" s="976" t="s">
        <v>1168</v>
      </c>
      <c r="C221" s="978">
        <v>59993</v>
      </c>
    </row>
    <row r="222" spans="1:3" x14ac:dyDescent="0.25">
      <c r="A222" s="976">
        <v>37005</v>
      </c>
      <c r="B222" s="976" t="s">
        <v>1012</v>
      </c>
      <c r="C222" s="978">
        <v>491196</v>
      </c>
    </row>
    <row r="223" spans="1:3" x14ac:dyDescent="0.25">
      <c r="A223" s="976">
        <v>37100</v>
      </c>
      <c r="B223" s="976" t="s">
        <v>1013</v>
      </c>
      <c r="C223" s="978">
        <v>2556957</v>
      </c>
    </row>
    <row r="224" spans="1:3" x14ac:dyDescent="0.25">
      <c r="A224" s="976">
        <v>37200</v>
      </c>
      <c r="B224" s="976" t="s">
        <v>1014</v>
      </c>
      <c r="C224" s="978">
        <v>591113</v>
      </c>
    </row>
    <row r="225" spans="1:3" x14ac:dyDescent="0.25">
      <c r="A225" s="976">
        <v>37300</v>
      </c>
      <c r="B225" s="976" t="s">
        <v>1015</v>
      </c>
      <c r="C225" s="978">
        <v>1511883</v>
      </c>
    </row>
    <row r="226" spans="1:3" x14ac:dyDescent="0.25">
      <c r="A226" s="976">
        <v>37301</v>
      </c>
      <c r="B226" s="976" t="s">
        <v>1016</v>
      </c>
      <c r="C226" s="978">
        <v>165199</v>
      </c>
    </row>
    <row r="227" spans="1:3" x14ac:dyDescent="0.25">
      <c r="A227" s="976">
        <v>37305</v>
      </c>
      <c r="B227" s="976" t="s">
        <v>1017</v>
      </c>
      <c r="C227" s="978">
        <v>522116</v>
      </c>
    </row>
    <row r="228" spans="1:3" x14ac:dyDescent="0.25">
      <c r="A228" s="976">
        <v>37400</v>
      </c>
      <c r="B228" s="976" t="s">
        <v>1018</v>
      </c>
      <c r="C228" s="978">
        <v>6947983</v>
      </c>
    </row>
    <row r="229" spans="1:3" x14ac:dyDescent="0.25">
      <c r="A229" s="976">
        <v>37405</v>
      </c>
      <c r="B229" s="976" t="s">
        <v>1019</v>
      </c>
      <c r="C229" s="978">
        <v>1689937</v>
      </c>
    </row>
    <row r="230" spans="1:3" x14ac:dyDescent="0.25">
      <c r="A230" s="976">
        <v>37500</v>
      </c>
      <c r="B230" s="976" t="s">
        <v>1020</v>
      </c>
      <c r="C230" s="978">
        <v>859967</v>
      </c>
    </row>
    <row r="231" spans="1:3" x14ac:dyDescent="0.25">
      <c r="A231" s="976">
        <v>37600</v>
      </c>
      <c r="B231" s="976" t="s">
        <v>1021</v>
      </c>
      <c r="C231" s="978">
        <v>5009655</v>
      </c>
    </row>
    <row r="232" spans="1:3" x14ac:dyDescent="0.25">
      <c r="A232" s="976">
        <v>37601</v>
      </c>
      <c r="B232" s="976" t="s">
        <v>1022</v>
      </c>
      <c r="C232" s="978">
        <v>175130</v>
      </c>
    </row>
    <row r="233" spans="1:3" x14ac:dyDescent="0.25">
      <c r="A233" s="976">
        <v>37605</v>
      </c>
      <c r="B233" s="976" t="s">
        <v>1023</v>
      </c>
      <c r="C233" s="978">
        <v>628738</v>
      </c>
    </row>
    <row r="234" spans="1:3" x14ac:dyDescent="0.25">
      <c r="A234" s="976">
        <v>37610</v>
      </c>
      <c r="B234" s="976" t="s">
        <v>1024</v>
      </c>
      <c r="C234" s="978">
        <v>1472613</v>
      </c>
    </row>
    <row r="235" spans="1:3" x14ac:dyDescent="0.25">
      <c r="A235" s="976">
        <v>37700</v>
      </c>
      <c r="B235" s="976" t="s">
        <v>1025</v>
      </c>
      <c r="C235" s="978">
        <v>2203504</v>
      </c>
    </row>
    <row r="236" spans="1:3" x14ac:dyDescent="0.25">
      <c r="A236" s="976">
        <v>37705</v>
      </c>
      <c r="B236" s="976" t="s">
        <v>1026</v>
      </c>
      <c r="C236" s="978">
        <v>680424</v>
      </c>
    </row>
    <row r="237" spans="1:3" x14ac:dyDescent="0.25">
      <c r="A237" s="976">
        <v>37800</v>
      </c>
      <c r="B237" s="976" t="s">
        <v>1027</v>
      </c>
      <c r="C237" s="978">
        <v>6874518</v>
      </c>
    </row>
    <row r="238" spans="1:3" x14ac:dyDescent="0.25">
      <c r="A238" s="976">
        <v>37801</v>
      </c>
      <c r="B238" s="976" t="s">
        <v>1028</v>
      </c>
      <c r="C238" s="978">
        <v>41954</v>
      </c>
    </row>
    <row r="239" spans="1:3" x14ac:dyDescent="0.25">
      <c r="A239" s="976">
        <v>37805</v>
      </c>
      <c r="B239" s="976" t="s">
        <v>1029</v>
      </c>
      <c r="C239" s="978">
        <v>561570</v>
      </c>
    </row>
    <row r="240" spans="1:3" x14ac:dyDescent="0.25">
      <c r="A240" s="976">
        <v>37900</v>
      </c>
      <c r="B240" s="976" t="s">
        <v>1030</v>
      </c>
      <c r="C240" s="978">
        <v>3653834</v>
      </c>
    </row>
    <row r="241" spans="1:3" x14ac:dyDescent="0.25">
      <c r="A241" s="976">
        <v>37901</v>
      </c>
      <c r="B241" s="976" t="s">
        <v>1031</v>
      </c>
      <c r="C241" s="978">
        <v>50525</v>
      </c>
    </row>
    <row r="242" spans="1:3" x14ac:dyDescent="0.25">
      <c r="A242" s="976">
        <v>37905</v>
      </c>
      <c r="B242" s="976" t="s">
        <v>1032</v>
      </c>
      <c r="C242" s="978">
        <v>485688</v>
      </c>
    </row>
    <row r="243" spans="1:3" x14ac:dyDescent="0.25">
      <c r="A243" s="976">
        <v>38000</v>
      </c>
      <c r="B243" s="976" t="s">
        <v>1033</v>
      </c>
      <c r="C243" s="978">
        <v>5844900</v>
      </c>
    </row>
    <row r="244" spans="1:3" x14ac:dyDescent="0.25">
      <c r="A244" s="976">
        <v>38005</v>
      </c>
      <c r="B244" s="976" t="s">
        <v>1034</v>
      </c>
      <c r="C244" s="978">
        <v>1170005</v>
      </c>
    </row>
    <row r="245" spans="1:3" x14ac:dyDescent="0.25">
      <c r="A245" s="976">
        <v>38100</v>
      </c>
      <c r="B245" s="976" t="s">
        <v>1035</v>
      </c>
      <c r="C245" s="978">
        <v>2716002</v>
      </c>
    </row>
    <row r="246" spans="1:3" x14ac:dyDescent="0.25">
      <c r="A246" s="976">
        <v>38105</v>
      </c>
      <c r="B246" s="976" t="s">
        <v>1036</v>
      </c>
      <c r="C246" s="978">
        <v>549124</v>
      </c>
    </row>
    <row r="247" spans="1:3" x14ac:dyDescent="0.25">
      <c r="A247" s="976">
        <v>38200</v>
      </c>
      <c r="B247" s="976" t="s">
        <v>1037</v>
      </c>
      <c r="C247" s="978">
        <v>2497736</v>
      </c>
    </row>
    <row r="248" spans="1:3" x14ac:dyDescent="0.25">
      <c r="A248" s="976">
        <v>38205</v>
      </c>
      <c r="B248" s="976" t="s">
        <v>1038</v>
      </c>
      <c r="C248" s="978">
        <v>412565</v>
      </c>
    </row>
    <row r="249" spans="1:3" x14ac:dyDescent="0.25">
      <c r="A249" s="976">
        <v>38210</v>
      </c>
      <c r="B249" s="976" t="s">
        <v>1039</v>
      </c>
      <c r="C249" s="978">
        <v>937828</v>
      </c>
    </row>
    <row r="250" spans="1:3" x14ac:dyDescent="0.25">
      <c r="A250" s="976">
        <v>38300</v>
      </c>
      <c r="B250" s="976" t="s">
        <v>1040</v>
      </c>
      <c r="C250" s="978">
        <v>1996570</v>
      </c>
    </row>
    <row r="251" spans="1:3" x14ac:dyDescent="0.25">
      <c r="A251" s="976">
        <v>38400</v>
      </c>
      <c r="B251" s="976" t="s">
        <v>1041</v>
      </c>
      <c r="C251" s="978">
        <v>2484314</v>
      </c>
    </row>
    <row r="252" spans="1:3" x14ac:dyDescent="0.25">
      <c r="A252" s="976">
        <v>38402</v>
      </c>
      <c r="B252" s="976" t="s">
        <v>1042</v>
      </c>
      <c r="C252" s="978">
        <v>90608</v>
      </c>
    </row>
    <row r="253" spans="1:3" x14ac:dyDescent="0.25">
      <c r="A253" s="976">
        <v>38405</v>
      </c>
      <c r="B253" s="976" t="s">
        <v>1043</v>
      </c>
      <c r="C253" s="978">
        <v>625735</v>
      </c>
    </row>
    <row r="254" spans="1:3" x14ac:dyDescent="0.25">
      <c r="A254" s="976">
        <v>38500</v>
      </c>
      <c r="B254" s="976" t="s">
        <v>1044</v>
      </c>
      <c r="C254" s="978">
        <v>1945416</v>
      </c>
    </row>
    <row r="255" spans="1:3" x14ac:dyDescent="0.25">
      <c r="A255" s="976">
        <v>38600</v>
      </c>
      <c r="B255" s="976" t="s">
        <v>1045</v>
      </c>
      <c r="C255" s="978">
        <v>2470058</v>
      </c>
    </row>
    <row r="256" spans="1:3" x14ac:dyDescent="0.25">
      <c r="A256" s="976">
        <v>38601</v>
      </c>
      <c r="B256" s="976" t="s">
        <v>1046</v>
      </c>
      <c r="C256" s="978">
        <v>26911</v>
      </c>
    </row>
    <row r="257" spans="1:3" x14ac:dyDescent="0.25">
      <c r="A257" s="976">
        <v>38602</v>
      </c>
      <c r="B257" s="976" t="s">
        <v>1047</v>
      </c>
      <c r="C257" s="978">
        <v>175880</v>
      </c>
    </row>
    <row r="258" spans="1:3" x14ac:dyDescent="0.25">
      <c r="A258" s="976">
        <v>38605</v>
      </c>
      <c r="B258" s="976" t="s">
        <v>1048</v>
      </c>
      <c r="C258" s="978">
        <v>694092</v>
      </c>
    </row>
    <row r="259" spans="1:3" x14ac:dyDescent="0.25">
      <c r="A259" s="976">
        <v>38610</v>
      </c>
      <c r="B259" s="976" t="s">
        <v>1049</v>
      </c>
      <c r="C259" s="978">
        <v>525350</v>
      </c>
    </row>
    <row r="260" spans="1:3" x14ac:dyDescent="0.25">
      <c r="A260" s="976">
        <v>38620</v>
      </c>
      <c r="B260" s="976" t="s">
        <v>1050</v>
      </c>
      <c r="C260" s="978">
        <v>414022</v>
      </c>
    </row>
    <row r="261" spans="1:3" x14ac:dyDescent="0.25">
      <c r="A261" s="976">
        <v>38700</v>
      </c>
      <c r="B261" s="976" t="s">
        <v>1051</v>
      </c>
      <c r="C261" s="978">
        <v>711406</v>
      </c>
    </row>
    <row r="262" spans="1:3" x14ac:dyDescent="0.25">
      <c r="A262" s="976">
        <v>38701</v>
      </c>
      <c r="B262" s="976" t="s">
        <v>1052</v>
      </c>
      <c r="C262" s="978">
        <v>47671</v>
      </c>
    </row>
    <row r="263" spans="1:3" x14ac:dyDescent="0.25">
      <c r="A263" s="976">
        <v>38800</v>
      </c>
      <c r="B263" s="976" t="s">
        <v>1053</v>
      </c>
      <c r="C263" s="978">
        <v>1240318</v>
      </c>
    </row>
    <row r="264" spans="1:3" x14ac:dyDescent="0.25">
      <c r="A264" s="976">
        <v>38801</v>
      </c>
      <c r="B264" s="976" t="s">
        <v>1054</v>
      </c>
      <c r="C264" s="978">
        <v>88033</v>
      </c>
    </row>
    <row r="265" spans="1:3" x14ac:dyDescent="0.25">
      <c r="A265" s="976">
        <v>38900</v>
      </c>
      <c r="B265" s="976" t="s">
        <v>1055</v>
      </c>
      <c r="C265" s="978">
        <v>277856</v>
      </c>
    </row>
    <row r="266" spans="1:3" x14ac:dyDescent="0.25">
      <c r="A266" s="976">
        <v>39000</v>
      </c>
      <c r="B266" s="976" t="s">
        <v>1056</v>
      </c>
      <c r="C266" s="978">
        <v>12173982</v>
      </c>
    </row>
    <row r="267" spans="1:3" x14ac:dyDescent="0.25">
      <c r="A267" s="976">
        <v>39100</v>
      </c>
      <c r="B267" s="976" t="s">
        <v>1057</v>
      </c>
      <c r="C267" s="978">
        <v>2059060</v>
      </c>
    </row>
    <row r="268" spans="1:3" x14ac:dyDescent="0.25">
      <c r="A268" s="976">
        <v>39101</v>
      </c>
      <c r="B268" s="976" t="s">
        <v>1058</v>
      </c>
      <c r="C268" s="978">
        <v>164659</v>
      </c>
    </row>
    <row r="269" spans="1:3" x14ac:dyDescent="0.25">
      <c r="A269" s="976">
        <v>39105</v>
      </c>
      <c r="B269" s="976" t="s">
        <v>1059</v>
      </c>
      <c r="C269" s="978">
        <v>818634</v>
      </c>
    </row>
    <row r="270" spans="1:3" x14ac:dyDescent="0.25">
      <c r="A270" s="976">
        <v>39200</v>
      </c>
      <c r="B270" s="976" t="s">
        <v>1558</v>
      </c>
      <c r="C270" s="978">
        <v>50854448</v>
      </c>
    </row>
    <row r="271" spans="1:3" x14ac:dyDescent="0.25">
      <c r="A271" s="976">
        <v>39201</v>
      </c>
      <c r="B271" s="976" t="s">
        <v>1061</v>
      </c>
      <c r="C271" s="978">
        <v>124848</v>
      </c>
    </row>
    <row r="272" spans="1:3" x14ac:dyDescent="0.25">
      <c r="A272" s="976">
        <v>39204</v>
      </c>
      <c r="B272" s="976" t="s">
        <v>1062</v>
      </c>
      <c r="C272" s="978">
        <v>126793</v>
      </c>
    </row>
    <row r="273" spans="1:3" x14ac:dyDescent="0.25">
      <c r="A273" s="976">
        <v>39205</v>
      </c>
      <c r="B273" s="976" t="s">
        <v>1063</v>
      </c>
      <c r="C273" s="978">
        <v>4505955</v>
      </c>
    </row>
    <row r="274" spans="1:3" x14ac:dyDescent="0.25">
      <c r="A274" s="976">
        <v>39208</v>
      </c>
      <c r="B274" s="976" t="s">
        <v>1559</v>
      </c>
      <c r="C274" s="978">
        <v>269680</v>
      </c>
    </row>
    <row r="275" spans="1:3" x14ac:dyDescent="0.25">
      <c r="A275" s="976">
        <v>39209</v>
      </c>
      <c r="B275" s="976" t="s">
        <v>1065</v>
      </c>
      <c r="C275" s="978">
        <v>140661</v>
      </c>
    </row>
    <row r="276" spans="1:3" x14ac:dyDescent="0.25">
      <c r="A276" s="976">
        <v>39300</v>
      </c>
      <c r="B276" s="976" t="s">
        <v>1066</v>
      </c>
      <c r="C276" s="978">
        <v>751062</v>
      </c>
    </row>
    <row r="277" spans="1:3" x14ac:dyDescent="0.25">
      <c r="A277" s="976">
        <v>39301</v>
      </c>
      <c r="B277" s="976" t="s">
        <v>1067</v>
      </c>
      <c r="C277" s="978">
        <v>46898</v>
      </c>
    </row>
    <row r="278" spans="1:3" x14ac:dyDescent="0.25">
      <c r="A278" s="976">
        <v>39400</v>
      </c>
      <c r="B278" s="976" t="s">
        <v>1068</v>
      </c>
      <c r="C278" s="978">
        <v>571664</v>
      </c>
    </row>
    <row r="279" spans="1:3" x14ac:dyDescent="0.25">
      <c r="A279" s="976">
        <v>39401</v>
      </c>
      <c r="B279" s="976" t="s">
        <v>1069</v>
      </c>
      <c r="C279" s="978">
        <v>204108</v>
      </c>
    </row>
    <row r="280" spans="1:3" x14ac:dyDescent="0.25">
      <c r="A280" s="976">
        <v>39500</v>
      </c>
      <c r="B280" s="976" t="s">
        <v>1070</v>
      </c>
      <c r="C280" s="978">
        <v>1597594</v>
      </c>
    </row>
    <row r="281" spans="1:3" x14ac:dyDescent="0.25">
      <c r="A281" s="976">
        <v>39501</v>
      </c>
      <c r="B281" s="976" t="s">
        <v>1071</v>
      </c>
      <c r="C281" s="978">
        <v>50228</v>
      </c>
    </row>
    <row r="282" spans="1:3" x14ac:dyDescent="0.25">
      <c r="A282" s="976">
        <v>39600</v>
      </c>
      <c r="B282" s="976" t="s">
        <v>1072</v>
      </c>
      <c r="C282" s="978">
        <v>5456550</v>
      </c>
    </row>
    <row r="283" spans="1:3" x14ac:dyDescent="0.25">
      <c r="A283" s="976">
        <v>39605</v>
      </c>
      <c r="B283" s="976" t="s">
        <v>1073</v>
      </c>
      <c r="C283" s="978">
        <v>808650</v>
      </c>
    </row>
    <row r="284" spans="1:3" x14ac:dyDescent="0.25">
      <c r="A284" s="976">
        <v>39700</v>
      </c>
      <c r="B284" s="976" t="s">
        <v>1074</v>
      </c>
      <c r="C284" s="978">
        <v>3011694</v>
      </c>
    </row>
    <row r="285" spans="1:3" x14ac:dyDescent="0.25">
      <c r="A285" s="976">
        <v>39703</v>
      </c>
      <c r="B285" s="976" t="s">
        <v>1075</v>
      </c>
      <c r="C285" s="978">
        <v>103237</v>
      </c>
    </row>
    <row r="286" spans="1:3" x14ac:dyDescent="0.25">
      <c r="A286" s="976">
        <v>39705</v>
      </c>
      <c r="B286" s="976" t="s">
        <v>1076</v>
      </c>
      <c r="C286" s="978">
        <v>792758</v>
      </c>
    </row>
    <row r="287" spans="1:3" x14ac:dyDescent="0.25">
      <c r="A287" s="976">
        <v>39800</v>
      </c>
      <c r="B287" s="976" t="s">
        <v>1077</v>
      </c>
      <c r="C287" s="978">
        <v>3511032</v>
      </c>
    </row>
    <row r="288" spans="1:3" x14ac:dyDescent="0.25">
      <c r="A288" s="976">
        <v>39805</v>
      </c>
      <c r="B288" s="976" t="s">
        <v>1078</v>
      </c>
      <c r="C288" s="978">
        <v>444300</v>
      </c>
    </row>
    <row r="289" spans="1:3" x14ac:dyDescent="0.25">
      <c r="A289" s="976">
        <v>39900</v>
      </c>
      <c r="B289" s="976" t="s">
        <v>1079</v>
      </c>
      <c r="C289" s="978">
        <v>1788994</v>
      </c>
    </row>
    <row r="290" spans="1:3" x14ac:dyDescent="0.25">
      <c r="A290" s="979">
        <v>40000</v>
      </c>
      <c r="B290" s="979" t="s">
        <v>1719</v>
      </c>
      <c r="C290" s="978">
        <v>4229297</v>
      </c>
    </row>
    <row r="291" spans="1:3" x14ac:dyDescent="0.25">
      <c r="A291" s="976">
        <v>51000</v>
      </c>
      <c r="B291" s="976" t="s">
        <v>1080</v>
      </c>
      <c r="C291" s="978">
        <v>30722249</v>
      </c>
    </row>
    <row r="292" spans="1:3" x14ac:dyDescent="0.25">
      <c r="A292" s="979">
        <v>60000</v>
      </c>
      <c r="B292" s="979" t="s">
        <v>1720</v>
      </c>
      <c r="C292" s="978">
        <v>210031</v>
      </c>
    </row>
    <row r="293" spans="1:3" x14ac:dyDescent="0.25">
      <c r="A293" s="976">
        <v>90901</v>
      </c>
      <c r="B293" s="976" t="s">
        <v>1721</v>
      </c>
      <c r="C293" s="978">
        <v>775810</v>
      </c>
    </row>
    <row r="294" spans="1:3" x14ac:dyDescent="0.25">
      <c r="A294" s="976">
        <v>91041</v>
      </c>
      <c r="B294" s="976" t="s">
        <v>1722</v>
      </c>
      <c r="C294" s="978">
        <v>123098</v>
      </c>
    </row>
    <row r="295" spans="1:3" x14ac:dyDescent="0.25">
      <c r="A295" s="976">
        <v>91111</v>
      </c>
      <c r="B295" s="976" t="s">
        <v>1723</v>
      </c>
      <c r="C295" s="978">
        <v>84491</v>
      </c>
    </row>
    <row r="296" spans="1:3" x14ac:dyDescent="0.25">
      <c r="A296" s="976">
        <v>91151</v>
      </c>
      <c r="B296" s="976" t="s">
        <v>1724</v>
      </c>
      <c r="C296" s="978">
        <v>199971</v>
      </c>
    </row>
    <row r="297" spans="1:3" x14ac:dyDescent="0.25">
      <c r="A297" s="976">
        <v>98101</v>
      </c>
      <c r="B297" s="976" t="s">
        <v>1725</v>
      </c>
      <c r="C297" s="978">
        <v>951746</v>
      </c>
    </row>
    <row r="298" spans="1:3" x14ac:dyDescent="0.25">
      <c r="A298" s="976">
        <v>98103</v>
      </c>
      <c r="B298" s="976" t="s">
        <v>1726</v>
      </c>
      <c r="C298" s="978">
        <v>204485</v>
      </c>
    </row>
    <row r="299" spans="1:3" x14ac:dyDescent="0.25">
      <c r="A299" s="976">
        <v>98111</v>
      </c>
      <c r="B299" s="976" t="s">
        <v>1727</v>
      </c>
      <c r="C299" s="978">
        <v>339230</v>
      </c>
    </row>
    <row r="300" spans="1:3" x14ac:dyDescent="0.25">
      <c r="A300" s="976">
        <v>98131</v>
      </c>
      <c r="B300" s="976" t="s">
        <v>1728</v>
      </c>
      <c r="C300" s="978">
        <v>93765</v>
      </c>
    </row>
    <row r="301" spans="1:3" x14ac:dyDescent="0.25">
      <c r="A301" s="976">
        <v>99401</v>
      </c>
      <c r="B301" s="976" t="s">
        <v>1729</v>
      </c>
      <c r="C301" s="978">
        <v>328714</v>
      </c>
    </row>
    <row r="302" spans="1:3" x14ac:dyDescent="0.25">
      <c r="A302" s="976">
        <v>99521</v>
      </c>
      <c r="B302" s="976" t="s">
        <v>1730</v>
      </c>
      <c r="C302" s="978">
        <v>139509</v>
      </c>
    </row>
    <row r="303" spans="1:3" x14ac:dyDescent="0.25">
      <c r="A303" s="976">
        <v>99831</v>
      </c>
      <c r="B303" s="976" t="s">
        <v>1731</v>
      </c>
      <c r="C303" s="978">
        <v>22260</v>
      </c>
    </row>
    <row r="304" spans="1:3" x14ac:dyDescent="0.25">
      <c r="A304" s="977" t="s">
        <v>1157</v>
      </c>
      <c r="B304" s="976" t="s">
        <v>1163</v>
      </c>
      <c r="C304" s="978">
        <v>28290</v>
      </c>
    </row>
    <row r="305" spans="2:3" x14ac:dyDescent="0.25">
      <c r="B305" s="981"/>
      <c r="C305" s="982">
        <f>SUM(C2:C303)</f>
        <v>949988633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A2CB4-961E-4122-BA6D-43DB82F07F71}">
  <sheetPr>
    <pageSetUpPr fitToPage="1"/>
  </sheetPr>
  <dimension ref="A1:D433"/>
  <sheetViews>
    <sheetView workbookViewId="0">
      <selection sqref="A1:B2"/>
    </sheetView>
  </sheetViews>
  <sheetFormatPr defaultColWidth="9.140625" defaultRowHeight="15.75" x14ac:dyDescent="0.25"/>
  <cols>
    <col min="1" max="1" width="14.28515625" style="668" customWidth="1"/>
    <col min="2" max="2" width="63.7109375" style="666" customWidth="1"/>
    <col min="3" max="3" width="18.140625" style="972" customWidth="1"/>
    <col min="4" max="4" width="18.140625" style="973" customWidth="1"/>
    <col min="5" max="16384" width="9.140625" style="966"/>
  </cols>
  <sheetData>
    <row r="1" spans="1:4" s="636" customFormat="1" ht="18" customHeight="1" x14ac:dyDescent="0.3">
      <c r="A1" s="1258" t="s">
        <v>1711</v>
      </c>
      <c r="B1" s="1259"/>
      <c r="C1" s="957"/>
      <c r="D1" s="958"/>
    </row>
    <row r="2" spans="1:4" s="636" customFormat="1" ht="18" customHeight="1" x14ac:dyDescent="0.3">
      <c r="A2" s="1260" t="s">
        <v>1712</v>
      </c>
      <c r="B2" s="1260"/>
      <c r="C2" s="959"/>
      <c r="D2" s="960"/>
    </row>
    <row r="3" spans="1:4" s="636" customFormat="1" ht="18" customHeight="1" x14ac:dyDescent="0.25">
      <c r="A3" s="1261" t="s">
        <v>1716</v>
      </c>
      <c r="B3" s="1261"/>
      <c r="C3" s="961"/>
      <c r="D3" s="962"/>
    </row>
    <row r="4" spans="1:4" s="636" customFormat="1" ht="11.25" customHeight="1" x14ac:dyDescent="0.25">
      <c r="A4" s="963"/>
      <c r="B4" s="963"/>
      <c r="C4" s="961"/>
      <c r="D4" s="962"/>
    </row>
    <row r="5" spans="1:4" s="857" customFormat="1" ht="48" customHeight="1" x14ac:dyDescent="0.25">
      <c r="A5" s="897" t="s">
        <v>1207</v>
      </c>
      <c r="B5" s="914" t="s">
        <v>1208</v>
      </c>
      <c r="C5" s="915" t="s">
        <v>1714</v>
      </c>
      <c r="D5" s="917" t="s">
        <v>1715</v>
      </c>
    </row>
    <row r="6" spans="1:4" s="636" customFormat="1" x14ac:dyDescent="0.25">
      <c r="A6" s="872" t="s">
        <v>533</v>
      </c>
      <c r="B6" s="873" t="s">
        <v>1220</v>
      </c>
      <c r="C6" s="964">
        <v>0</v>
      </c>
      <c r="D6" s="965">
        <v>0</v>
      </c>
    </row>
    <row r="7" spans="1:4" x14ac:dyDescent="0.25">
      <c r="A7" s="876">
        <v>10200</v>
      </c>
      <c r="B7" s="873" t="s">
        <v>1221</v>
      </c>
      <c r="C7" s="921">
        <v>151278761</v>
      </c>
      <c r="D7" s="922">
        <v>9.6690000000000003E-4</v>
      </c>
    </row>
    <row r="8" spans="1:4" x14ac:dyDescent="0.25">
      <c r="A8" s="876">
        <v>10400</v>
      </c>
      <c r="B8" s="873" t="s">
        <v>1222</v>
      </c>
      <c r="C8" s="921">
        <v>444204789</v>
      </c>
      <c r="D8" s="922">
        <v>2.8390999999999998E-3</v>
      </c>
    </row>
    <row r="9" spans="1:4" x14ac:dyDescent="0.25">
      <c r="A9" s="876">
        <v>10500</v>
      </c>
      <c r="B9" s="873" t="s">
        <v>1223</v>
      </c>
      <c r="C9" s="921">
        <v>108596288</v>
      </c>
      <c r="D9" s="922">
        <v>6.9410000000000001E-4</v>
      </c>
    </row>
    <row r="10" spans="1:4" x14ac:dyDescent="0.25">
      <c r="A10" s="876">
        <v>10700</v>
      </c>
      <c r="B10" s="873" t="s">
        <v>1224</v>
      </c>
      <c r="C10" s="921">
        <v>632811246</v>
      </c>
      <c r="D10" s="922">
        <v>4.0445999999999998E-3</v>
      </c>
    </row>
    <row r="11" spans="1:4" x14ac:dyDescent="0.25">
      <c r="A11" s="876">
        <v>10800</v>
      </c>
      <c r="B11" s="873" t="s">
        <v>1225</v>
      </c>
      <c r="C11" s="921">
        <v>2759371410</v>
      </c>
      <c r="D11" s="922">
        <v>1.76364E-2</v>
      </c>
    </row>
    <row r="12" spans="1:4" x14ac:dyDescent="0.25">
      <c r="A12" s="876">
        <v>10850</v>
      </c>
      <c r="B12" s="873" t="s">
        <v>1226</v>
      </c>
      <c r="C12" s="921">
        <v>19455667</v>
      </c>
      <c r="D12" s="922">
        <v>1.2430000000000001E-4</v>
      </c>
    </row>
    <row r="13" spans="1:4" x14ac:dyDescent="0.25">
      <c r="A13" s="876">
        <v>10900</v>
      </c>
      <c r="B13" s="873" t="s">
        <v>1227</v>
      </c>
      <c r="C13" s="921">
        <v>241548866</v>
      </c>
      <c r="D13" s="922">
        <v>1.5437999999999999E-3</v>
      </c>
    </row>
    <row r="14" spans="1:4" x14ac:dyDescent="0.25">
      <c r="A14" s="876">
        <v>10910</v>
      </c>
      <c r="B14" s="873" t="s">
        <v>1228</v>
      </c>
      <c r="C14" s="921">
        <v>39725871</v>
      </c>
      <c r="D14" s="922">
        <v>2.5389999999999999E-4</v>
      </c>
    </row>
    <row r="15" spans="1:4" x14ac:dyDescent="0.25">
      <c r="A15" s="876">
        <v>10930</v>
      </c>
      <c r="B15" s="873" t="s">
        <v>1229</v>
      </c>
      <c r="C15" s="921">
        <v>374889331</v>
      </c>
      <c r="D15" s="922">
        <v>2.3961E-3</v>
      </c>
    </row>
    <row r="16" spans="1:4" x14ac:dyDescent="0.25">
      <c r="A16" s="876">
        <v>10940</v>
      </c>
      <c r="B16" s="873" t="s">
        <v>1230</v>
      </c>
      <c r="C16" s="921">
        <v>94706182</v>
      </c>
      <c r="D16" s="922">
        <v>6.0530000000000002E-4</v>
      </c>
    </row>
    <row r="17" spans="1:4" x14ac:dyDescent="0.25">
      <c r="A17" s="876">
        <v>10950</v>
      </c>
      <c r="B17" s="873" t="s">
        <v>1231</v>
      </c>
      <c r="C17" s="921">
        <v>113049748</v>
      </c>
      <c r="D17" s="922">
        <v>7.226E-4</v>
      </c>
    </row>
    <row r="18" spans="1:4" x14ac:dyDescent="0.25">
      <c r="A18" s="876">
        <v>11300</v>
      </c>
      <c r="B18" s="873" t="s">
        <v>1232</v>
      </c>
      <c r="C18" s="921">
        <v>656458330</v>
      </c>
      <c r="D18" s="922">
        <v>4.1957000000000001E-3</v>
      </c>
    </row>
    <row r="19" spans="1:4" x14ac:dyDescent="0.25">
      <c r="A19" s="876">
        <v>11310</v>
      </c>
      <c r="B19" s="873" t="s">
        <v>1233</v>
      </c>
      <c r="C19" s="921">
        <v>69037818</v>
      </c>
      <c r="D19" s="922">
        <v>4.4129999999999999E-4</v>
      </c>
    </row>
    <row r="20" spans="1:4" x14ac:dyDescent="0.25">
      <c r="A20" s="876">
        <v>11600</v>
      </c>
      <c r="B20" s="873" t="s">
        <v>1234</v>
      </c>
      <c r="C20" s="921">
        <v>298796434</v>
      </c>
      <c r="D20" s="922">
        <v>1.9097000000000001E-3</v>
      </c>
    </row>
    <row r="21" spans="1:4" x14ac:dyDescent="0.25">
      <c r="A21" s="876">
        <v>11900</v>
      </c>
      <c r="B21" s="873" t="s">
        <v>1235</v>
      </c>
      <c r="C21" s="921">
        <v>31083791</v>
      </c>
      <c r="D21" s="922">
        <v>1.9870000000000001E-4</v>
      </c>
    </row>
    <row r="22" spans="1:4" x14ac:dyDescent="0.25">
      <c r="A22" s="876">
        <v>12100</v>
      </c>
      <c r="B22" s="873" t="s">
        <v>1236</v>
      </c>
      <c r="C22" s="921">
        <v>38584652</v>
      </c>
      <c r="D22" s="922">
        <v>2.4659999999999998E-4</v>
      </c>
    </row>
    <row r="23" spans="1:4" x14ac:dyDescent="0.25">
      <c r="A23" s="876">
        <v>12150</v>
      </c>
      <c r="B23" s="873" t="s">
        <v>1237</v>
      </c>
      <c r="C23" s="921">
        <v>5747250</v>
      </c>
      <c r="D23" s="922">
        <v>3.6699999999999998E-5</v>
      </c>
    </row>
    <row r="24" spans="1:4" x14ac:dyDescent="0.25">
      <c r="A24" s="876">
        <v>12160</v>
      </c>
      <c r="B24" s="873" t="s">
        <v>1238</v>
      </c>
      <c r="C24" s="921">
        <v>253684136</v>
      </c>
      <c r="D24" s="922">
        <v>1.6214000000000001E-3</v>
      </c>
    </row>
    <row r="25" spans="1:4" x14ac:dyDescent="0.25">
      <c r="A25" s="876">
        <v>12220</v>
      </c>
      <c r="B25" s="873" t="s">
        <v>1239</v>
      </c>
      <c r="C25" s="921">
        <v>6496161497</v>
      </c>
      <c r="D25" s="922">
        <v>4.1519899999999998E-2</v>
      </c>
    </row>
    <row r="26" spans="1:4" x14ac:dyDescent="0.25">
      <c r="A26" s="876">
        <v>12510</v>
      </c>
      <c r="B26" s="873" t="s">
        <v>1240</v>
      </c>
      <c r="C26" s="921">
        <v>711960958</v>
      </c>
      <c r="D26" s="922">
        <v>4.5504999999999999E-3</v>
      </c>
    </row>
    <row r="27" spans="1:4" x14ac:dyDescent="0.25">
      <c r="A27" s="876">
        <v>12600</v>
      </c>
      <c r="B27" s="873" t="s">
        <v>1241</v>
      </c>
      <c r="C27" s="921">
        <v>195618822</v>
      </c>
      <c r="D27" s="922">
        <v>1.2503E-3</v>
      </c>
    </row>
    <row r="28" spans="1:4" x14ac:dyDescent="0.25">
      <c r="A28" s="876">
        <v>12700</v>
      </c>
      <c r="B28" s="873" t="s">
        <v>1242</v>
      </c>
      <c r="C28" s="921">
        <v>149482887</v>
      </c>
      <c r="D28" s="922">
        <v>9.5540000000000002E-4</v>
      </c>
    </row>
    <row r="29" spans="1:4" x14ac:dyDescent="0.25">
      <c r="A29" s="876">
        <v>13500</v>
      </c>
      <c r="B29" s="873" t="s">
        <v>1243</v>
      </c>
      <c r="C29" s="921">
        <v>611760614</v>
      </c>
      <c r="D29" s="922">
        <v>3.9100000000000003E-3</v>
      </c>
    </row>
    <row r="30" spans="1:4" x14ac:dyDescent="0.25">
      <c r="A30" s="876">
        <v>13700</v>
      </c>
      <c r="B30" s="873" t="s">
        <v>1244</v>
      </c>
      <c r="C30" s="921">
        <v>64846348</v>
      </c>
      <c r="D30" s="922">
        <v>4.1449999999999999E-4</v>
      </c>
    </row>
    <row r="31" spans="1:4" x14ac:dyDescent="0.25">
      <c r="A31" s="876">
        <v>14300</v>
      </c>
      <c r="B31" s="873" t="s">
        <v>1245</v>
      </c>
      <c r="C31" s="921">
        <v>224564202</v>
      </c>
      <c r="D31" s="922">
        <v>1.4353E-3</v>
      </c>
    </row>
    <row r="32" spans="1:4" x14ac:dyDescent="0.25">
      <c r="A32" s="876">
        <v>14300.1</v>
      </c>
      <c r="B32" s="873" t="s">
        <v>1246</v>
      </c>
      <c r="C32" s="921">
        <v>26444048</v>
      </c>
      <c r="D32" s="922">
        <v>1.6899999999999999E-4</v>
      </c>
    </row>
    <row r="33" spans="1:4" x14ac:dyDescent="0.25">
      <c r="A33" s="876">
        <v>18400</v>
      </c>
      <c r="B33" s="873" t="s">
        <v>1247</v>
      </c>
      <c r="C33" s="921">
        <v>762848436</v>
      </c>
      <c r="D33" s="922">
        <v>4.8757000000000002E-3</v>
      </c>
    </row>
    <row r="34" spans="1:4" x14ac:dyDescent="0.25">
      <c r="A34" s="876">
        <v>18600</v>
      </c>
      <c r="B34" s="873" t="s">
        <v>1248</v>
      </c>
      <c r="C34" s="921">
        <v>2285169</v>
      </c>
      <c r="D34" s="922">
        <v>1.4600000000000001E-5</v>
      </c>
    </row>
    <row r="35" spans="1:4" x14ac:dyDescent="0.25">
      <c r="A35" s="876">
        <v>18690</v>
      </c>
      <c r="B35" s="873" t="s">
        <v>1249</v>
      </c>
      <c r="C35" s="921">
        <v>0</v>
      </c>
      <c r="D35" s="922">
        <v>0</v>
      </c>
    </row>
    <row r="36" spans="1:4" x14ac:dyDescent="0.25">
      <c r="A36" s="876">
        <v>18740</v>
      </c>
      <c r="B36" s="873" t="s">
        <v>1250</v>
      </c>
      <c r="C36" s="921">
        <v>1057612</v>
      </c>
      <c r="D36" s="922">
        <v>6.8000000000000001E-6</v>
      </c>
    </row>
    <row r="37" spans="1:4" x14ac:dyDescent="0.25">
      <c r="A37" s="876">
        <v>18780</v>
      </c>
      <c r="B37" s="873" t="s">
        <v>1251</v>
      </c>
      <c r="C37" s="921">
        <v>1857368</v>
      </c>
      <c r="D37" s="922">
        <v>1.19E-5</v>
      </c>
    </row>
    <row r="38" spans="1:4" x14ac:dyDescent="0.25">
      <c r="A38" s="876">
        <v>19005</v>
      </c>
      <c r="B38" s="873" t="s">
        <v>1252</v>
      </c>
      <c r="C38" s="921">
        <v>104259328</v>
      </c>
      <c r="D38" s="922">
        <v>6.6640000000000004E-4</v>
      </c>
    </row>
    <row r="39" spans="1:4" x14ac:dyDescent="0.25">
      <c r="A39" s="876">
        <v>19100</v>
      </c>
      <c r="B39" s="873" t="s">
        <v>1253</v>
      </c>
      <c r="C39" s="921">
        <v>9531318506</v>
      </c>
      <c r="D39" s="922">
        <v>6.0918899999999998E-2</v>
      </c>
    </row>
    <row r="40" spans="1:4" x14ac:dyDescent="0.25">
      <c r="A40" s="876">
        <v>20100</v>
      </c>
      <c r="B40" s="873" t="s">
        <v>1254</v>
      </c>
      <c r="C40" s="921">
        <v>1511114283</v>
      </c>
      <c r="D40" s="922">
        <v>9.6582000000000005E-3</v>
      </c>
    </row>
    <row r="41" spans="1:4" x14ac:dyDescent="0.25">
      <c r="A41" s="876">
        <v>20200</v>
      </c>
      <c r="B41" s="873" t="s">
        <v>1255</v>
      </c>
      <c r="C41" s="921">
        <v>212535882</v>
      </c>
      <c r="D41" s="922">
        <v>1.3584000000000001E-3</v>
      </c>
    </row>
    <row r="42" spans="1:4" x14ac:dyDescent="0.25">
      <c r="A42" s="876">
        <v>20300</v>
      </c>
      <c r="B42" s="873" t="s">
        <v>1256</v>
      </c>
      <c r="C42" s="921">
        <v>3565610629</v>
      </c>
      <c r="D42" s="922">
        <v>2.2789400000000001E-2</v>
      </c>
    </row>
    <row r="43" spans="1:4" x14ac:dyDescent="0.25">
      <c r="A43" s="876">
        <v>20400</v>
      </c>
      <c r="B43" s="873" t="s">
        <v>1257</v>
      </c>
      <c r="C43" s="921">
        <v>172168069</v>
      </c>
      <c r="D43" s="922">
        <v>1.1004000000000001E-3</v>
      </c>
    </row>
    <row r="44" spans="1:4" x14ac:dyDescent="0.25">
      <c r="A44" s="876">
        <v>20600</v>
      </c>
      <c r="B44" s="873" t="s">
        <v>1258</v>
      </c>
      <c r="C44" s="921">
        <v>405730168</v>
      </c>
      <c r="D44" s="922">
        <v>2.5931999999999999E-3</v>
      </c>
    </row>
    <row r="45" spans="1:4" x14ac:dyDescent="0.25">
      <c r="A45" s="876">
        <v>20700</v>
      </c>
      <c r="B45" s="873" t="s">
        <v>1259</v>
      </c>
      <c r="C45" s="921">
        <v>853811837</v>
      </c>
      <c r="D45" s="922">
        <v>5.4571000000000003E-3</v>
      </c>
    </row>
    <row r="46" spans="1:4" x14ac:dyDescent="0.25">
      <c r="A46" s="876">
        <v>20800</v>
      </c>
      <c r="B46" s="873" t="s">
        <v>1260</v>
      </c>
      <c r="C46" s="921">
        <v>685096769</v>
      </c>
      <c r="D46" s="922">
        <v>4.3788000000000004E-3</v>
      </c>
    </row>
    <row r="47" spans="1:4" x14ac:dyDescent="0.25">
      <c r="A47" s="876">
        <v>20900</v>
      </c>
      <c r="B47" s="873" t="s">
        <v>1261</v>
      </c>
      <c r="C47" s="921">
        <v>1399944073</v>
      </c>
      <c r="D47" s="922">
        <v>8.9476999999999994E-3</v>
      </c>
    </row>
    <row r="48" spans="1:4" x14ac:dyDescent="0.25">
      <c r="A48" s="876">
        <v>21200</v>
      </c>
      <c r="B48" s="873" t="s">
        <v>1262</v>
      </c>
      <c r="C48" s="921">
        <v>446235487</v>
      </c>
      <c r="D48" s="922">
        <v>2.8521000000000002E-3</v>
      </c>
    </row>
    <row r="49" spans="1:4" x14ac:dyDescent="0.25">
      <c r="A49" s="876">
        <v>21300</v>
      </c>
      <c r="B49" s="873" t="s">
        <v>1263</v>
      </c>
      <c r="C49" s="921">
        <v>5542245011</v>
      </c>
      <c r="D49" s="922">
        <v>3.5423000000000003E-2</v>
      </c>
    </row>
    <row r="50" spans="1:4" x14ac:dyDescent="0.25">
      <c r="A50" s="876">
        <v>21520</v>
      </c>
      <c r="B50" s="873" t="s">
        <v>836</v>
      </c>
      <c r="C50" s="921">
        <v>9951875404</v>
      </c>
      <c r="D50" s="922">
        <v>6.3606899999999994E-2</v>
      </c>
    </row>
    <row r="51" spans="1:4" x14ac:dyDescent="0.25">
      <c r="A51" s="876">
        <v>21525</v>
      </c>
      <c r="B51" s="873" t="s">
        <v>1264</v>
      </c>
      <c r="C51" s="921">
        <v>261341214</v>
      </c>
      <c r="D51" s="922">
        <v>1.6703E-3</v>
      </c>
    </row>
    <row r="52" spans="1:4" x14ac:dyDescent="0.25">
      <c r="A52" s="876">
        <v>21525.1</v>
      </c>
      <c r="B52" s="873" t="s">
        <v>1265</v>
      </c>
      <c r="C52" s="921">
        <v>18275592</v>
      </c>
      <c r="D52" s="922">
        <v>1.1680000000000001E-4</v>
      </c>
    </row>
    <row r="53" spans="1:4" x14ac:dyDescent="0.25">
      <c r="A53" s="876">
        <v>21550</v>
      </c>
      <c r="B53" s="873" t="s">
        <v>1266</v>
      </c>
      <c r="C53" s="921">
        <v>6046851325</v>
      </c>
      <c r="D53" s="922">
        <v>3.8648099999999998E-2</v>
      </c>
    </row>
    <row r="54" spans="1:4" x14ac:dyDescent="0.25">
      <c r="A54" s="876">
        <v>21570</v>
      </c>
      <c r="B54" s="873" t="s">
        <v>1267</v>
      </c>
      <c r="C54" s="921">
        <v>25655364</v>
      </c>
      <c r="D54" s="922">
        <v>1.64E-4</v>
      </c>
    </row>
    <row r="55" spans="1:4" x14ac:dyDescent="0.25">
      <c r="A55" s="876">
        <v>21800</v>
      </c>
      <c r="B55" s="873" t="s">
        <v>1268</v>
      </c>
      <c r="C55" s="921">
        <v>814072661</v>
      </c>
      <c r="D55" s="922">
        <v>5.2031000000000004E-3</v>
      </c>
    </row>
    <row r="56" spans="1:4" x14ac:dyDescent="0.25">
      <c r="A56" s="876">
        <v>21900</v>
      </c>
      <c r="B56" s="873" t="s">
        <v>1269</v>
      </c>
      <c r="C56" s="921">
        <v>474166441</v>
      </c>
      <c r="D56" s="922">
        <v>3.0306E-3</v>
      </c>
    </row>
    <row r="57" spans="1:4" x14ac:dyDescent="0.25">
      <c r="A57" s="876">
        <v>22000</v>
      </c>
      <c r="B57" s="873" t="s">
        <v>1270</v>
      </c>
      <c r="C57" s="921">
        <v>508784706</v>
      </c>
      <c r="D57" s="922">
        <v>3.2518999999999998E-3</v>
      </c>
    </row>
    <row r="58" spans="1:4" x14ac:dyDescent="0.25">
      <c r="A58" s="876">
        <v>23000</v>
      </c>
      <c r="B58" s="873" t="s">
        <v>1271</v>
      </c>
      <c r="C58" s="921">
        <v>372002162</v>
      </c>
      <c r="D58" s="922">
        <v>2.3776000000000001E-3</v>
      </c>
    </row>
    <row r="59" spans="1:4" x14ac:dyDescent="0.25">
      <c r="A59" s="876">
        <v>23100</v>
      </c>
      <c r="B59" s="873" t="s">
        <v>1272</v>
      </c>
      <c r="C59" s="921">
        <v>2152717793</v>
      </c>
      <c r="D59" s="922">
        <v>1.3759E-2</v>
      </c>
    </row>
    <row r="60" spans="1:4" x14ac:dyDescent="0.25">
      <c r="A60" s="876">
        <v>23200</v>
      </c>
      <c r="B60" s="873" t="s">
        <v>1273</v>
      </c>
      <c r="C60" s="921">
        <v>1099391540</v>
      </c>
      <c r="D60" s="922">
        <v>7.0267000000000003E-3</v>
      </c>
    </row>
    <row r="61" spans="1:4" x14ac:dyDescent="0.25">
      <c r="A61" s="876">
        <v>30000</v>
      </c>
      <c r="B61" s="873" t="s">
        <v>1274</v>
      </c>
      <c r="C61" s="921">
        <v>141275940</v>
      </c>
      <c r="D61" s="922">
        <v>9.0300000000000005E-4</v>
      </c>
    </row>
    <row r="62" spans="1:4" x14ac:dyDescent="0.25">
      <c r="A62" s="876">
        <v>30100</v>
      </c>
      <c r="B62" s="873" t="s">
        <v>1275</v>
      </c>
      <c r="C62" s="921">
        <v>1230734158</v>
      </c>
      <c r="D62" s="922">
        <v>7.8662000000000003E-3</v>
      </c>
    </row>
    <row r="63" spans="1:4" x14ac:dyDescent="0.25">
      <c r="A63" s="876">
        <v>30102</v>
      </c>
      <c r="B63" s="873" t="s">
        <v>1276</v>
      </c>
      <c r="C63" s="921">
        <v>22891996</v>
      </c>
      <c r="D63" s="922">
        <v>1.4630000000000001E-4</v>
      </c>
    </row>
    <row r="64" spans="1:4" x14ac:dyDescent="0.25">
      <c r="A64" s="876">
        <v>30103</v>
      </c>
      <c r="B64" s="873" t="s">
        <v>1277</v>
      </c>
      <c r="C64" s="921">
        <v>30824704</v>
      </c>
      <c r="D64" s="922">
        <v>1.9699999999999999E-4</v>
      </c>
    </row>
    <row r="65" spans="1:4" x14ac:dyDescent="0.25">
      <c r="A65" s="876">
        <v>30104</v>
      </c>
      <c r="B65" s="873" t="s">
        <v>1278</v>
      </c>
      <c r="C65" s="921">
        <v>18299991</v>
      </c>
      <c r="D65" s="922">
        <v>1.17E-4</v>
      </c>
    </row>
    <row r="66" spans="1:4" x14ac:dyDescent="0.25">
      <c r="A66" s="876">
        <v>30105</v>
      </c>
      <c r="B66" s="873" t="s">
        <v>1279</v>
      </c>
      <c r="C66" s="921">
        <v>114402694</v>
      </c>
      <c r="D66" s="922">
        <v>7.3119999999999999E-4</v>
      </c>
    </row>
    <row r="67" spans="1:4" x14ac:dyDescent="0.25">
      <c r="A67" s="876">
        <v>30200</v>
      </c>
      <c r="B67" s="873" t="s">
        <v>1280</v>
      </c>
      <c r="C67" s="921">
        <v>281518404</v>
      </c>
      <c r="D67" s="922">
        <v>1.7993E-3</v>
      </c>
    </row>
    <row r="68" spans="1:4" x14ac:dyDescent="0.25">
      <c r="A68" s="876">
        <v>30300</v>
      </c>
      <c r="B68" s="873" t="s">
        <v>1281</v>
      </c>
      <c r="C68" s="921">
        <v>89075107</v>
      </c>
      <c r="D68" s="922">
        <v>5.6930000000000001E-4</v>
      </c>
    </row>
    <row r="69" spans="1:4" x14ac:dyDescent="0.25">
      <c r="A69" s="876">
        <v>30400</v>
      </c>
      <c r="B69" s="873" t="s">
        <v>1282</v>
      </c>
      <c r="C69" s="921">
        <v>168912081</v>
      </c>
      <c r="D69" s="922">
        <v>1.0796E-3</v>
      </c>
    </row>
    <row r="70" spans="1:4" x14ac:dyDescent="0.25">
      <c r="A70" s="876">
        <v>30405</v>
      </c>
      <c r="B70" s="873" t="s">
        <v>1283</v>
      </c>
      <c r="C70" s="921">
        <v>108397593</v>
      </c>
      <c r="D70" s="922">
        <v>6.9280000000000003E-4</v>
      </c>
    </row>
    <row r="71" spans="1:4" x14ac:dyDescent="0.25">
      <c r="A71" s="876">
        <v>30500</v>
      </c>
      <c r="B71" s="873" t="s">
        <v>1284</v>
      </c>
      <c r="C71" s="921">
        <v>181681532</v>
      </c>
      <c r="D71" s="922">
        <v>1.1612E-3</v>
      </c>
    </row>
    <row r="72" spans="1:4" x14ac:dyDescent="0.25">
      <c r="A72" s="876">
        <v>30600</v>
      </c>
      <c r="B72" s="873" t="s">
        <v>1285</v>
      </c>
      <c r="C72" s="921">
        <v>141523147</v>
      </c>
      <c r="D72" s="922">
        <v>9.0450000000000003E-4</v>
      </c>
    </row>
    <row r="73" spans="1:4" x14ac:dyDescent="0.25">
      <c r="A73" s="876">
        <v>30601</v>
      </c>
      <c r="B73" s="873" t="s">
        <v>1286</v>
      </c>
      <c r="C73" s="921">
        <v>2857973</v>
      </c>
      <c r="D73" s="922">
        <v>1.8300000000000001E-5</v>
      </c>
    </row>
    <row r="74" spans="1:4" x14ac:dyDescent="0.25">
      <c r="A74" s="876">
        <v>30700</v>
      </c>
      <c r="B74" s="873" t="s">
        <v>1287</v>
      </c>
      <c r="C74" s="921">
        <v>363350314</v>
      </c>
      <c r="D74" s="922">
        <v>2.3222999999999998E-3</v>
      </c>
    </row>
    <row r="75" spans="1:4" x14ac:dyDescent="0.25">
      <c r="A75" s="876">
        <v>30705</v>
      </c>
      <c r="B75" s="873" t="s">
        <v>1288</v>
      </c>
      <c r="C75" s="921">
        <v>64233805</v>
      </c>
      <c r="D75" s="922">
        <v>4.105E-4</v>
      </c>
    </row>
    <row r="76" spans="1:4" x14ac:dyDescent="0.25">
      <c r="A76" s="876">
        <v>30800</v>
      </c>
      <c r="B76" s="873" t="s">
        <v>1289</v>
      </c>
      <c r="C76" s="921">
        <v>133935453</v>
      </c>
      <c r="D76" s="922">
        <v>8.5599999999999999E-4</v>
      </c>
    </row>
    <row r="77" spans="1:4" x14ac:dyDescent="0.25">
      <c r="A77" s="876">
        <v>30900</v>
      </c>
      <c r="B77" s="873" t="s">
        <v>1290</v>
      </c>
      <c r="C77" s="921">
        <v>226443680</v>
      </c>
      <c r="D77" s="922">
        <v>1.4473000000000001E-3</v>
      </c>
    </row>
    <row r="78" spans="1:4" x14ac:dyDescent="0.25">
      <c r="A78" s="876">
        <v>30905</v>
      </c>
      <c r="B78" s="873" t="s">
        <v>1291</v>
      </c>
      <c r="C78" s="921">
        <v>40532802</v>
      </c>
      <c r="D78" s="922">
        <v>2.5910000000000001E-4</v>
      </c>
    </row>
    <row r="79" spans="1:4" x14ac:dyDescent="0.25">
      <c r="A79" s="876">
        <v>31000</v>
      </c>
      <c r="B79" s="873" t="s">
        <v>1292</v>
      </c>
      <c r="C79" s="921">
        <v>682218461</v>
      </c>
      <c r="D79" s="922">
        <v>4.3604000000000004E-3</v>
      </c>
    </row>
    <row r="80" spans="1:4" x14ac:dyDescent="0.25">
      <c r="A80" s="876">
        <v>31005</v>
      </c>
      <c r="B80" s="873" t="s">
        <v>1293</v>
      </c>
      <c r="C80" s="921">
        <v>60438273</v>
      </c>
      <c r="D80" s="922">
        <v>3.8630000000000001E-4</v>
      </c>
    </row>
    <row r="81" spans="1:4" x14ac:dyDescent="0.25">
      <c r="A81" s="876">
        <v>31100</v>
      </c>
      <c r="B81" s="873" t="s">
        <v>1294</v>
      </c>
      <c r="C81" s="921">
        <v>1413504560</v>
      </c>
      <c r="D81" s="922">
        <v>9.0343000000000003E-3</v>
      </c>
    </row>
    <row r="82" spans="1:4" x14ac:dyDescent="0.25">
      <c r="A82" s="876">
        <v>31101</v>
      </c>
      <c r="B82" s="873" t="s">
        <v>1295</v>
      </c>
      <c r="C82" s="921">
        <v>9676667</v>
      </c>
      <c r="D82" s="922">
        <v>6.1799999999999998E-5</v>
      </c>
    </row>
    <row r="83" spans="1:4" x14ac:dyDescent="0.25">
      <c r="A83" s="876">
        <v>31102</v>
      </c>
      <c r="B83" s="873" t="s">
        <v>1296</v>
      </c>
      <c r="C83" s="921">
        <v>24134167</v>
      </c>
      <c r="D83" s="922">
        <v>1.5430000000000001E-4</v>
      </c>
    </row>
    <row r="84" spans="1:4" x14ac:dyDescent="0.25">
      <c r="A84" s="876">
        <v>31105</v>
      </c>
      <c r="B84" s="873" t="s">
        <v>1297</v>
      </c>
      <c r="C84" s="921">
        <v>203151781</v>
      </c>
      <c r="D84" s="922">
        <v>1.2983999999999999E-3</v>
      </c>
    </row>
    <row r="85" spans="1:4" x14ac:dyDescent="0.25">
      <c r="A85" s="876">
        <v>31110</v>
      </c>
      <c r="B85" s="873" t="s">
        <v>1298</v>
      </c>
      <c r="C85" s="921">
        <v>325165843</v>
      </c>
      <c r="D85" s="922">
        <v>2.0782999999999999E-3</v>
      </c>
    </row>
    <row r="86" spans="1:4" x14ac:dyDescent="0.25">
      <c r="A86" s="876">
        <v>31200</v>
      </c>
      <c r="B86" s="873" t="s">
        <v>1299</v>
      </c>
      <c r="C86" s="921">
        <v>637239465</v>
      </c>
      <c r="D86" s="922">
        <v>4.0729E-3</v>
      </c>
    </row>
    <row r="87" spans="1:4" x14ac:dyDescent="0.25">
      <c r="A87" s="876">
        <v>31205</v>
      </c>
      <c r="B87" s="873" t="s">
        <v>1300</v>
      </c>
      <c r="C87" s="921">
        <v>70722363</v>
      </c>
      <c r="D87" s="922">
        <v>4.5199999999999998E-4</v>
      </c>
    </row>
    <row r="88" spans="1:4" x14ac:dyDescent="0.25">
      <c r="A88" s="876">
        <v>31300</v>
      </c>
      <c r="B88" s="873" t="s">
        <v>1301</v>
      </c>
      <c r="C88" s="921">
        <v>1736483398</v>
      </c>
      <c r="D88" s="922">
        <v>1.10986E-2</v>
      </c>
    </row>
    <row r="89" spans="1:4" x14ac:dyDescent="0.25">
      <c r="A89" s="876">
        <v>31301</v>
      </c>
      <c r="B89" s="873" t="s">
        <v>1302</v>
      </c>
      <c r="C89" s="921">
        <v>39930991</v>
      </c>
      <c r="D89" s="922">
        <v>2.5520000000000002E-4</v>
      </c>
    </row>
    <row r="90" spans="1:4" x14ac:dyDescent="0.25">
      <c r="A90" s="876">
        <v>31320</v>
      </c>
      <c r="B90" s="873" t="s">
        <v>1303</v>
      </c>
      <c r="C90" s="921">
        <v>312044267</v>
      </c>
      <c r="D90" s="922">
        <v>1.9943999999999999E-3</v>
      </c>
    </row>
    <row r="91" spans="1:4" x14ac:dyDescent="0.25">
      <c r="A91" s="876">
        <v>31400</v>
      </c>
      <c r="B91" s="873" t="s">
        <v>1304</v>
      </c>
      <c r="C91" s="921">
        <v>655349365</v>
      </c>
      <c r="D91" s="922">
        <v>4.1885999999999998E-3</v>
      </c>
    </row>
    <row r="92" spans="1:4" x14ac:dyDescent="0.25">
      <c r="A92" s="876">
        <v>31405</v>
      </c>
      <c r="B92" s="873" t="s">
        <v>1305</v>
      </c>
      <c r="C92" s="921">
        <v>121047691</v>
      </c>
      <c r="D92" s="922">
        <v>7.737E-4</v>
      </c>
    </row>
    <row r="93" spans="1:4" x14ac:dyDescent="0.25">
      <c r="A93" s="876">
        <v>31500</v>
      </c>
      <c r="B93" s="873" t="s">
        <v>1306</v>
      </c>
      <c r="C93" s="921">
        <v>99186493</v>
      </c>
      <c r="D93" s="922">
        <v>6.3389999999999996E-4</v>
      </c>
    </row>
    <row r="94" spans="1:4" x14ac:dyDescent="0.25">
      <c r="A94" s="876">
        <v>31600</v>
      </c>
      <c r="B94" s="873" t="s">
        <v>1307</v>
      </c>
      <c r="C94" s="921">
        <v>462866473</v>
      </c>
      <c r="D94" s="922">
        <v>2.9583999999999999E-3</v>
      </c>
    </row>
    <row r="95" spans="1:4" x14ac:dyDescent="0.25">
      <c r="A95" s="876">
        <v>31605</v>
      </c>
      <c r="B95" s="873" t="s">
        <v>1308</v>
      </c>
      <c r="C95" s="921">
        <v>63944609</v>
      </c>
      <c r="D95" s="922">
        <v>4.0870000000000001E-4</v>
      </c>
    </row>
    <row r="96" spans="1:4" x14ac:dyDescent="0.25">
      <c r="A96" s="876">
        <v>31700</v>
      </c>
      <c r="B96" s="873" t="s">
        <v>1309</v>
      </c>
      <c r="C96" s="921">
        <v>138309100</v>
      </c>
      <c r="D96" s="922">
        <v>8.8400000000000002E-4</v>
      </c>
    </row>
    <row r="97" spans="1:4" x14ac:dyDescent="0.25">
      <c r="A97" s="876">
        <v>31800</v>
      </c>
      <c r="B97" s="873" t="s">
        <v>1310</v>
      </c>
      <c r="C97" s="921">
        <v>839765635</v>
      </c>
      <c r="D97" s="922">
        <v>5.3673000000000002E-3</v>
      </c>
    </row>
    <row r="98" spans="1:4" x14ac:dyDescent="0.25">
      <c r="A98" s="876">
        <v>31805</v>
      </c>
      <c r="B98" s="873" t="s">
        <v>1311</v>
      </c>
      <c r="C98" s="921">
        <v>152249588</v>
      </c>
      <c r="D98" s="922">
        <v>9.7309999999999996E-4</v>
      </c>
    </row>
    <row r="99" spans="1:4" x14ac:dyDescent="0.25">
      <c r="A99" s="876">
        <v>31810</v>
      </c>
      <c r="B99" s="873" t="s">
        <v>1312</v>
      </c>
      <c r="C99" s="921">
        <v>218434975</v>
      </c>
      <c r="D99" s="922">
        <v>1.3960999999999999E-3</v>
      </c>
    </row>
    <row r="100" spans="1:4" x14ac:dyDescent="0.25">
      <c r="A100" s="876">
        <v>31820</v>
      </c>
      <c r="B100" s="873" t="s">
        <v>1313</v>
      </c>
      <c r="C100" s="921">
        <v>183085904</v>
      </c>
      <c r="D100" s="922">
        <v>1.1701999999999999E-3</v>
      </c>
    </row>
    <row r="101" spans="1:4" x14ac:dyDescent="0.25">
      <c r="A101" s="876">
        <v>31900</v>
      </c>
      <c r="B101" s="873" t="s">
        <v>1314</v>
      </c>
      <c r="C101" s="921">
        <v>515421728</v>
      </c>
      <c r="D101" s="922">
        <v>3.2943E-3</v>
      </c>
    </row>
    <row r="102" spans="1:4" x14ac:dyDescent="0.25">
      <c r="A102" s="876">
        <v>32000</v>
      </c>
      <c r="B102" s="873" t="s">
        <v>1315</v>
      </c>
      <c r="C102" s="921">
        <v>206627554</v>
      </c>
      <c r="D102" s="922">
        <v>1.3205999999999999E-3</v>
      </c>
    </row>
    <row r="103" spans="1:4" x14ac:dyDescent="0.25">
      <c r="A103" s="876">
        <v>32005</v>
      </c>
      <c r="B103" s="873" t="s">
        <v>1316</v>
      </c>
      <c r="C103" s="921">
        <v>42547699</v>
      </c>
      <c r="D103" s="922">
        <v>2.719E-4</v>
      </c>
    </row>
    <row r="104" spans="1:4" x14ac:dyDescent="0.25">
      <c r="A104" s="876">
        <v>32100</v>
      </c>
      <c r="B104" s="873" t="s">
        <v>1317</v>
      </c>
      <c r="C104" s="921">
        <v>118712258</v>
      </c>
      <c r="D104" s="922">
        <v>7.5869999999999996E-4</v>
      </c>
    </row>
    <row r="105" spans="1:4" x14ac:dyDescent="0.25">
      <c r="A105" s="876">
        <v>32200</v>
      </c>
      <c r="B105" s="873" t="s">
        <v>1318</v>
      </c>
      <c r="C105" s="921">
        <v>76538950</v>
      </c>
      <c r="D105" s="922">
        <v>4.8919999999999996E-4</v>
      </c>
    </row>
    <row r="106" spans="1:4" x14ac:dyDescent="0.25">
      <c r="A106" s="876">
        <v>32300</v>
      </c>
      <c r="B106" s="873" t="s">
        <v>1319</v>
      </c>
      <c r="C106" s="921">
        <v>880730575</v>
      </c>
      <c r="D106" s="922">
        <v>5.6290999999999997E-3</v>
      </c>
    </row>
    <row r="107" spans="1:4" x14ac:dyDescent="0.25">
      <c r="A107" s="876">
        <v>32305</v>
      </c>
      <c r="B107" s="873" t="s">
        <v>1320</v>
      </c>
      <c r="C107" s="921">
        <v>86612331</v>
      </c>
      <c r="D107" s="922">
        <v>5.5360000000000001E-4</v>
      </c>
    </row>
    <row r="108" spans="1:4" x14ac:dyDescent="0.25">
      <c r="A108" s="876">
        <v>32400</v>
      </c>
      <c r="B108" s="873" t="s">
        <v>1321</v>
      </c>
      <c r="C108" s="921">
        <v>311951249</v>
      </c>
      <c r="D108" s="922">
        <v>1.9938E-3</v>
      </c>
    </row>
    <row r="109" spans="1:4" x14ac:dyDescent="0.25">
      <c r="A109" s="876">
        <v>32405</v>
      </c>
      <c r="B109" s="873" t="s">
        <v>1322</v>
      </c>
      <c r="C109" s="921">
        <v>75553413</v>
      </c>
      <c r="D109" s="922">
        <v>4.8289999999999997E-4</v>
      </c>
    </row>
    <row r="110" spans="1:4" x14ac:dyDescent="0.25">
      <c r="A110" s="876">
        <v>32410</v>
      </c>
      <c r="B110" s="873" t="s">
        <v>1323</v>
      </c>
      <c r="C110" s="921">
        <v>120905472</v>
      </c>
      <c r="D110" s="922">
        <v>7.7280000000000003E-4</v>
      </c>
    </row>
    <row r="111" spans="1:4" x14ac:dyDescent="0.25">
      <c r="A111" s="876">
        <v>32500</v>
      </c>
      <c r="B111" s="873" t="s">
        <v>1324</v>
      </c>
      <c r="C111" s="921">
        <v>684661447</v>
      </c>
      <c r="D111" s="922">
        <v>4.3759999999999997E-3</v>
      </c>
    </row>
    <row r="112" spans="1:4" x14ac:dyDescent="0.25">
      <c r="A112" s="876">
        <v>32505</v>
      </c>
      <c r="B112" s="873" t="s">
        <v>1325</v>
      </c>
      <c r="C112" s="921">
        <v>95255477</v>
      </c>
      <c r="D112" s="922">
        <v>6.0880000000000005E-4</v>
      </c>
    </row>
    <row r="113" spans="1:4" x14ac:dyDescent="0.25">
      <c r="A113" s="876">
        <v>32600</v>
      </c>
      <c r="B113" s="873" t="s">
        <v>1326</v>
      </c>
      <c r="C113" s="921">
        <v>2473328961</v>
      </c>
      <c r="D113" s="922">
        <v>1.5808200000000001E-2</v>
      </c>
    </row>
    <row r="114" spans="1:4" x14ac:dyDescent="0.25">
      <c r="A114" s="876">
        <v>32605</v>
      </c>
      <c r="B114" s="873" t="s">
        <v>1327</v>
      </c>
      <c r="C114" s="921">
        <v>330537518</v>
      </c>
      <c r="D114" s="922">
        <v>2.1126000000000001E-3</v>
      </c>
    </row>
    <row r="115" spans="1:4" x14ac:dyDescent="0.25">
      <c r="A115" s="876">
        <v>32700</v>
      </c>
      <c r="B115" s="873" t="s">
        <v>1328</v>
      </c>
      <c r="C115" s="921">
        <v>223812577</v>
      </c>
      <c r="D115" s="922">
        <v>1.4304999999999999E-3</v>
      </c>
    </row>
    <row r="116" spans="1:4" x14ac:dyDescent="0.25">
      <c r="A116" s="876">
        <v>32800</v>
      </c>
      <c r="B116" s="873" t="s">
        <v>1329</v>
      </c>
      <c r="C116" s="921">
        <v>295501634</v>
      </c>
      <c r="D116" s="922">
        <v>1.8887000000000001E-3</v>
      </c>
    </row>
    <row r="117" spans="1:4" x14ac:dyDescent="0.25">
      <c r="A117" s="876">
        <v>32900</v>
      </c>
      <c r="B117" s="873" t="s">
        <v>1330</v>
      </c>
      <c r="C117" s="921">
        <v>938766822</v>
      </c>
      <c r="D117" s="922">
        <v>6.0001000000000004E-3</v>
      </c>
    </row>
    <row r="118" spans="1:4" x14ac:dyDescent="0.25">
      <c r="A118" s="876">
        <v>32901</v>
      </c>
      <c r="B118" s="873" t="s">
        <v>1331</v>
      </c>
      <c r="C118" s="921">
        <v>24622938</v>
      </c>
      <c r="D118" s="922">
        <v>1.574E-4</v>
      </c>
    </row>
    <row r="119" spans="1:4" x14ac:dyDescent="0.25">
      <c r="A119" s="876">
        <v>32905</v>
      </c>
      <c r="B119" s="873" t="s">
        <v>1332</v>
      </c>
      <c r="C119" s="921">
        <v>123483171</v>
      </c>
      <c r="D119" s="922">
        <v>7.8919999999999999E-4</v>
      </c>
    </row>
    <row r="120" spans="1:4" x14ac:dyDescent="0.25">
      <c r="A120" s="876">
        <v>32910</v>
      </c>
      <c r="B120" s="873" t="s">
        <v>1333</v>
      </c>
      <c r="C120" s="921">
        <v>172426108</v>
      </c>
      <c r="D120" s="922">
        <v>1.1021E-3</v>
      </c>
    </row>
    <row r="121" spans="1:4" x14ac:dyDescent="0.25">
      <c r="A121" s="876">
        <v>32920</v>
      </c>
      <c r="B121" s="873" t="s">
        <v>1334</v>
      </c>
      <c r="C121" s="921">
        <v>144454264</v>
      </c>
      <c r="D121" s="922">
        <v>9.2330000000000005E-4</v>
      </c>
    </row>
    <row r="122" spans="1:4" x14ac:dyDescent="0.25">
      <c r="A122" s="876">
        <v>33000</v>
      </c>
      <c r="B122" s="873" t="s">
        <v>1335</v>
      </c>
      <c r="C122" s="921">
        <v>353816489</v>
      </c>
      <c r="D122" s="922">
        <v>2.2614000000000002E-3</v>
      </c>
    </row>
    <row r="123" spans="1:4" x14ac:dyDescent="0.25">
      <c r="A123" s="876">
        <v>33001</v>
      </c>
      <c r="B123" s="873" t="s">
        <v>1336</v>
      </c>
      <c r="C123" s="921">
        <v>10192495</v>
      </c>
      <c r="D123" s="922">
        <v>6.5099999999999997E-5</v>
      </c>
    </row>
    <row r="124" spans="1:4" x14ac:dyDescent="0.25">
      <c r="A124" s="876">
        <v>33027</v>
      </c>
      <c r="B124" s="873" t="s">
        <v>1337</v>
      </c>
      <c r="C124" s="921">
        <v>41259646</v>
      </c>
      <c r="D124" s="922">
        <v>2.6370000000000001E-4</v>
      </c>
    </row>
    <row r="125" spans="1:4" x14ac:dyDescent="0.25">
      <c r="A125" s="876">
        <v>33100</v>
      </c>
      <c r="B125" s="873" t="s">
        <v>1338</v>
      </c>
      <c r="C125" s="921">
        <v>504778102</v>
      </c>
      <c r="D125" s="922">
        <v>3.2263000000000001E-3</v>
      </c>
    </row>
    <row r="126" spans="1:4" x14ac:dyDescent="0.25">
      <c r="A126" s="876">
        <v>33105</v>
      </c>
      <c r="B126" s="873" t="s">
        <v>1339</v>
      </c>
      <c r="C126" s="921">
        <v>53670901</v>
      </c>
      <c r="D126" s="922">
        <v>3.4299999999999999E-4</v>
      </c>
    </row>
    <row r="127" spans="1:4" x14ac:dyDescent="0.25">
      <c r="A127" s="876">
        <v>33200</v>
      </c>
      <c r="B127" s="873" t="s">
        <v>1340</v>
      </c>
      <c r="C127" s="921">
        <v>2233444744</v>
      </c>
      <c r="D127" s="922">
        <v>1.42749E-2</v>
      </c>
    </row>
    <row r="128" spans="1:4" x14ac:dyDescent="0.25">
      <c r="A128" s="876">
        <v>33202</v>
      </c>
      <c r="B128" s="873" t="s">
        <v>1341</v>
      </c>
      <c r="C128" s="921">
        <v>33124983</v>
      </c>
      <c r="D128" s="922">
        <v>2.117E-4</v>
      </c>
    </row>
    <row r="129" spans="1:4" x14ac:dyDescent="0.25">
      <c r="A129" s="876">
        <v>33203</v>
      </c>
      <c r="B129" s="873" t="s">
        <v>1342</v>
      </c>
      <c r="C129" s="921">
        <v>19121235</v>
      </c>
      <c r="D129" s="922">
        <v>1.2219999999999999E-4</v>
      </c>
    </row>
    <row r="130" spans="1:4" x14ac:dyDescent="0.25">
      <c r="A130" s="876">
        <v>33204</v>
      </c>
      <c r="B130" s="873" t="s">
        <v>1343</v>
      </c>
      <c r="C130" s="921">
        <v>69043835</v>
      </c>
      <c r="D130" s="922">
        <v>4.4129999999999999E-4</v>
      </c>
    </row>
    <row r="131" spans="1:4" x14ac:dyDescent="0.25">
      <c r="A131" s="876">
        <v>33205</v>
      </c>
      <c r="B131" s="873" t="s">
        <v>1344</v>
      </c>
      <c r="C131" s="921">
        <v>168660273</v>
      </c>
      <c r="D131" s="922">
        <v>1.078E-3</v>
      </c>
    </row>
    <row r="132" spans="1:4" x14ac:dyDescent="0.25">
      <c r="A132" s="876">
        <v>33206</v>
      </c>
      <c r="B132" s="873" t="s">
        <v>1345</v>
      </c>
      <c r="C132" s="921">
        <v>15787374</v>
      </c>
      <c r="D132" s="922">
        <v>1.009E-4</v>
      </c>
    </row>
    <row r="133" spans="1:4" x14ac:dyDescent="0.25">
      <c r="A133" s="876">
        <v>33207</v>
      </c>
      <c r="B133" s="873" t="s">
        <v>1346</v>
      </c>
      <c r="C133" s="921">
        <v>45271508</v>
      </c>
      <c r="D133" s="922">
        <v>2.8939999999999999E-4</v>
      </c>
    </row>
    <row r="134" spans="1:4" x14ac:dyDescent="0.25">
      <c r="A134" s="876">
        <v>33208</v>
      </c>
      <c r="B134" s="873" t="s">
        <v>1347</v>
      </c>
      <c r="C134" s="921">
        <v>4275286</v>
      </c>
      <c r="D134" s="922">
        <v>2.73E-5</v>
      </c>
    </row>
    <row r="135" spans="1:4" x14ac:dyDescent="0.25">
      <c r="A135" s="876">
        <v>33209</v>
      </c>
      <c r="B135" s="873" t="s">
        <v>1348</v>
      </c>
      <c r="C135" s="921">
        <v>11706424</v>
      </c>
      <c r="D135" s="922">
        <v>7.4800000000000002E-5</v>
      </c>
    </row>
    <row r="136" spans="1:4" x14ac:dyDescent="0.25">
      <c r="A136" s="876">
        <v>33300</v>
      </c>
      <c r="B136" s="873" t="s">
        <v>1349</v>
      </c>
      <c r="C136" s="921">
        <v>322746366</v>
      </c>
      <c r="D136" s="922">
        <v>2.0628000000000001E-3</v>
      </c>
    </row>
    <row r="137" spans="1:4" x14ac:dyDescent="0.25">
      <c r="A137" s="876">
        <v>33305</v>
      </c>
      <c r="B137" s="873" t="s">
        <v>1350</v>
      </c>
      <c r="C137" s="921">
        <v>77126323</v>
      </c>
      <c r="D137" s="922">
        <v>4.929E-4</v>
      </c>
    </row>
    <row r="138" spans="1:4" x14ac:dyDescent="0.25">
      <c r="A138" s="876">
        <v>33400</v>
      </c>
      <c r="B138" s="873" t="s">
        <v>1351</v>
      </c>
      <c r="C138" s="921">
        <v>2915868506</v>
      </c>
      <c r="D138" s="922">
        <v>1.86366E-2</v>
      </c>
    </row>
    <row r="139" spans="1:4" x14ac:dyDescent="0.25">
      <c r="A139" s="876">
        <v>33402</v>
      </c>
      <c r="B139" s="873" t="s">
        <v>1352</v>
      </c>
      <c r="C139" s="921">
        <v>23669587</v>
      </c>
      <c r="D139" s="922">
        <v>1.5129999999999999E-4</v>
      </c>
    </row>
    <row r="140" spans="1:4" x14ac:dyDescent="0.25">
      <c r="A140" s="876">
        <v>33405</v>
      </c>
      <c r="B140" s="873" t="s">
        <v>1353</v>
      </c>
      <c r="C140" s="921">
        <v>260220060</v>
      </c>
      <c r="D140" s="922">
        <v>1.6632000000000001E-3</v>
      </c>
    </row>
    <row r="141" spans="1:4" x14ac:dyDescent="0.25">
      <c r="A141" s="876">
        <v>33500</v>
      </c>
      <c r="B141" s="873" t="s">
        <v>1354</v>
      </c>
      <c r="C141" s="921">
        <v>465280609</v>
      </c>
      <c r="D141" s="922">
        <v>2.9738E-3</v>
      </c>
    </row>
    <row r="142" spans="1:4" x14ac:dyDescent="0.25">
      <c r="A142" s="876">
        <v>33501</v>
      </c>
      <c r="B142" s="873" t="s">
        <v>1355</v>
      </c>
      <c r="C142" s="921">
        <v>11280830</v>
      </c>
      <c r="D142" s="922">
        <v>7.2100000000000004E-5</v>
      </c>
    </row>
    <row r="143" spans="1:4" x14ac:dyDescent="0.25">
      <c r="A143" s="876">
        <v>33600</v>
      </c>
      <c r="B143" s="873" t="s">
        <v>1356</v>
      </c>
      <c r="C143" s="921">
        <v>1559941537</v>
      </c>
      <c r="D143" s="922">
        <v>9.9702999999999996E-3</v>
      </c>
    </row>
    <row r="144" spans="1:4" x14ac:dyDescent="0.25">
      <c r="A144" s="876">
        <v>33605</v>
      </c>
      <c r="B144" s="873" t="s">
        <v>1357</v>
      </c>
      <c r="C144" s="921">
        <v>190110181</v>
      </c>
      <c r="D144" s="922">
        <v>1.2151E-3</v>
      </c>
    </row>
    <row r="145" spans="1:4" x14ac:dyDescent="0.25">
      <c r="A145" s="876">
        <v>33700</v>
      </c>
      <c r="B145" s="873" t="s">
        <v>1358</v>
      </c>
      <c r="C145" s="921">
        <v>105196586</v>
      </c>
      <c r="D145" s="922">
        <v>6.7239999999999997E-4</v>
      </c>
    </row>
    <row r="146" spans="1:4" x14ac:dyDescent="0.25">
      <c r="A146" s="876">
        <v>33800</v>
      </c>
      <c r="B146" s="873" t="s">
        <v>1359</v>
      </c>
      <c r="C146" s="921">
        <v>82353330</v>
      </c>
      <c r="D146" s="922">
        <v>5.264E-4</v>
      </c>
    </row>
    <row r="147" spans="1:4" x14ac:dyDescent="0.25">
      <c r="A147" s="876">
        <v>33900</v>
      </c>
      <c r="B147" s="873" t="s">
        <v>1360</v>
      </c>
      <c r="C147" s="921">
        <v>413739515</v>
      </c>
      <c r="D147" s="922">
        <v>2.6443999999999999E-3</v>
      </c>
    </row>
    <row r="148" spans="1:4" x14ac:dyDescent="0.25">
      <c r="A148" s="876">
        <v>34000</v>
      </c>
      <c r="B148" s="873" t="s">
        <v>1361</v>
      </c>
      <c r="C148" s="921">
        <v>187350601</v>
      </c>
      <c r="D148" s="922">
        <v>1.1973999999999999E-3</v>
      </c>
    </row>
    <row r="149" spans="1:4" x14ac:dyDescent="0.25">
      <c r="A149" s="876">
        <v>34100</v>
      </c>
      <c r="B149" s="873" t="s">
        <v>1362</v>
      </c>
      <c r="C149" s="921">
        <v>4180586492</v>
      </c>
      <c r="D149" s="922">
        <v>2.6720000000000001E-2</v>
      </c>
    </row>
    <row r="150" spans="1:4" x14ac:dyDescent="0.25">
      <c r="A150" s="876">
        <v>34105</v>
      </c>
      <c r="B150" s="873" t="s">
        <v>1363</v>
      </c>
      <c r="C150" s="921">
        <v>331042130</v>
      </c>
      <c r="D150" s="922">
        <v>2.1158000000000001E-3</v>
      </c>
    </row>
    <row r="151" spans="1:4" x14ac:dyDescent="0.25">
      <c r="A151" s="876">
        <v>34200</v>
      </c>
      <c r="B151" s="873" t="s">
        <v>1364</v>
      </c>
      <c r="C151" s="921">
        <v>136988910</v>
      </c>
      <c r="D151" s="922">
        <v>8.7560000000000003E-4</v>
      </c>
    </row>
    <row r="152" spans="1:4" x14ac:dyDescent="0.25">
      <c r="A152" s="876">
        <v>34205</v>
      </c>
      <c r="B152" s="873" t="s">
        <v>1365</v>
      </c>
      <c r="C152" s="921">
        <v>59354324</v>
      </c>
      <c r="D152" s="922">
        <v>3.7940000000000001E-4</v>
      </c>
    </row>
    <row r="153" spans="1:4" x14ac:dyDescent="0.25">
      <c r="A153" s="876">
        <v>34220</v>
      </c>
      <c r="B153" s="873" t="s">
        <v>1366</v>
      </c>
      <c r="C153" s="921">
        <v>154400989</v>
      </c>
      <c r="D153" s="922">
        <v>9.8679999999999992E-4</v>
      </c>
    </row>
    <row r="154" spans="1:4" x14ac:dyDescent="0.25">
      <c r="A154" s="876">
        <v>34230</v>
      </c>
      <c r="B154" s="873" t="s">
        <v>1367</v>
      </c>
      <c r="C154" s="921">
        <v>64704791</v>
      </c>
      <c r="D154" s="922">
        <v>4.1360000000000002E-4</v>
      </c>
    </row>
    <row r="155" spans="1:4" x14ac:dyDescent="0.25">
      <c r="A155" s="876">
        <v>34300</v>
      </c>
      <c r="B155" s="873" t="s">
        <v>1368</v>
      </c>
      <c r="C155" s="921">
        <v>1016262088</v>
      </c>
      <c r="D155" s="922">
        <v>6.4954000000000001E-3</v>
      </c>
    </row>
    <row r="156" spans="1:4" x14ac:dyDescent="0.25">
      <c r="A156" s="876">
        <v>34400</v>
      </c>
      <c r="B156" s="873" t="s">
        <v>1369</v>
      </c>
      <c r="C156" s="921">
        <v>406606608</v>
      </c>
      <c r="D156" s="922">
        <v>2.5988000000000001E-3</v>
      </c>
    </row>
    <row r="157" spans="1:4" x14ac:dyDescent="0.25">
      <c r="A157" s="876">
        <v>34405</v>
      </c>
      <c r="B157" s="873" t="s">
        <v>1370</v>
      </c>
      <c r="C157" s="921">
        <v>77137380</v>
      </c>
      <c r="D157" s="922">
        <v>4.9299999999999995E-4</v>
      </c>
    </row>
    <row r="158" spans="1:4" x14ac:dyDescent="0.25">
      <c r="A158" s="876">
        <v>34500</v>
      </c>
      <c r="B158" s="873" t="s">
        <v>1371</v>
      </c>
      <c r="C158" s="921">
        <v>717772500</v>
      </c>
      <c r="D158" s="922">
        <v>4.5875999999999998E-3</v>
      </c>
    </row>
    <row r="159" spans="1:4" x14ac:dyDescent="0.25">
      <c r="A159" s="876">
        <v>34501</v>
      </c>
      <c r="B159" s="873" t="s">
        <v>1372</v>
      </c>
      <c r="C159" s="921">
        <v>8831288</v>
      </c>
      <c r="D159" s="922">
        <v>5.6400000000000002E-5</v>
      </c>
    </row>
    <row r="160" spans="1:4" x14ac:dyDescent="0.25">
      <c r="A160" s="876">
        <v>34505</v>
      </c>
      <c r="B160" s="873" t="s">
        <v>1373</v>
      </c>
      <c r="C160" s="921">
        <v>82253880</v>
      </c>
      <c r="D160" s="922">
        <v>5.2570000000000004E-4</v>
      </c>
    </row>
    <row r="161" spans="1:4" x14ac:dyDescent="0.25">
      <c r="A161" s="876">
        <v>34600</v>
      </c>
      <c r="B161" s="873" t="s">
        <v>1374</v>
      </c>
      <c r="C161" s="921">
        <v>166533863</v>
      </c>
      <c r="D161" s="922">
        <v>1.0644000000000001E-3</v>
      </c>
    </row>
    <row r="162" spans="1:4" x14ac:dyDescent="0.25">
      <c r="A162" s="876">
        <v>34605</v>
      </c>
      <c r="B162" s="873" t="s">
        <v>1375</v>
      </c>
      <c r="C162" s="921">
        <v>35567399</v>
      </c>
      <c r="D162" s="922">
        <v>2.273E-4</v>
      </c>
    </row>
    <row r="163" spans="1:4" x14ac:dyDescent="0.25">
      <c r="A163" s="876">
        <v>34700</v>
      </c>
      <c r="B163" s="873" t="s">
        <v>1376</v>
      </c>
      <c r="C163" s="921">
        <v>468833784</v>
      </c>
      <c r="D163" s="922">
        <v>2.9965E-3</v>
      </c>
    </row>
    <row r="164" spans="1:4" x14ac:dyDescent="0.25">
      <c r="A164" s="876">
        <v>34800</v>
      </c>
      <c r="B164" s="873" t="s">
        <v>1377</v>
      </c>
      <c r="C164" s="921">
        <v>52054197</v>
      </c>
      <c r="D164" s="922">
        <v>3.3270000000000001E-4</v>
      </c>
    </row>
    <row r="165" spans="1:4" x14ac:dyDescent="0.25">
      <c r="A165" s="876">
        <v>34900</v>
      </c>
      <c r="B165" s="873" t="s">
        <v>1378</v>
      </c>
      <c r="C165" s="921">
        <v>1037451535</v>
      </c>
      <c r="D165" s="922">
        <v>6.6308000000000001E-3</v>
      </c>
    </row>
    <row r="166" spans="1:4" x14ac:dyDescent="0.25">
      <c r="A166" s="876">
        <v>34901</v>
      </c>
      <c r="B166" s="873" t="s">
        <v>1379</v>
      </c>
      <c r="C166" s="921">
        <v>27170832</v>
      </c>
      <c r="D166" s="922">
        <v>1.7369999999999999E-4</v>
      </c>
    </row>
    <row r="167" spans="1:4" x14ac:dyDescent="0.25">
      <c r="A167" s="876">
        <v>34903</v>
      </c>
      <c r="B167" s="873" t="s">
        <v>1380</v>
      </c>
      <c r="C167" s="921">
        <v>1641420</v>
      </c>
      <c r="D167" s="922">
        <v>1.0499999999999999E-5</v>
      </c>
    </row>
    <row r="168" spans="1:4" x14ac:dyDescent="0.25">
      <c r="A168" s="876">
        <v>34905</v>
      </c>
      <c r="B168" s="873" t="s">
        <v>1381</v>
      </c>
      <c r="C168" s="921">
        <v>92800926</v>
      </c>
      <c r="D168" s="922">
        <v>5.9310000000000005E-4</v>
      </c>
    </row>
    <row r="169" spans="1:4" x14ac:dyDescent="0.25">
      <c r="A169" s="876">
        <v>34910</v>
      </c>
      <c r="B169" s="873" t="s">
        <v>1382</v>
      </c>
      <c r="C169" s="921">
        <v>323938000</v>
      </c>
      <c r="D169" s="922">
        <v>2.0704E-3</v>
      </c>
    </row>
    <row r="170" spans="1:4" x14ac:dyDescent="0.25">
      <c r="A170" s="876">
        <v>35000</v>
      </c>
      <c r="B170" s="873" t="s">
        <v>1383</v>
      </c>
      <c r="C170" s="921">
        <v>213002176</v>
      </c>
      <c r="D170" s="922">
        <v>1.3614E-3</v>
      </c>
    </row>
    <row r="171" spans="1:4" x14ac:dyDescent="0.25">
      <c r="A171" s="876">
        <v>35005</v>
      </c>
      <c r="B171" s="873" t="s">
        <v>1384</v>
      </c>
      <c r="C171" s="921">
        <v>91529288</v>
      </c>
      <c r="D171" s="922">
        <v>5.8500000000000002E-4</v>
      </c>
    </row>
    <row r="172" spans="1:4" x14ac:dyDescent="0.25">
      <c r="A172" s="876">
        <v>35100</v>
      </c>
      <c r="B172" s="873" t="s">
        <v>1385</v>
      </c>
      <c r="C172" s="921">
        <v>1890946605</v>
      </c>
      <c r="D172" s="922">
        <v>1.20859E-2</v>
      </c>
    </row>
    <row r="173" spans="1:4" x14ac:dyDescent="0.25">
      <c r="A173" s="876">
        <v>35105</v>
      </c>
      <c r="B173" s="873" t="s">
        <v>1386</v>
      </c>
      <c r="C173" s="921">
        <v>154544427</v>
      </c>
      <c r="D173" s="922">
        <v>9.8780000000000005E-4</v>
      </c>
    </row>
    <row r="174" spans="1:4" x14ac:dyDescent="0.25">
      <c r="A174" s="876">
        <v>35106</v>
      </c>
      <c r="B174" s="873" t="s">
        <v>1387</v>
      </c>
      <c r="C174" s="921">
        <v>42331905</v>
      </c>
      <c r="D174" s="922">
        <v>2.7060000000000002E-4</v>
      </c>
    </row>
    <row r="175" spans="1:4" x14ac:dyDescent="0.25">
      <c r="A175" s="876">
        <v>35200</v>
      </c>
      <c r="B175" s="873" t="s">
        <v>1388</v>
      </c>
      <c r="C175" s="921">
        <v>78892792</v>
      </c>
      <c r="D175" s="922">
        <v>5.042E-4</v>
      </c>
    </row>
    <row r="176" spans="1:4" x14ac:dyDescent="0.25">
      <c r="A176" s="876">
        <v>35300</v>
      </c>
      <c r="B176" s="873" t="s">
        <v>1389</v>
      </c>
      <c r="C176" s="921">
        <v>571647141</v>
      </c>
      <c r="D176" s="922">
        <v>3.6537000000000002E-3</v>
      </c>
    </row>
    <row r="177" spans="1:4" x14ac:dyDescent="0.25">
      <c r="A177" s="876">
        <v>35305</v>
      </c>
      <c r="B177" s="873" t="s">
        <v>1390</v>
      </c>
      <c r="C177" s="921">
        <v>190873140</v>
      </c>
      <c r="D177" s="922">
        <v>1.2199999999999999E-3</v>
      </c>
    </row>
    <row r="178" spans="1:4" x14ac:dyDescent="0.25">
      <c r="A178" s="876">
        <v>35400</v>
      </c>
      <c r="B178" s="873" t="s">
        <v>1391</v>
      </c>
      <c r="C178" s="921">
        <v>422578905</v>
      </c>
      <c r="D178" s="922">
        <v>2.7009E-3</v>
      </c>
    </row>
    <row r="179" spans="1:4" x14ac:dyDescent="0.25">
      <c r="A179" s="876">
        <v>35401</v>
      </c>
      <c r="B179" s="873" t="s">
        <v>1392</v>
      </c>
      <c r="C179" s="921">
        <v>5196207</v>
      </c>
      <c r="D179" s="922">
        <v>3.3200000000000001E-5</v>
      </c>
    </row>
    <row r="180" spans="1:4" x14ac:dyDescent="0.25">
      <c r="A180" s="876">
        <v>35405</v>
      </c>
      <c r="B180" s="873" t="s">
        <v>1393</v>
      </c>
      <c r="C180" s="921">
        <v>137219572</v>
      </c>
      <c r="D180" s="922">
        <v>8.7699999999999996E-4</v>
      </c>
    </row>
    <row r="181" spans="1:4" x14ac:dyDescent="0.25">
      <c r="A181" s="876">
        <v>35500</v>
      </c>
      <c r="B181" s="873" t="s">
        <v>1394</v>
      </c>
      <c r="C181" s="921">
        <v>590158266</v>
      </c>
      <c r="D181" s="922">
        <v>3.7720000000000002E-3</v>
      </c>
    </row>
    <row r="182" spans="1:4" x14ac:dyDescent="0.25">
      <c r="A182" s="876">
        <v>35600</v>
      </c>
      <c r="B182" s="873" t="s">
        <v>1395</v>
      </c>
      <c r="C182" s="921">
        <v>243649196</v>
      </c>
      <c r="D182" s="922">
        <v>1.5573E-3</v>
      </c>
    </row>
    <row r="183" spans="1:4" x14ac:dyDescent="0.25">
      <c r="A183" s="876">
        <v>35700</v>
      </c>
      <c r="B183" s="873" t="s">
        <v>1396</v>
      </c>
      <c r="C183" s="921">
        <v>136256598</v>
      </c>
      <c r="D183" s="922">
        <v>8.7089999999999997E-4</v>
      </c>
    </row>
    <row r="184" spans="1:4" x14ac:dyDescent="0.25">
      <c r="A184" s="876">
        <v>35800</v>
      </c>
      <c r="B184" s="873" t="s">
        <v>1397</v>
      </c>
      <c r="C184" s="921">
        <v>188044309</v>
      </c>
      <c r="D184" s="922">
        <v>1.2019000000000001E-3</v>
      </c>
    </row>
    <row r="185" spans="1:4" x14ac:dyDescent="0.25">
      <c r="A185" s="876">
        <v>35805</v>
      </c>
      <c r="B185" s="873" t="s">
        <v>1398</v>
      </c>
      <c r="C185" s="921">
        <v>29906666</v>
      </c>
      <c r="D185" s="922">
        <v>1.9110000000000001E-4</v>
      </c>
    </row>
    <row r="186" spans="1:4" x14ac:dyDescent="0.25">
      <c r="A186" s="876">
        <v>35900</v>
      </c>
      <c r="B186" s="873" t="s">
        <v>1399</v>
      </c>
      <c r="C186" s="921">
        <v>350516560</v>
      </c>
      <c r="D186" s="922">
        <v>2.2403000000000002E-3</v>
      </c>
    </row>
    <row r="187" spans="1:4" x14ac:dyDescent="0.25">
      <c r="A187" s="876">
        <v>35905</v>
      </c>
      <c r="B187" s="873" t="s">
        <v>1400</v>
      </c>
      <c r="C187" s="921">
        <v>45489076</v>
      </c>
      <c r="D187" s="922">
        <v>2.9070000000000002E-4</v>
      </c>
    </row>
    <row r="188" spans="1:4" x14ac:dyDescent="0.25">
      <c r="A188" s="876">
        <v>36000</v>
      </c>
      <c r="B188" s="873" t="s">
        <v>1401</v>
      </c>
      <c r="C188" s="921">
        <v>8568380147</v>
      </c>
      <c r="D188" s="922">
        <v>5.4764399999999998E-2</v>
      </c>
    </row>
    <row r="189" spans="1:4" x14ac:dyDescent="0.25">
      <c r="A189" s="876">
        <v>36001</v>
      </c>
      <c r="B189" s="873" t="s">
        <v>1402</v>
      </c>
      <c r="C189" s="921">
        <v>4639917</v>
      </c>
      <c r="D189" s="922">
        <v>2.97E-5</v>
      </c>
    </row>
    <row r="190" spans="1:4" x14ac:dyDescent="0.25">
      <c r="A190" s="876">
        <v>36002</v>
      </c>
      <c r="B190" s="873" t="s">
        <v>1403</v>
      </c>
      <c r="C190" s="921">
        <v>3434256</v>
      </c>
      <c r="D190" s="922">
        <v>2.19E-5</v>
      </c>
    </row>
    <row r="191" spans="1:4" x14ac:dyDescent="0.25">
      <c r="A191" s="876">
        <v>36003</v>
      </c>
      <c r="B191" s="873" t="s">
        <v>1404</v>
      </c>
      <c r="C191" s="921">
        <v>62611596</v>
      </c>
      <c r="D191" s="922">
        <v>4.0020000000000002E-4</v>
      </c>
    </row>
    <row r="192" spans="1:4" x14ac:dyDescent="0.25">
      <c r="A192" s="876">
        <v>36004</v>
      </c>
      <c r="B192" s="873" t="s">
        <v>1405</v>
      </c>
      <c r="C192" s="921">
        <v>34219616</v>
      </c>
      <c r="D192" s="922">
        <v>2.187E-4</v>
      </c>
    </row>
    <row r="193" spans="1:4" x14ac:dyDescent="0.25">
      <c r="A193" s="876">
        <v>36005</v>
      </c>
      <c r="B193" s="873" t="s">
        <v>1406</v>
      </c>
      <c r="C193" s="921">
        <v>652226187</v>
      </c>
      <c r="D193" s="922">
        <v>4.1687E-3</v>
      </c>
    </row>
    <row r="194" spans="1:4" x14ac:dyDescent="0.25">
      <c r="A194" s="876">
        <v>36006</v>
      </c>
      <c r="B194" s="873" t="s">
        <v>1407</v>
      </c>
      <c r="C194" s="921">
        <v>81602574</v>
      </c>
      <c r="D194" s="922">
        <v>5.2159999999999999E-4</v>
      </c>
    </row>
    <row r="195" spans="1:4" x14ac:dyDescent="0.25">
      <c r="A195" s="876">
        <v>36007</v>
      </c>
      <c r="B195" s="873" t="s">
        <v>1408</v>
      </c>
      <c r="C195" s="921">
        <v>26977628</v>
      </c>
      <c r="D195" s="922">
        <v>1.7239999999999999E-4</v>
      </c>
    </row>
    <row r="196" spans="1:4" x14ac:dyDescent="0.25">
      <c r="A196" s="876">
        <v>36008</v>
      </c>
      <c r="B196" s="873" t="s">
        <v>1409</v>
      </c>
      <c r="C196" s="921">
        <v>90249012</v>
      </c>
      <c r="D196" s="922">
        <v>5.7680000000000003E-4</v>
      </c>
    </row>
    <row r="197" spans="1:4" x14ac:dyDescent="0.25">
      <c r="A197" s="876">
        <v>36009</v>
      </c>
      <c r="B197" s="873" t="s">
        <v>1410</v>
      </c>
      <c r="C197" s="921">
        <v>25786149</v>
      </c>
      <c r="D197" s="922">
        <v>1.6479999999999999E-4</v>
      </c>
    </row>
    <row r="198" spans="1:4" x14ac:dyDescent="0.25">
      <c r="A198" s="876">
        <v>36100</v>
      </c>
      <c r="B198" s="873" t="s">
        <v>1411</v>
      </c>
      <c r="C198" s="921">
        <v>105965622</v>
      </c>
      <c r="D198" s="922">
        <v>6.7730000000000004E-4</v>
      </c>
    </row>
    <row r="199" spans="1:4" x14ac:dyDescent="0.25">
      <c r="A199" s="876">
        <v>36102</v>
      </c>
      <c r="B199" s="873" t="s">
        <v>1412</v>
      </c>
      <c r="C199" s="921">
        <v>29173295</v>
      </c>
      <c r="D199" s="922">
        <v>1.8650000000000001E-4</v>
      </c>
    </row>
    <row r="200" spans="1:4" x14ac:dyDescent="0.25">
      <c r="A200" s="876">
        <v>36105</v>
      </c>
      <c r="B200" s="873" t="s">
        <v>1413</v>
      </c>
      <c r="C200" s="921">
        <v>53378362</v>
      </c>
      <c r="D200" s="922">
        <v>3.412E-4</v>
      </c>
    </row>
    <row r="201" spans="1:4" x14ac:dyDescent="0.25">
      <c r="A201" s="876">
        <v>36200</v>
      </c>
      <c r="B201" s="873" t="s">
        <v>1414</v>
      </c>
      <c r="C201" s="921">
        <v>224656708</v>
      </c>
      <c r="D201" s="922">
        <v>1.4358999999999999E-3</v>
      </c>
    </row>
    <row r="202" spans="1:4" x14ac:dyDescent="0.25">
      <c r="A202" s="876">
        <v>36205</v>
      </c>
      <c r="B202" s="873" t="s">
        <v>1415</v>
      </c>
      <c r="C202" s="921">
        <v>35794754</v>
      </c>
      <c r="D202" s="922">
        <v>2.288E-4</v>
      </c>
    </row>
    <row r="203" spans="1:4" x14ac:dyDescent="0.25">
      <c r="A203" s="876">
        <v>36300</v>
      </c>
      <c r="B203" s="873" t="s">
        <v>1416</v>
      </c>
      <c r="C203" s="921">
        <v>723496251</v>
      </c>
      <c r="D203" s="922">
        <v>4.6242000000000002E-3</v>
      </c>
    </row>
    <row r="204" spans="1:4" x14ac:dyDescent="0.25">
      <c r="A204" s="876">
        <v>36301</v>
      </c>
      <c r="B204" s="873" t="s">
        <v>1417</v>
      </c>
      <c r="C204" s="921">
        <v>11090826</v>
      </c>
      <c r="D204" s="922">
        <v>7.0900000000000002E-5</v>
      </c>
    </row>
    <row r="205" spans="1:4" x14ac:dyDescent="0.25">
      <c r="A205" s="876">
        <v>36302</v>
      </c>
      <c r="B205" s="873" t="s">
        <v>1418</v>
      </c>
      <c r="C205" s="921">
        <v>18052503</v>
      </c>
      <c r="D205" s="922">
        <v>1.154E-4</v>
      </c>
    </row>
    <row r="206" spans="1:4" x14ac:dyDescent="0.25">
      <c r="A206" s="876">
        <v>36305</v>
      </c>
      <c r="B206" s="873" t="s">
        <v>1419</v>
      </c>
      <c r="C206" s="921">
        <v>126803019</v>
      </c>
      <c r="D206" s="922">
        <v>8.1050000000000002E-4</v>
      </c>
    </row>
    <row r="207" spans="1:4" x14ac:dyDescent="0.25">
      <c r="A207" s="876">
        <v>36310</v>
      </c>
      <c r="B207" s="873" t="s">
        <v>1420</v>
      </c>
      <c r="C207" s="921">
        <v>3833983</v>
      </c>
      <c r="D207" s="922">
        <v>2.4499999999999999E-5</v>
      </c>
    </row>
    <row r="208" spans="1:4" x14ac:dyDescent="0.25">
      <c r="A208" s="876">
        <v>36400</v>
      </c>
      <c r="B208" s="873" t="s">
        <v>1421</v>
      </c>
      <c r="C208" s="921">
        <v>796964766</v>
      </c>
      <c r="D208" s="922">
        <v>5.0937999999999999E-3</v>
      </c>
    </row>
    <row r="209" spans="1:4" x14ac:dyDescent="0.25">
      <c r="A209" s="876">
        <v>36405</v>
      </c>
      <c r="B209" s="873" t="s">
        <v>1422</v>
      </c>
      <c r="C209" s="921">
        <v>123206477</v>
      </c>
      <c r="D209" s="922">
        <v>7.8750000000000001E-4</v>
      </c>
    </row>
    <row r="210" spans="1:4" x14ac:dyDescent="0.25">
      <c r="A210" s="876">
        <v>36500</v>
      </c>
      <c r="B210" s="873" t="s">
        <v>1423</v>
      </c>
      <c r="C210" s="921">
        <v>1542361989</v>
      </c>
      <c r="D210" s="922">
        <v>9.8578999999999993E-3</v>
      </c>
    </row>
    <row r="211" spans="1:4" x14ac:dyDescent="0.25">
      <c r="A211" s="876">
        <v>36501</v>
      </c>
      <c r="B211" s="873" t="s">
        <v>1424</v>
      </c>
      <c r="C211" s="921">
        <v>19152612</v>
      </c>
      <c r="D211" s="922">
        <v>1.2239999999999999E-4</v>
      </c>
    </row>
    <row r="212" spans="1:4" x14ac:dyDescent="0.25">
      <c r="A212" s="876">
        <v>36502</v>
      </c>
      <c r="B212" s="873" t="s">
        <v>1425</v>
      </c>
      <c r="C212" s="921">
        <v>7035695</v>
      </c>
      <c r="D212" s="922">
        <v>4.5000000000000003E-5</v>
      </c>
    </row>
    <row r="213" spans="1:4" x14ac:dyDescent="0.25">
      <c r="A213" s="876">
        <v>36505</v>
      </c>
      <c r="B213" s="873" t="s">
        <v>1426</v>
      </c>
      <c r="C213" s="921">
        <v>291502967</v>
      </c>
      <c r="D213" s="922">
        <v>1.8630999999999999E-3</v>
      </c>
    </row>
    <row r="214" spans="1:4" x14ac:dyDescent="0.25">
      <c r="A214" s="876">
        <v>36600</v>
      </c>
      <c r="B214" s="873" t="s">
        <v>1427</v>
      </c>
      <c r="C214" s="921">
        <v>107714504</v>
      </c>
      <c r="D214" s="922">
        <v>6.8849999999999998E-4</v>
      </c>
    </row>
    <row r="215" spans="1:4" x14ac:dyDescent="0.25">
      <c r="A215" s="876">
        <v>36601</v>
      </c>
      <c r="B215" s="873" t="s">
        <v>1428</v>
      </c>
      <c r="C215" s="921">
        <v>66010033</v>
      </c>
      <c r="D215" s="922">
        <v>4.2190000000000001E-4</v>
      </c>
    </row>
    <row r="216" spans="1:4" x14ac:dyDescent="0.25">
      <c r="A216" s="876">
        <v>36700</v>
      </c>
      <c r="B216" s="873" t="s">
        <v>1429</v>
      </c>
      <c r="C216" s="921">
        <v>1301036490</v>
      </c>
      <c r="D216" s="922">
        <v>8.3155E-3</v>
      </c>
    </row>
    <row r="217" spans="1:4" x14ac:dyDescent="0.25">
      <c r="A217" s="876">
        <v>36701</v>
      </c>
      <c r="B217" s="873" t="s">
        <v>1430</v>
      </c>
      <c r="C217" s="921">
        <v>4866684</v>
      </c>
      <c r="D217" s="922">
        <v>3.1099999999999997E-5</v>
      </c>
    </row>
    <row r="218" spans="1:4" x14ac:dyDescent="0.25">
      <c r="A218" s="876">
        <v>36705</v>
      </c>
      <c r="B218" s="873" t="s">
        <v>1431</v>
      </c>
      <c r="C218" s="921">
        <v>139912201</v>
      </c>
      <c r="D218" s="922">
        <v>8.9420000000000005E-4</v>
      </c>
    </row>
    <row r="219" spans="1:4" x14ac:dyDescent="0.25">
      <c r="A219" s="876">
        <v>36800</v>
      </c>
      <c r="B219" s="873" t="s">
        <v>1432</v>
      </c>
      <c r="C219" s="921">
        <v>501232894</v>
      </c>
      <c r="D219" s="922">
        <v>3.2036E-3</v>
      </c>
    </row>
    <row r="220" spans="1:4" x14ac:dyDescent="0.25">
      <c r="A220" s="876">
        <v>36802</v>
      </c>
      <c r="B220" s="873" t="s">
        <v>1433</v>
      </c>
      <c r="C220" s="921">
        <v>17711342</v>
      </c>
      <c r="D220" s="922">
        <v>1.132E-4</v>
      </c>
    </row>
    <row r="221" spans="1:4" x14ac:dyDescent="0.25">
      <c r="A221" s="876">
        <v>36810</v>
      </c>
      <c r="B221" s="873" t="s">
        <v>1434</v>
      </c>
      <c r="C221" s="921">
        <v>949490652</v>
      </c>
      <c r="D221" s="922">
        <v>6.0686000000000004E-3</v>
      </c>
    </row>
    <row r="222" spans="1:4" x14ac:dyDescent="0.25">
      <c r="A222" s="876">
        <v>36900</v>
      </c>
      <c r="B222" s="873" t="s">
        <v>1435</v>
      </c>
      <c r="C222" s="921">
        <v>92701481</v>
      </c>
      <c r="D222" s="922">
        <v>5.9250000000000004E-4</v>
      </c>
    </row>
    <row r="223" spans="1:4" x14ac:dyDescent="0.25">
      <c r="A223" s="876">
        <v>36901</v>
      </c>
      <c r="B223" s="873" t="s">
        <v>1436</v>
      </c>
      <c r="C223" s="921">
        <v>31549565</v>
      </c>
      <c r="D223" s="922">
        <v>2.0159999999999999E-4</v>
      </c>
    </row>
    <row r="224" spans="1:4" x14ac:dyDescent="0.25">
      <c r="A224" s="876">
        <v>36905</v>
      </c>
      <c r="B224" s="873" t="s">
        <v>1437</v>
      </c>
      <c r="C224" s="921">
        <v>28647119</v>
      </c>
      <c r="D224" s="922">
        <v>1.8310000000000001E-4</v>
      </c>
    </row>
    <row r="225" spans="1:4" x14ac:dyDescent="0.25">
      <c r="A225" s="876">
        <v>37000</v>
      </c>
      <c r="B225" s="873" t="s">
        <v>1438</v>
      </c>
      <c r="C225" s="921">
        <v>308087008</v>
      </c>
      <c r="D225" s="922">
        <v>1.9691000000000001E-3</v>
      </c>
    </row>
    <row r="226" spans="1:4" x14ac:dyDescent="0.25">
      <c r="A226" s="876">
        <v>37001</v>
      </c>
      <c r="B226" s="873" t="s">
        <v>1168</v>
      </c>
      <c r="C226" s="921">
        <v>12119479</v>
      </c>
      <c r="D226" s="922">
        <v>7.75E-5</v>
      </c>
    </row>
    <row r="227" spans="1:4" x14ac:dyDescent="0.25">
      <c r="A227" s="876">
        <v>37005</v>
      </c>
      <c r="B227" s="873" t="s">
        <v>1439</v>
      </c>
      <c r="C227" s="921">
        <v>69477271</v>
      </c>
      <c r="D227" s="922">
        <v>4.4410000000000001E-4</v>
      </c>
    </row>
    <row r="228" spans="1:4" x14ac:dyDescent="0.25">
      <c r="A228" s="876">
        <v>37100</v>
      </c>
      <c r="B228" s="873" t="s">
        <v>1440</v>
      </c>
      <c r="C228" s="921">
        <v>459404254</v>
      </c>
      <c r="D228" s="922">
        <v>2.9363000000000002E-3</v>
      </c>
    </row>
    <row r="229" spans="1:4" x14ac:dyDescent="0.25">
      <c r="A229" s="876">
        <v>37200</v>
      </c>
      <c r="B229" s="873" t="s">
        <v>1441</v>
      </c>
      <c r="C229" s="921">
        <v>103116025</v>
      </c>
      <c r="D229" s="922">
        <v>6.5910000000000003E-4</v>
      </c>
    </row>
    <row r="230" spans="1:4" x14ac:dyDescent="0.25">
      <c r="A230" s="876">
        <v>37300</v>
      </c>
      <c r="B230" s="873" t="s">
        <v>1442</v>
      </c>
      <c r="C230" s="921">
        <v>272406630</v>
      </c>
      <c r="D230" s="922">
        <v>1.7411E-3</v>
      </c>
    </row>
    <row r="231" spans="1:4" x14ac:dyDescent="0.25">
      <c r="A231" s="876">
        <v>37301</v>
      </c>
      <c r="B231" s="873" t="s">
        <v>1443</v>
      </c>
      <c r="C231" s="921">
        <v>31030166</v>
      </c>
      <c r="D231" s="922">
        <v>1.983E-4</v>
      </c>
    </row>
    <row r="232" spans="1:4" x14ac:dyDescent="0.25">
      <c r="A232" s="876">
        <v>37305</v>
      </c>
      <c r="B232" s="873" t="s">
        <v>1444</v>
      </c>
      <c r="C232" s="921">
        <v>65074502</v>
      </c>
      <c r="D232" s="922">
        <v>4.1590000000000003E-4</v>
      </c>
    </row>
    <row r="233" spans="1:4" x14ac:dyDescent="0.25">
      <c r="A233" s="876">
        <v>37400</v>
      </c>
      <c r="B233" s="873" t="s">
        <v>1445</v>
      </c>
      <c r="C233" s="921">
        <v>1293479587</v>
      </c>
      <c r="D233" s="922">
        <v>8.2672000000000006E-3</v>
      </c>
    </row>
    <row r="234" spans="1:4" x14ac:dyDescent="0.25">
      <c r="A234" s="876">
        <v>37405</v>
      </c>
      <c r="B234" s="873" t="s">
        <v>1446</v>
      </c>
      <c r="C234" s="921">
        <v>271266907</v>
      </c>
      <c r="D234" s="922">
        <v>1.7338E-3</v>
      </c>
    </row>
    <row r="235" spans="1:4" x14ac:dyDescent="0.25">
      <c r="A235" s="876">
        <v>37500</v>
      </c>
      <c r="B235" s="873" t="s">
        <v>1447</v>
      </c>
      <c r="C235" s="921">
        <v>143937323</v>
      </c>
      <c r="D235" s="922">
        <v>9.2000000000000003E-4</v>
      </c>
    </row>
    <row r="236" spans="1:4" x14ac:dyDescent="0.25">
      <c r="A236" s="876">
        <v>37600</v>
      </c>
      <c r="B236" s="873" t="s">
        <v>1448</v>
      </c>
      <c r="C236" s="921">
        <v>903023772</v>
      </c>
      <c r="D236" s="922">
        <v>5.7716E-3</v>
      </c>
    </row>
    <row r="237" spans="1:4" x14ac:dyDescent="0.25">
      <c r="A237" s="876">
        <v>37601</v>
      </c>
      <c r="B237" s="873" t="s">
        <v>1449</v>
      </c>
      <c r="C237" s="921">
        <v>36767887</v>
      </c>
      <c r="D237" s="922">
        <v>2.3499999999999999E-4</v>
      </c>
    </row>
    <row r="238" spans="1:4" x14ac:dyDescent="0.25">
      <c r="A238" s="876">
        <v>37605</v>
      </c>
      <c r="B238" s="873" t="s">
        <v>1450</v>
      </c>
      <c r="C238" s="921">
        <v>102819741</v>
      </c>
      <c r="D238" s="922">
        <v>6.5720000000000004E-4</v>
      </c>
    </row>
    <row r="239" spans="1:4" x14ac:dyDescent="0.25">
      <c r="A239" s="876">
        <v>37610</v>
      </c>
      <c r="B239" s="873" t="s">
        <v>1451</v>
      </c>
      <c r="C239" s="921">
        <v>283491867</v>
      </c>
      <c r="D239" s="922">
        <v>1.8119E-3</v>
      </c>
    </row>
    <row r="240" spans="1:4" x14ac:dyDescent="0.25">
      <c r="A240" s="876">
        <v>37700</v>
      </c>
      <c r="B240" s="873" t="s">
        <v>1452</v>
      </c>
      <c r="C240" s="921">
        <v>378798590</v>
      </c>
      <c r="D240" s="922">
        <v>2.4210999999999998E-3</v>
      </c>
    </row>
    <row r="241" spans="1:4" x14ac:dyDescent="0.25">
      <c r="A241" s="876">
        <v>37705</v>
      </c>
      <c r="B241" s="873" t="s">
        <v>1453</v>
      </c>
      <c r="C241" s="921">
        <v>104863737</v>
      </c>
      <c r="D241" s="922">
        <v>6.7020000000000003E-4</v>
      </c>
    </row>
    <row r="242" spans="1:4" x14ac:dyDescent="0.25">
      <c r="A242" s="876">
        <v>37800</v>
      </c>
      <c r="B242" s="873" t="s">
        <v>1454</v>
      </c>
      <c r="C242" s="921">
        <v>1162520811</v>
      </c>
      <c r="D242" s="922">
        <v>7.4301999999999997E-3</v>
      </c>
    </row>
    <row r="243" spans="1:4" x14ac:dyDescent="0.25">
      <c r="A243" s="876">
        <v>37801</v>
      </c>
      <c r="B243" s="873" t="s">
        <v>1455</v>
      </c>
      <c r="C243" s="921">
        <v>9363469</v>
      </c>
      <c r="D243" s="922">
        <v>5.9799999999999997E-5</v>
      </c>
    </row>
    <row r="244" spans="1:4" x14ac:dyDescent="0.25">
      <c r="A244" s="876">
        <v>37805</v>
      </c>
      <c r="B244" s="873" t="s">
        <v>1456</v>
      </c>
      <c r="C244" s="921">
        <v>83306658</v>
      </c>
      <c r="D244" s="922">
        <v>5.3249999999999999E-4</v>
      </c>
    </row>
    <row r="245" spans="1:4" x14ac:dyDescent="0.25">
      <c r="A245" s="876">
        <v>37900</v>
      </c>
      <c r="B245" s="873" t="s">
        <v>1457</v>
      </c>
      <c r="C245" s="921">
        <v>620087214</v>
      </c>
      <c r="D245" s="922">
        <v>3.9633000000000003E-3</v>
      </c>
    </row>
    <row r="246" spans="1:4" x14ac:dyDescent="0.25">
      <c r="A246" s="876">
        <v>37901</v>
      </c>
      <c r="B246" s="873" t="s">
        <v>1458</v>
      </c>
      <c r="C246" s="921">
        <v>8541701</v>
      </c>
      <c r="D246" s="922">
        <v>5.4599999999999999E-5</v>
      </c>
    </row>
    <row r="247" spans="1:4" x14ac:dyDescent="0.25">
      <c r="A247" s="876">
        <v>37905</v>
      </c>
      <c r="B247" s="873" t="s">
        <v>1459</v>
      </c>
      <c r="C247" s="921">
        <v>69309993</v>
      </c>
      <c r="D247" s="922">
        <v>4.4299999999999998E-4</v>
      </c>
    </row>
    <row r="248" spans="1:4" x14ac:dyDescent="0.25">
      <c r="A248" s="876">
        <v>38000</v>
      </c>
      <c r="B248" s="873" t="s">
        <v>1460</v>
      </c>
      <c r="C248" s="921">
        <v>1022596537</v>
      </c>
      <c r="D248" s="922">
        <v>6.5358999999999999E-3</v>
      </c>
    </row>
    <row r="249" spans="1:4" x14ac:dyDescent="0.25">
      <c r="A249" s="876">
        <v>38005</v>
      </c>
      <c r="B249" s="873" t="s">
        <v>1461</v>
      </c>
      <c r="C249" s="921">
        <v>183100319</v>
      </c>
      <c r="D249" s="922">
        <v>1.1703E-3</v>
      </c>
    </row>
    <row r="250" spans="1:4" x14ac:dyDescent="0.25">
      <c r="A250" s="876">
        <v>38100</v>
      </c>
      <c r="B250" s="873" t="s">
        <v>1462</v>
      </c>
      <c r="C250" s="921">
        <v>450185539</v>
      </c>
      <c r="D250" s="922">
        <v>2.8773000000000002E-3</v>
      </c>
    </row>
    <row r="251" spans="1:4" x14ac:dyDescent="0.25">
      <c r="A251" s="876">
        <v>38105</v>
      </c>
      <c r="B251" s="873" t="s">
        <v>1463</v>
      </c>
      <c r="C251" s="921">
        <v>86375399</v>
      </c>
      <c r="D251" s="922">
        <v>5.5210000000000003E-4</v>
      </c>
    </row>
    <row r="252" spans="1:4" x14ac:dyDescent="0.25">
      <c r="A252" s="876">
        <v>38200</v>
      </c>
      <c r="B252" s="873" t="s">
        <v>1464</v>
      </c>
      <c r="C252" s="921">
        <v>440038814</v>
      </c>
      <c r="D252" s="922">
        <v>2.8124999999999999E-3</v>
      </c>
    </row>
    <row r="253" spans="1:4" x14ac:dyDescent="0.25">
      <c r="A253" s="876">
        <v>38205</v>
      </c>
      <c r="B253" s="873" t="s">
        <v>1465</v>
      </c>
      <c r="C253" s="921">
        <v>58145105</v>
      </c>
      <c r="D253" s="922">
        <v>3.7159999999999998E-4</v>
      </c>
    </row>
    <row r="254" spans="1:4" x14ac:dyDescent="0.25">
      <c r="A254" s="876">
        <v>38210</v>
      </c>
      <c r="B254" s="873" t="s">
        <v>1466</v>
      </c>
      <c r="C254" s="921">
        <v>166544970</v>
      </c>
      <c r="D254" s="922">
        <v>1.0644999999999999E-3</v>
      </c>
    </row>
    <row r="255" spans="1:4" x14ac:dyDescent="0.25">
      <c r="A255" s="876">
        <v>38300</v>
      </c>
      <c r="B255" s="873" t="s">
        <v>1467</v>
      </c>
      <c r="C255" s="921">
        <v>345579071</v>
      </c>
      <c r="D255" s="922">
        <v>2.2087999999999999E-3</v>
      </c>
    </row>
    <row r="256" spans="1:4" x14ac:dyDescent="0.25">
      <c r="A256" s="876">
        <v>38400</v>
      </c>
      <c r="B256" s="873" t="s">
        <v>1468</v>
      </c>
      <c r="C256" s="921">
        <v>428548752</v>
      </c>
      <c r="D256" s="922">
        <v>2.7390000000000001E-3</v>
      </c>
    </row>
    <row r="257" spans="1:4" x14ac:dyDescent="0.25">
      <c r="A257" s="876">
        <v>38402</v>
      </c>
      <c r="B257" s="873" t="s">
        <v>1469</v>
      </c>
      <c r="C257" s="921">
        <v>17561382</v>
      </c>
      <c r="D257" s="922">
        <v>1.122E-4</v>
      </c>
    </row>
    <row r="258" spans="1:4" x14ac:dyDescent="0.25">
      <c r="A258" s="876">
        <v>38405</v>
      </c>
      <c r="B258" s="873" t="s">
        <v>1470</v>
      </c>
      <c r="C258" s="921">
        <v>102752608</v>
      </c>
      <c r="D258" s="922">
        <v>6.5669999999999997E-4</v>
      </c>
    </row>
    <row r="259" spans="1:4" x14ac:dyDescent="0.25">
      <c r="A259" s="876">
        <v>38500</v>
      </c>
      <c r="B259" s="873" t="s">
        <v>1471</v>
      </c>
      <c r="C259" s="921">
        <v>334819336</v>
      </c>
      <c r="D259" s="922">
        <v>2.14E-3</v>
      </c>
    </row>
    <row r="260" spans="1:4" x14ac:dyDescent="0.25">
      <c r="A260" s="876">
        <v>38600</v>
      </c>
      <c r="B260" s="873" t="s">
        <v>1472</v>
      </c>
      <c r="C260" s="921">
        <v>430976423</v>
      </c>
      <c r="D260" s="922">
        <v>2.7545999999999998E-3</v>
      </c>
    </row>
    <row r="261" spans="1:4" x14ac:dyDescent="0.25">
      <c r="A261" s="876">
        <v>38601</v>
      </c>
      <c r="B261" s="873" t="s">
        <v>1473</v>
      </c>
      <c r="C261" s="921">
        <v>5026514</v>
      </c>
      <c r="D261" s="922">
        <v>3.2100000000000001E-5</v>
      </c>
    </row>
    <row r="262" spans="1:4" x14ac:dyDescent="0.25">
      <c r="A262" s="876">
        <v>38602</v>
      </c>
      <c r="B262" s="873" t="s">
        <v>1474</v>
      </c>
      <c r="C262" s="921">
        <v>31261728</v>
      </c>
      <c r="D262" s="922">
        <v>1.998E-4</v>
      </c>
    </row>
    <row r="263" spans="1:4" x14ac:dyDescent="0.25">
      <c r="A263" s="876">
        <v>38605</v>
      </c>
      <c r="B263" s="873" t="s">
        <v>1475</v>
      </c>
      <c r="C263" s="921">
        <v>110444436</v>
      </c>
      <c r="D263" s="922">
        <v>7.0589999999999997E-4</v>
      </c>
    </row>
    <row r="264" spans="1:4" x14ac:dyDescent="0.25">
      <c r="A264" s="876">
        <v>38610</v>
      </c>
      <c r="B264" s="873" t="s">
        <v>1476</v>
      </c>
      <c r="C264" s="921">
        <v>85805779</v>
      </c>
      <c r="D264" s="922">
        <v>5.4839999999999999E-4</v>
      </c>
    </row>
    <row r="265" spans="1:4" x14ac:dyDescent="0.25">
      <c r="A265" s="876">
        <v>38620</v>
      </c>
      <c r="B265" s="873" t="s">
        <v>1477</v>
      </c>
      <c r="C265" s="921">
        <v>69893424</v>
      </c>
      <c r="D265" s="922">
        <v>4.4670000000000002E-4</v>
      </c>
    </row>
    <row r="266" spans="1:4" x14ac:dyDescent="0.25">
      <c r="A266" s="876">
        <v>38700</v>
      </c>
      <c r="B266" s="873" t="s">
        <v>1478</v>
      </c>
      <c r="C266" s="921">
        <v>128753078</v>
      </c>
      <c r="D266" s="922">
        <v>8.229E-4</v>
      </c>
    </row>
    <row r="267" spans="1:4" x14ac:dyDescent="0.25">
      <c r="A267" s="876">
        <v>38701</v>
      </c>
      <c r="B267" s="873" t="s">
        <v>1479</v>
      </c>
      <c r="C267" s="921">
        <v>7545385</v>
      </c>
      <c r="D267" s="922">
        <v>4.8199999999999999E-5</v>
      </c>
    </row>
    <row r="268" spans="1:4" x14ac:dyDescent="0.25">
      <c r="A268" s="876">
        <v>38800</v>
      </c>
      <c r="B268" s="873" t="s">
        <v>1480</v>
      </c>
      <c r="C268" s="921">
        <v>219112474</v>
      </c>
      <c r="D268" s="922">
        <v>1.4004E-3</v>
      </c>
    </row>
    <row r="269" spans="1:4" x14ac:dyDescent="0.25">
      <c r="A269" s="876">
        <v>38801</v>
      </c>
      <c r="B269" s="873" t="s">
        <v>1481</v>
      </c>
      <c r="C269" s="921">
        <v>18077681</v>
      </c>
      <c r="D269" s="922">
        <v>1.155E-4</v>
      </c>
    </row>
    <row r="270" spans="1:4" x14ac:dyDescent="0.25">
      <c r="A270" s="876">
        <v>38900</v>
      </c>
      <c r="B270" s="873" t="s">
        <v>1482</v>
      </c>
      <c r="C270" s="921">
        <v>45931834</v>
      </c>
      <c r="D270" s="922">
        <v>2.9359999999999998E-4</v>
      </c>
    </row>
    <row r="271" spans="1:4" x14ac:dyDescent="0.25">
      <c r="A271" s="876">
        <v>39000</v>
      </c>
      <c r="B271" s="873" t="s">
        <v>1483</v>
      </c>
      <c r="C271" s="921">
        <v>2276362866</v>
      </c>
      <c r="D271" s="922">
        <v>1.4549299999999999E-2</v>
      </c>
    </row>
    <row r="272" spans="1:4" x14ac:dyDescent="0.25">
      <c r="A272" s="876">
        <v>39100</v>
      </c>
      <c r="B272" s="873" t="s">
        <v>1484</v>
      </c>
      <c r="C272" s="921">
        <v>327968330</v>
      </c>
      <c r="D272" s="922">
        <v>2.0961999999999999E-3</v>
      </c>
    </row>
    <row r="273" spans="1:4" x14ac:dyDescent="0.25">
      <c r="A273" s="876">
        <v>39101</v>
      </c>
      <c r="B273" s="873" t="s">
        <v>1485</v>
      </c>
      <c r="C273" s="921">
        <v>27640648</v>
      </c>
      <c r="D273" s="922">
        <v>1.7670000000000001E-4</v>
      </c>
    </row>
    <row r="274" spans="1:4" x14ac:dyDescent="0.25">
      <c r="A274" s="876">
        <v>39105</v>
      </c>
      <c r="B274" s="873" t="s">
        <v>1486</v>
      </c>
      <c r="C274" s="921">
        <v>127769893</v>
      </c>
      <c r="D274" s="922">
        <v>8.1660000000000001E-4</v>
      </c>
    </row>
    <row r="275" spans="1:4" x14ac:dyDescent="0.25">
      <c r="A275" s="876">
        <v>39200</v>
      </c>
      <c r="B275" s="873" t="s">
        <v>1487</v>
      </c>
      <c r="C275" s="921">
        <v>9407881664</v>
      </c>
      <c r="D275" s="922">
        <v>6.0130000000000003E-2</v>
      </c>
    </row>
    <row r="276" spans="1:4" x14ac:dyDescent="0.25">
      <c r="A276" s="876">
        <v>39201</v>
      </c>
      <c r="B276" s="873" t="s">
        <v>1488</v>
      </c>
      <c r="C276" s="921">
        <v>28855088</v>
      </c>
      <c r="D276" s="922">
        <v>1.8440000000000001E-4</v>
      </c>
    </row>
    <row r="277" spans="1:4" x14ac:dyDescent="0.25">
      <c r="A277" s="876">
        <v>39204</v>
      </c>
      <c r="B277" s="873" t="s">
        <v>1489</v>
      </c>
      <c r="C277" s="921">
        <v>24637009</v>
      </c>
      <c r="D277" s="922">
        <v>1.5750000000000001E-4</v>
      </c>
    </row>
    <row r="278" spans="1:4" x14ac:dyDescent="0.25">
      <c r="A278" s="876">
        <v>39205</v>
      </c>
      <c r="B278" s="873" t="s">
        <v>1490</v>
      </c>
      <c r="C278" s="921">
        <v>696510557</v>
      </c>
      <c r="D278" s="922">
        <v>4.4517000000000003E-3</v>
      </c>
    </row>
    <row r="279" spans="1:4" x14ac:dyDescent="0.25">
      <c r="A279" s="876">
        <v>39208</v>
      </c>
      <c r="B279" s="873" t="s">
        <v>1491</v>
      </c>
      <c r="C279" s="921">
        <v>56596801</v>
      </c>
      <c r="D279" s="922">
        <v>3.6170000000000001E-4</v>
      </c>
    </row>
    <row r="280" spans="1:4" x14ac:dyDescent="0.25">
      <c r="A280" s="876">
        <v>39209</v>
      </c>
      <c r="B280" s="873" t="s">
        <v>1492</v>
      </c>
      <c r="C280" s="921">
        <v>29164652</v>
      </c>
      <c r="D280" s="922">
        <v>1.864E-4</v>
      </c>
    </row>
    <row r="281" spans="1:4" x14ac:dyDescent="0.25">
      <c r="A281" s="876">
        <v>39300</v>
      </c>
      <c r="B281" s="873" t="s">
        <v>1493</v>
      </c>
      <c r="C281" s="921">
        <v>124789036</v>
      </c>
      <c r="D281" s="922">
        <v>7.9759999999999998E-4</v>
      </c>
    </row>
    <row r="282" spans="1:4" x14ac:dyDescent="0.25">
      <c r="A282" s="876">
        <v>39301</v>
      </c>
      <c r="B282" s="873" t="s">
        <v>1494</v>
      </c>
      <c r="C282" s="921">
        <v>8947952</v>
      </c>
      <c r="D282" s="922">
        <v>5.7200000000000001E-5</v>
      </c>
    </row>
    <row r="283" spans="1:4" x14ac:dyDescent="0.25">
      <c r="A283" s="876">
        <v>39400</v>
      </c>
      <c r="B283" s="873" t="s">
        <v>1495</v>
      </c>
      <c r="C283" s="921">
        <v>85160728</v>
      </c>
      <c r="D283" s="922">
        <v>5.4429999999999995E-4</v>
      </c>
    </row>
    <row r="284" spans="1:4" x14ac:dyDescent="0.25">
      <c r="A284" s="876">
        <v>39401</v>
      </c>
      <c r="B284" s="873" t="s">
        <v>1496</v>
      </c>
      <c r="C284" s="921">
        <v>44659270</v>
      </c>
      <c r="D284" s="922">
        <v>2.854E-4</v>
      </c>
    </row>
    <row r="285" spans="1:4" x14ac:dyDescent="0.25">
      <c r="A285" s="876">
        <v>39500</v>
      </c>
      <c r="B285" s="873" t="s">
        <v>1497</v>
      </c>
      <c r="C285" s="921">
        <v>281289667</v>
      </c>
      <c r="D285" s="922">
        <v>1.7978E-3</v>
      </c>
    </row>
    <row r="286" spans="1:4" x14ac:dyDescent="0.25">
      <c r="A286" s="876">
        <v>39501</v>
      </c>
      <c r="B286" s="873" t="s">
        <v>1498</v>
      </c>
      <c r="C286" s="921">
        <v>9018770</v>
      </c>
      <c r="D286" s="922">
        <v>5.7599999999999997E-5</v>
      </c>
    </row>
    <row r="287" spans="1:4" x14ac:dyDescent="0.25">
      <c r="A287" s="876">
        <v>39600</v>
      </c>
      <c r="B287" s="873" t="s">
        <v>1499</v>
      </c>
      <c r="C287" s="921">
        <v>915214159</v>
      </c>
      <c r="D287" s="922">
        <v>5.8494999999999997E-3</v>
      </c>
    </row>
    <row r="288" spans="1:4" x14ac:dyDescent="0.25">
      <c r="A288" s="876">
        <v>39605</v>
      </c>
      <c r="B288" s="873" t="s">
        <v>1500</v>
      </c>
      <c r="C288" s="921">
        <v>123243726</v>
      </c>
      <c r="D288" s="922">
        <v>7.8770000000000001E-4</v>
      </c>
    </row>
    <row r="289" spans="1:4" x14ac:dyDescent="0.25">
      <c r="A289" s="876">
        <v>39700</v>
      </c>
      <c r="B289" s="873" t="s">
        <v>1501</v>
      </c>
      <c r="C289" s="921">
        <v>537622806</v>
      </c>
      <c r="D289" s="922">
        <v>3.4361999999999999E-3</v>
      </c>
    </row>
    <row r="290" spans="1:4" x14ac:dyDescent="0.25">
      <c r="A290" s="876">
        <v>39703</v>
      </c>
      <c r="B290" s="873" t="s">
        <v>1502</v>
      </c>
      <c r="C290" s="921">
        <v>21949851</v>
      </c>
      <c r="D290" s="922">
        <v>1.403E-4</v>
      </c>
    </row>
    <row r="291" spans="1:4" x14ac:dyDescent="0.25">
      <c r="A291" s="876">
        <v>39705</v>
      </c>
      <c r="B291" s="873" t="s">
        <v>1503</v>
      </c>
      <c r="C291" s="921">
        <v>116803590</v>
      </c>
      <c r="D291" s="922">
        <v>7.4649999999999998E-4</v>
      </c>
    </row>
    <row r="292" spans="1:4" x14ac:dyDescent="0.25">
      <c r="A292" s="876">
        <v>39800</v>
      </c>
      <c r="B292" s="873" t="s">
        <v>1504</v>
      </c>
      <c r="C292" s="921">
        <v>594634718</v>
      </c>
      <c r="D292" s="922">
        <v>3.8005999999999999E-3</v>
      </c>
    </row>
    <row r="293" spans="1:4" x14ac:dyDescent="0.25">
      <c r="A293" s="876">
        <v>39805</v>
      </c>
      <c r="B293" s="873" t="s">
        <v>1505</v>
      </c>
      <c r="C293" s="921">
        <v>64810108</v>
      </c>
      <c r="D293" s="922">
        <v>4.1419999999999998E-4</v>
      </c>
    </row>
    <row r="294" spans="1:4" x14ac:dyDescent="0.25">
      <c r="A294" s="876">
        <v>39900</v>
      </c>
      <c r="B294" s="873" t="s">
        <v>1506</v>
      </c>
      <c r="C294" s="921">
        <v>302358368</v>
      </c>
      <c r="D294" s="922">
        <v>1.9325E-3</v>
      </c>
    </row>
    <row r="295" spans="1:4" x14ac:dyDescent="0.25">
      <c r="A295" s="876">
        <v>40000</v>
      </c>
      <c r="B295" s="873" t="s">
        <v>1507</v>
      </c>
      <c r="C295" s="921">
        <v>420787689</v>
      </c>
      <c r="D295" s="922">
        <v>2.6894000000000002E-3</v>
      </c>
    </row>
    <row r="296" spans="1:4" x14ac:dyDescent="0.25">
      <c r="A296" s="876">
        <v>51000</v>
      </c>
      <c r="B296" s="873" t="s">
        <v>1508</v>
      </c>
      <c r="C296" s="921">
        <v>4164462653</v>
      </c>
      <c r="D296" s="922">
        <v>2.6616899999999999E-2</v>
      </c>
    </row>
    <row r="297" spans="1:4" x14ac:dyDescent="0.25">
      <c r="A297" s="876">
        <v>51000.1</v>
      </c>
      <c r="B297" s="873" t="s">
        <v>1509</v>
      </c>
      <c r="C297" s="921">
        <v>2498620</v>
      </c>
      <c r="D297" s="922">
        <v>1.5999999999999999E-5</v>
      </c>
    </row>
    <row r="298" spans="1:4" x14ac:dyDescent="0.25">
      <c r="A298" s="876">
        <v>51000.2</v>
      </c>
      <c r="B298" s="873" t="s">
        <v>1510</v>
      </c>
      <c r="C298" s="921">
        <v>96032000</v>
      </c>
      <c r="D298" s="922">
        <v>6.1379999999999996E-4</v>
      </c>
    </row>
    <row r="299" spans="1:4" x14ac:dyDescent="0.25">
      <c r="A299" s="876">
        <v>60000</v>
      </c>
      <c r="B299" s="873" t="s">
        <v>1511</v>
      </c>
      <c r="C299" s="921">
        <v>17779542</v>
      </c>
      <c r="D299" s="922">
        <v>1.136E-4</v>
      </c>
    </row>
    <row r="300" spans="1:4" x14ac:dyDescent="0.25">
      <c r="A300" s="876">
        <v>90901</v>
      </c>
      <c r="B300" s="873" t="s">
        <v>1512</v>
      </c>
      <c r="C300" s="921">
        <v>127670583</v>
      </c>
      <c r="D300" s="922">
        <v>8.1599999999999999E-4</v>
      </c>
    </row>
    <row r="301" spans="1:4" x14ac:dyDescent="0.25">
      <c r="A301" s="876">
        <v>91041</v>
      </c>
      <c r="B301" s="873" t="s">
        <v>1513</v>
      </c>
      <c r="C301" s="921">
        <v>23318489</v>
      </c>
      <c r="D301" s="922">
        <v>1.4899999999999999E-4</v>
      </c>
    </row>
    <row r="302" spans="1:4" x14ac:dyDescent="0.25">
      <c r="A302" s="876">
        <v>91111</v>
      </c>
      <c r="B302" s="873" t="s">
        <v>1514</v>
      </c>
      <c r="C302" s="921">
        <v>13217825</v>
      </c>
      <c r="D302" s="922">
        <v>8.4499999999999994E-5</v>
      </c>
    </row>
    <row r="303" spans="1:4" x14ac:dyDescent="0.25">
      <c r="A303" s="876">
        <v>91151</v>
      </c>
      <c r="B303" s="873" t="s">
        <v>1515</v>
      </c>
      <c r="C303" s="921">
        <v>36296291</v>
      </c>
      <c r="D303" s="922">
        <v>2.32E-4</v>
      </c>
    </row>
    <row r="304" spans="1:4" x14ac:dyDescent="0.25">
      <c r="A304" s="876">
        <v>98101</v>
      </c>
      <c r="B304" s="873" t="s">
        <v>1516</v>
      </c>
      <c r="C304" s="921">
        <v>163016297</v>
      </c>
      <c r="D304" s="922">
        <v>1.0418999999999999E-3</v>
      </c>
    </row>
    <row r="305" spans="1:4" x14ac:dyDescent="0.25">
      <c r="A305" s="876">
        <v>98103</v>
      </c>
      <c r="B305" s="873" t="s">
        <v>1517</v>
      </c>
      <c r="C305" s="921">
        <v>30012180</v>
      </c>
      <c r="D305" s="922">
        <v>1.918E-4</v>
      </c>
    </row>
    <row r="306" spans="1:4" x14ac:dyDescent="0.25">
      <c r="A306" s="876">
        <v>98111</v>
      </c>
      <c r="B306" s="873" t="s">
        <v>1518</v>
      </c>
      <c r="C306" s="921">
        <v>57854633</v>
      </c>
      <c r="D306" s="922">
        <v>3.6979999999999999E-4</v>
      </c>
    </row>
    <row r="307" spans="1:4" x14ac:dyDescent="0.25">
      <c r="A307" s="876">
        <v>98131</v>
      </c>
      <c r="B307" s="873" t="s">
        <v>1519</v>
      </c>
      <c r="C307" s="921">
        <v>14081783</v>
      </c>
      <c r="D307" s="922">
        <v>9.0000000000000006E-5</v>
      </c>
    </row>
    <row r="308" spans="1:4" x14ac:dyDescent="0.25">
      <c r="A308" s="876">
        <v>99401</v>
      </c>
      <c r="B308" s="873" t="s">
        <v>1520</v>
      </c>
      <c r="C308" s="921">
        <v>52301236</v>
      </c>
      <c r="D308" s="922">
        <v>3.3429999999999999E-4</v>
      </c>
    </row>
    <row r="309" spans="1:4" x14ac:dyDescent="0.25">
      <c r="A309" s="876">
        <v>99521</v>
      </c>
      <c r="B309" s="873" t="s">
        <v>1521</v>
      </c>
      <c r="C309" s="921">
        <v>24140192</v>
      </c>
      <c r="D309" s="922">
        <v>1.5430000000000001E-4</v>
      </c>
    </row>
    <row r="310" spans="1:4" x14ac:dyDescent="0.25">
      <c r="A310" s="876">
        <v>99831</v>
      </c>
      <c r="B310" s="873" t="s">
        <v>1522</v>
      </c>
      <c r="C310" s="921">
        <v>3679519</v>
      </c>
      <c r="D310" s="922">
        <v>2.3499999999999999E-5</v>
      </c>
    </row>
    <row r="311" spans="1:4" x14ac:dyDescent="0.25">
      <c r="A311" s="985" t="s">
        <v>1157</v>
      </c>
      <c r="B311" s="873" t="s">
        <v>1163</v>
      </c>
      <c r="C311" s="967">
        <v>5747250</v>
      </c>
      <c r="D311" s="968">
        <v>3.6699999999999998E-5</v>
      </c>
    </row>
    <row r="312" spans="1:4" ht="18" customHeight="1" x14ac:dyDescent="0.25">
      <c r="A312" s="881"/>
      <c r="B312" s="882" t="s">
        <v>466</v>
      </c>
      <c r="C312" s="946">
        <f>SUM(C6:C310)</f>
        <v>156459050700</v>
      </c>
      <c r="D312" s="969">
        <f>SUM(D6:D310)</f>
        <v>1</v>
      </c>
    </row>
    <row r="313" spans="1:4" ht="18" customHeight="1" x14ac:dyDescent="0.25">
      <c r="A313" s="884"/>
      <c r="B313" s="885"/>
      <c r="C313" s="970"/>
      <c r="D313" s="971"/>
    </row>
    <row r="314" spans="1:4" ht="18" customHeight="1" x14ac:dyDescent="0.25"/>
    <row r="315" spans="1:4" ht="18" customHeight="1" x14ac:dyDescent="0.25"/>
    <row r="316" spans="1:4" ht="18" customHeight="1" x14ac:dyDescent="0.25"/>
    <row r="317" spans="1:4" ht="18" customHeight="1" x14ac:dyDescent="0.25"/>
    <row r="318" spans="1:4" ht="18" customHeight="1" x14ac:dyDescent="0.25"/>
    <row r="319" spans="1:4" ht="18" customHeight="1" x14ac:dyDescent="0.25"/>
    <row r="320" spans="1:4" ht="18" customHeight="1" x14ac:dyDescent="0.25"/>
    <row r="321" spans="2:4" ht="18" customHeight="1" x14ac:dyDescent="0.25"/>
    <row r="322" spans="2:4" s="668" customFormat="1" ht="18" customHeight="1" x14ac:dyDescent="0.2">
      <c r="B322" s="666"/>
      <c r="C322" s="972"/>
      <c r="D322" s="973"/>
    </row>
    <row r="323" spans="2:4" s="668" customFormat="1" ht="18" customHeight="1" x14ac:dyDescent="0.2">
      <c r="B323" s="666"/>
      <c r="C323" s="972"/>
      <c r="D323" s="973"/>
    </row>
    <row r="324" spans="2:4" s="668" customFormat="1" ht="18" customHeight="1" x14ac:dyDescent="0.2">
      <c r="B324" s="666"/>
      <c r="C324" s="972"/>
      <c r="D324" s="973"/>
    </row>
    <row r="325" spans="2:4" s="668" customFormat="1" ht="18" customHeight="1" x14ac:dyDescent="0.2">
      <c r="B325" s="666"/>
      <c r="C325" s="972"/>
      <c r="D325" s="973"/>
    </row>
    <row r="326" spans="2:4" s="668" customFormat="1" ht="18" customHeight="1" x14ac:dyDescent="0.2">
      <c r="B326" s="666"/>
      <c r="C326" s="972"/>
      <c r="D326" s="973"/>
    </row>
    <row r="327" spans="2:4" s="668" customFormat="1" ht="18" customHeight="1" x14ac:dyDescent="0.2">
      <c r="B327" s="666"/>
      <c r="C327" s="972"/>
      <c r="D327" s="973"/>
    </row>
    <row r="328" spans="2:4" s="668" customFormat="1" ht="18" customHeight="1" x14ac:dyDescent="0.2">
      <c r="B328" s="666"/>
      <c r="C328" s="972"/>
      <c r="D328" s="973"/>
    </row>
    <row r="329" spans="2:4" s="668" customFormat="1" ht="18" customHeight="1" x14ac:dyDescent="0.2">
      <c r="B329" s="666"/>
      <c r="C329" s="972"/>
      <c r="D329" s="973"/>
    </row>
    <row r="330" spans="2:4" s="668" customFormat="1" ht="18" customHeight="1" x14ac:dyDescent="0.2">
      <c r="B330" s="666"/>
      <c r="C330" s="972"/>
      <c r="D330" s="973"/>
    </row>
    <row r="331" spans="2:4" s="668" customFormat="1" ht="18" customHeight="1" x14ac:dyDescent="0.2">
      <c r="B331" s="666"/>
      <c r="C331" s="972"/>
      <c r="D331" s="973"/>
    </row>
    <row r="332" spans="2:4" s="668" customFormat="1" ht="18" customHeight="1" x14ac:dyDescent="0.2">
      <c r="B332" s="666"/>
      <c r="C332" s="972"/>
      <c r="D332" s="973"/>
    </row>
    <row r="333" spans="2:4" s="668" customFormat="1" ht="18" customHeight="1" x14ac:dyDescent="0.2">
      <c r="B333" s="666"/>
      <c r="C333" s="972"/>
      <c r="D333" s="973"/>
    </row>
    <row r="334" spans="2:4" s="668" customFormat="1" ht="18" customHeight="1" x14ac:dyDescent="0.2">
      <c r="B334" s="666"/>
      <c r="C334" s="972"/>
      <c r="D334" s="973"/>
    </row>
    <row r="335" spans="2:4" s="668" customFormat="1" ht="18" customHeight="1" x14ac:dyDescent="0.2">
      <c r="B335" s="666"/>
      <c r="C335" s="972"/>
      <c r="D335" s="973"/>
    </row>
    <row r="336" spans="2:4" s="668" customFormat="1" ht="18" customHeight="1" x14ac:dyDescent="0.2">
      <c r="B336" s="666"/>
      <c r="C336" s="972"/>
      <c r="D336" s="973"/>
    </row>
    <row r="337" spans="2:4" s="668" customFormat="1" ht="18" customHeight="1" x14ac:dyDescent="0.2">
      <c r="B337" s="666"/>
      <c r="C337" s="972"/>
      <c r="D337" s="973"/>
    </row>
    <row r="338" spans="2:4" s="668" customFormat="1" ht="18" customHeight="1" x14ac:dyDescent="0.2">
      <c r="B338" s="666"/>
      <c r="C338" s="972"/>
      <c r="D338" s="973"/>
    </row>
    <row r="339" spans="2:4" s="668" customFormat="1" ht="18" customHeight="1" x14ac:dyDescent="0.2">
      <c r="B339" s="666"/>
      <c r="C339" s="972"/>
      <c r="D339" s="973"/>
    </row>
    <row r="340" spans="2:4" s="668" customFormat="1" ht="18" customHeight="1" x14ac:dyDescent="0.2">
      <c r="B340" s="666"/>
      <c r="C340" s="972"/>
      <c r="D340" s="973"/>
    </row>
    <row r="341" spans="2:4" s="668" customFormat="1" ht="18" customHeight="1" x14ac:dyDescent="0.2">
      <c r="B341" s="666"/>
      <c r="C341" s="972"/>
      <c r="D341" s="973"/>
    </row>
    <row r="342" spans="2:4" s="668" customFormat="1" ht="36" customHeight="1" x14ac:dyDescent="0.2">
      <c r="B342" s="666"/>
      <c r="C342" s="972"/>
      <c r="D342" s="973"/>
    </row>
    <row r="343" spans="2:4" s="668" customFormat="1" ht="18" customHeight="1" x14ac:dyDescent="0.2">
      <c r="B343" s="666"/>
      <c r="C343" s="972"/>
      <c r="D343" s="973"/>
    </row>
    <row r="344" spans="2:4" s="668" customFormat="1" ht="18" customHeight="1" x14ac:dyDescent="0.2">
      <c r="B344" s="666"/>
      <c r="C344" s="972"/>
      <c r="D344" s="973"/>
    </row>
    <row r="345" spans="2:4" s="668" customFormat="1" ht="18" customHeight="1" x14ac:dyDescent="0.2">
      <c r="B345" s="666"/>
      <c r="C345" s="972"/>
      <c r="D345" s="973"/>
    </row>
    <row r="346" spans="2:4" s="668" customFormat="1" ht="18" customHeight="1" x14ac:dyDescent="0.2">
      <c r="B346" s="666"/>
      <c r="C346" s="972"/>
      <c r="D346" s="973"/>
    </row>
    <row r="347" spans="2:4" s="668" customFormat="1" ht="18" customHeight="1" x14ac:dyDescent="0.2">
      <c r="B347" s="666"/>
      <c r="C347" s="972"/>
      <c r="D347" s="973"/>
    </row>
    <row r="348" spans="2:4" s="668" customFormat="1" ht="18" customHeight="1" x14ac:dyDescent="0.2">
      <c r="B348" s="666"/>
      <c r="C348" s="972"/>
      <c r="D348" s="973"/>
    </row>
    <row r="349" spans="2:4" s="668" customFormat="1" ht="18" customHeight="1" x14ac:dyDescent="0.2">
      <c r="B349" s="666"/>
      <c r="C349" s="972"/>
      <c r="D349" s="973"/>
    </row>
    <row r="350" spans="2:4" s="668" customFormat="1" ht="18" customHeight="1" x14ac:dyDescent="0.2">
      <c r="B350" s="666"/>
      <c r="C350" s="972"/>
      <c r="D350" s="973"/>
    </row>
    <row r="351" spans="2:4" s="668" customFormat="1" ht="18" customHeight="1" x14ac:dyDescent="0.2">
      <c r="B351" s="666"/>
      <c r="C351" s="972"/>
      <c r="D351" s="973"/>
    </row>
    <row r="352" spans="2:4" s="668" customFormat="1" ht="18" customHeight="1" x14ac:dyDescent="0.2">
      <c r="B352" s="666"/>
      <c r="C352" s="972"/>
      <c r="D352" s="973"/>
    </row>
    <row r="353" spans="2:4" s="668" customFormat="1" ht="18" customHeight="1" x14ac:dyDescent="0.2">
      <c r="B353" s="666"/>
      <c r="C353" s="972"/>
      <c r="D353" s="973"/>
    </row>
    <row r="354" spans="2:4" s="668" customFormat="1" ht="18" customHeight="1" x14ac:dyDescent="0.2">
      <c r="B354" s="666"/>
      <c r="C354" s="972"/>
      <c r="D354" s="973"/>
    </row>
    <row r="355" spans="2:4" s="668" customFormat="1" ht="18" customHeight="1" x14ac:dyDescent="0.2">
      <c r="B355" s="666"/>
      <c r="C355" s="972"/>
      <c r="D355" s="973"/>
    </row>
    <row r="356" spans="2:4" s="668" customFormat="1" ht="54" customHeight="1" x14ac:dyDescent="0.2">
      <c r="B356" s="666"/>
      <c r="C356" s="972"/>
      <c r="D356" s="973"/>
    </row>
    <row r="357" spans="2:4" s="668" customFormat="1" ht="18" customHeight="1" x14ac:dyDescent="0.2">
      <c r="B357" s="666"/>
      <c r="C357" s="972"/>
      <c r="D357" s="973"/>
    </row>
    <row r="358" spans="2:4" s="668" customFormat="1" ht="18" customHeight="1" x14ac:dyDescent="0.2">
      <c r="B358" s="666"/>
      <c r="C358" s="972"/>
      <c r="D358" s="973"/>
    </row>
    <row r="359" spans="2:4" s="668" customFormat="1" ht="18" customHeight="1" x14ac:dyDescent="0.2">
      <c r="B359" s="666"/>
      <c r="C359" s="972"/>
      <c r="D359" s="973"/>
    </row>
    <row r="360" spans="2:4" s="668" customFormat="1" ht="18" customHeight="1" x14ac:dyDescent="0.2">
      <c r="B360" s="666"/>
      <c r="C360" s="972"/>
      <c r="D360" s="973"/>
    </row>
    <row r="361" spans="2:4" s="668" customFormat="1" ht="18" customHeight="1" x14ac:dyDescent="0.2">
      <c r="B361" s="666"/>
      <c r="C361" s="972"/>
      <c r="D361" s="973"/>
    </row>
    <row r="362" spans="2:4" s="668" customFormat="1" ht="18" customHeight="1" x14ac:dyDescent="0.2">
      <c r="B362" s="666"/>
      <c r="C362" s="972"/>
      <c r="D362" s="973"/>
    </row>
    <row r="363" spans="2:4" s="668" customFormat="1" ht="18" customHeight="1" x14ac:dyDescent="0.2">
      <c r="B363" s="666"/>
      <c r="C363" s="972"/>
      <c r="D363" s="973"/>
    </row>
    <row r="364" spans="2:4" s="668" customFormat="1" ht="18" customHeight="1" x14ac:dyDescent="0.2">
      <c r="B364" s="666"/>
      <c r="C364" s="972"/>
      <c r="D364" s="973"/>
    </row>
    <row r="365" spans="2:4" s="668" customFormat="1" ht="18" customHeight="1" x14ac:dyDescent="0.2">
      <c r="B365" s="666"/>
      <c r="C365" s="972"/>
      <c r="D365" s="973"/>
    </row>
    <row r="366" spans="2:4" s="668" customFormat="1" ht="18" customHeight="1" x14ac:dyDescent="0.2">
      <c r="B366" s="666"/>
      <c r="C366" s="972"/>
      <c r="D366" s="973"/>
    </row>
    <row r="367" spans="2:4" s="668" customFormat="1" ht="18" customHeight="1" x14ac:dyDescent="0.2">
      <c r="B367" s="666"/>
      <c r="C367" s="972"/>
      <c r="D367" s="973"/>
    </row>
    <row r="368" spans="2:4" s="668" customFormat="1" ht="18" customHeight="1" x14ac:dyDescent="0.2">
      <c r="B368" s="666"/>
      <c r="C368" s="972"/>
      <c r="D368" s="973"/>
    </row>
    <row r="369" spans="2:4" s="668" customFormat="1" ht="18" customHeight="1" x14ac:dyDescent="0.2">
      <c r="B369" s="666"/>
      <c r="C369" s="972"/>
      <c r="D369" s="973"/>
    </row>
    <row r="370" spans="2:4" s="668" customFormat="1" ht="18" customHeight="1" x14ac:dyDescent="0.2">
      <c r="B370" s="666"/>
      <c r="C370" s="972"/>
      <c r="D370" s="973"/>
    </row>
    <row r="371" spans="2:4" s="668" customFormat="1" ht="18" customHeight="1" x14ac:dyDescent="0.2">
      <c r="B371" s="666"/>
      <c r="C371" s="972"/>
      <c r="D371" s="973"/>
    </row>
    <row r="372" spans="2:4" s="668" customFormat="1" ht="18" customHeight="1" x14ac:dyDescent="0.2">
      <c r="B372" s="666"/>
      <c r="C372" s="972"/>
      <c r="D372" s="973"/>
    </row>
    <row r="373" spans="2:4" s="668" customFormat="1" ht="18" customHeight="1" x14ac:dyDescent="0.2">
      <c r="B373" s="666"/>
      <c r="C373" s="972"/>
      <c r="D373" s="973"/>
    </row>
    <row r="374" spans="2:4" s="668" customFormat="1" ht="18" customHeight="1" x14ac:dyDescent="0.2">
      <c r="B374" s="666"/>
      <c r="C374" s="972"/>
      <c r="D374" s="973"/>
    </row>
    <row r="375" spans="2:4" s="668" customFormat="1" ht="18" customHeight="1" x14ac:dyDescent="0.2">
      <c r="B375" s="666"/>
      <c r="C375" s="972"/>
      <c r="D375" s="973"/>
    </row>
    <row r="376" spans="2:4" s="668" customFormat="1" ht="18" customHeight="1" x14ac:dyDescent="0.2">
      <c r="B376" s="666"/>
      <c r="C376" s="972"/>
      <c r="D376" s="973"/>
    </row>
    <row r="377" spans="2:4" s="668" customFormat="1" ht="18" customHeight="1" x14ac:dyDescent="0.2">
      <c r="B377" s="666"/>
      <c r="C377" s="972"/>
      <c r="D377" s="973"/>
    </row>
    <row r="378" spans="2:4" s="668" customFormat="1" ht="18" customHeight="1" x14ac:dyDescent="0.2">
      <c r="B378" s="666"/>
      <c r="C378" s="972"/>
      <c r="D378" s="973"/>
    </row>
    <row r="379" spans="2:4" s="668" customFormat="1" ht="18" customHeight="1" x14ac:dyDescent="0.2">
      <c r="B379" s="666"/>
      <c r="C379" s="972"/>
      <c r="D379" s="973"/>
    </row>
    <row r="380" spans="2:4" s="668" customFormat="1" ht="18" customHeight="1" x14ac:dyDescent="0.2">
      <c r="B380" s="666"/>
      <c r="C380" s="972"/>
      <c r="D380" s="973"/>
    </row>
    <row r="381" spans="2:4" s="668" customFormat="1" ht="18" customHeight="1" x14ac:dyDescent="0.2">
      <c r="B381" s="666"/>
      <c r="C381" s="972"/>
      <c r="D381" s="973"/>
    </row>
    <row r="382" spans="2:4" s="668" customFormat="1" ht="18" customHeight="1" x14ac:dyDescent="0.2">
      <c r="B382" s="666"/>
      <c r="C382" s="972"/>
      <c r="D382" s="973"/>
    </row>
    <row r="383" spans="2:4" s="668" customFormat="1" ht="18" customHeight="1" x14ac:dyDescent="0.2">
      <c r="B383" s="666"/>
      <c r="C383" s="972"/>
      <c r="D383" s="973"/>
    </row>
    <row r="384" spans="2:4" s="668" customFormat="1" ht="18" customHeight="1" x14ac:dyDescent="0.2">
      <c r="B384" s="666"/>
      <c r="C384" s="972"/>
      <c r="D384" s="973"/>
    </row>
    <row r="385" spans="2:4" s="668" customFormat="1" ht="18" customHeight="1" x14ac:dyDescent="0.2">
      <c r="B385" s="666"/>
      <c r="C385" s="972"/>
      <c r="D385" s="973"/>
    </row>
    <row r="386" spans="2:4" s="668" customFormat="1" ht="18" customHeight="1" x14ac:dyDescent="0.2">
      <c r="B386" s="666"/>
      <c r="C386" s="972"/>
      <c r="D386" s="973"/>
    </row>
    <row r="387" spans="2:4" s="668" customFormat="1" ht="18" customHeight="1" x14ac:dyDescent="0.2">
      <c r="B387" s="666"/>
      <c r="C387" s="972"/>
      <c r="D387" s="973"/>
    </row>
    <row r="388" spans="2:4" s="668" customFormat="1" ht="18" customHeight="1" x14ac:dyDescent="0.2">
      <c r="B388" s="666"/>
      <c r="C388" s="972"/>
      <c r="D388" s="973"/>
    </row>
    <row r="389" spans="2:4" s="668" customFormat="1" ht="18" customHeight="1" x14ac:dyDescent="0.2">
      <c r="B389" s="666"/>
      <c r="C389" s="972"/>
      <c r="D389" s="973"/>
    </row>
    <row r="390" spans="2:4" s="668" customFormat="1" ht="18" customHeight="1" x14ac:dyDescent="0.2">
      <c r="B390" s="666"/>
      <c r="C390" s="972"/>
      <c r="D390" s="973"/>
    </row>
    <row r="391" spans="2:4" s="668" customFormat="1" ht="18" customHeight="1" x14ac:dyDescent="0.2">
      <c r="B391" s="666"/>
      <c r="C391" s="972"/>
      <c r="D391" s="973"/>
    </row>
    <row r="392" spans="2:4" s="668" customFormat="1" ht="18" customHeight="1" x14ac:dyDescent="0.2">
      <c r="B392" s="666"/>
      <c r="C392" s="972"/>
      <c r="D392" s="973"/>
    </row>
    <row r="393" spans="2:4" s="668" customFormat="1" ht="18" customHeight="1" x14ac:dyDescent="0.2">
      <c r="B393" s="666"/>
      <c r="C393" s="972"/>
      <c r="D393" s="973"/>
    </row>
    <row r="394" spans="2:4" s="668" customFormat="1" ht="18" customHeight="1" x14ac:dyDescent="0.2">
      <c r="B394" s="666"/>
      <c r="C394" s="972"/>
      <c r="D394" s="973"/>
    </row>
    <row r="395" spans="2:4" s="668" customFormat="1" ht="18" customHeight="1" x14ac:dyDescent="0.2">
      <c r="B395" s="666"/>
      <c r="C395" s="972"/>
      <c r="D395" s="973"/>
    </row>
    <row r="396" spans="2:4" s="668" customFormat="1" ht="18" customHeight="1" x14ac:dyDescent="0.2">
      <c r="B396" s="666"/>
      <c r="C396" s="972"/>
      <c r="D396" s="973"/>
    </row>
    <row r="397" spans="2:4" s="668" customFormat="1" ht="18" customHeight="1" x14ac:dyDescent="0.2">
      <c r="B397" s="666"/>
      <c r="C397" s="972"/>
      <c r="D397" s="973"/>
    </row>
    <row r="398" spans="2:4" s="668" customFormat="1" ht="18" customHeight="1" x14ac:dyDescent="0.2">
      <c r="B398" s="666"/>
      <c r="C398" s="972"/>
      <c r="D398" s="973"/>
    </row>
    <row r="399" spans="2:4" s="668" customFormat="1" ht="18" customHeight="1" x14ac:dyDescent="0.2">
      <c r="B399" s="666"/>
      <c r="C399" s="972"/>
      <c r="D399" s="973"/>
    </row>
    <row r="400" spans="2:4" s="668" customFormat="1" ht="18" customHeight="1" x14ac:dyDescent="0.2">
      <c r="B400" s="666"/>
      <c r="C400" s="972"/>
      <c r="D400" s="973"/>
    </row>
    <row r="401" spans="2:4" s="668" customFormat="1" ht="18" customHeight="1" x14ac:dyDescent="0.2">
      <c r="B401" s="666"/>
      <c r="C401" s="972"/>
      <c r="D401" s="973"/>
    </row>
    <row r="402" spans="2:4" s="668" customFormat="1" ht="18" customHeight="1" x14ac:dyDescent="0.2">
      <c r="B402" s="666"/>
      <c r="C402" s="972"/>
      <c r="D402" s="973"/>
    </row>
    <row r="403" spans="2:4" s="668" customFormat="1" ht="18" customHeight="1" x14ac:dyDescent="0.2">
      <c r="B403" s="666"/>
      <c r="C403" s="972"/>
      <c r="D403" s="973"/>
    </row>
    <row r="404" spans="2:4" s="668" customFormat="1" ht="18" customHeight="1" x14ac:dyDescent="0.2">
      <c r="B404" s="666"/>
      <c r="C404" s="972"/>
      <c r="D404" s="973"/>
    </row>
    <row r="405" spans="2:4" s="668" customFormat="1" ht="18" customHeight="1" x14ac:dyDescent="0.2">
      <c r="B405" s="666"/>
      <c r="C405" s="972"/>
      <c r="D405" s="973"/>
    </row>
    <row r="406" spans="2:4" s="668" customFormat="1" ht="18" customHeight="1" x14ac:dyDescent="0.2">
      <c r="B406" s="666"/>
      <c r="C406" s="972"/>
      <c r="D406" s="973"/>
    </row>
    <row r="407" spans="2:4" s="668" customFormat="1" ht="18" customHeight="1" x14ac:dyDescent="0.2">
      <c r="B407" s="666"/>
      <c r="C407" s="972"/>
      <c r="D407" s="973"/>
    </row>
    <row r="408" spans="2:4" s="668" customFormat="1" ht="18" customHeight="1" x14ac:dyDescent="0.2">
      <c r="B408" s="666"/>
      <c r="C408" s="972"/>
      <c r="D408" s="973"/>
    </row>
    <row r="409" spans="2:4" s="668" customFormat="1" ht="18" customHeight="1" x14ac:dyDescent="0.2">
      <c r="B409" s="666"/>
      <c r="C409" s="972"/>
      <c r="D409" s="973"/>
    </row>
    <row r="410" spans="2:4" s="668" customFormat="1" ht="18" customHeight="1" x14ac:dyDescent="0.2">
      <c r="B410" s="666"/>
      <c r="C410" s="972"/>
      <c r="D410" s="973"/>
    </row>
    <row r="411" spans="2:4" s="668" customFormat="1" ht="18" customHeight="1" x14ac:dyDescent="0.2">
      <c r="B411" s="666"/>
      <c r="C411" s="972"/>
      <c r="D411" s="973"/>
    </row>
    <row r="412" spans="2:4" s="668" customFormat="1" ht="18" customHeight="1" x14ac:dyDescent="0.2">
      <c r="B412" s="666"/>
      <c r="C412" s="972"/>
      <c r="D412" s="973"/>
    </row>
    <row r="413" spans="2:4" s="668" customFormat="1" ht="18" customHeight="1" x14ac:dyDescent="0.2">
      <c r="B413" s="666"/>
      <c r="C413" s="972"/>
      <c r="D413" s="973"/>
    </row>
    <row r="414" spans="2:4" s="668" customFormat="1" ht="18" customHeight="1" x14ac:dyDescent="0.2">
      <c r="B414" s="666"/>
      <c r="C414" s="972"/>
      <c r="D414" s="973"/>
    </row>
    <row r="415" spans="2:4" s="668" customFormat="1" ht="18" customHeight="1" x14ac:dyDescent="0.2">
      <c r="B415" s="666"/>
      <c r="C415" s="972"/>
      <c r="D415" s="973"/>
    </row>
    <row r="416" spans="2:4" s="668" customFormat="1" ht="18" customHeight="1" x14ac:dyDescent="0.2">
      <c r="B416" s="666"/>
      <c r="C416" s="972"/>
      <c r="D416" s="973"/>
    </row>
    <row r="417" spans="2:4" s="668" customFormat="1" ht="18" customHeight="1" x14ac:dyDescent="0.2">
      <c r="B417" s="666"/>
      <c r="C417" s="972"/>
      <c r="D417" s="973"/>
    </row>
    <row r="418" spans="2:4" s="668" customFormat="1" ht="18" customHeight="1" x14ac:dyDescent="0.2">
      <c r="B418" s="666"/>
      <c r="C418" s="972"/>
      <c r="D418" s="973"/>
    </row>
    <row r="419" spans="2:4" s="668" customFormat="1" ht="18" customHeight="1" x14ac:dyDescent="0.2">
      <c r="B419" s="666"/>
      <c r="C419" s="972"/>
      <c r="D419" s="973"/>
    </row>
    <row r="420" spans="2:4" s="668" customFormat="1" ht="18" customHeight="1" x14ac:dyDescent="0.2">
      <c r="B420" s="666"/>
      <c r="C420" s="972"/>
      <c r="D420" s="973"/>
    </row>
    <row r="421" spans="2:4" s="668" customFormat="1" ht="18" customHeight="1" x14ac:dyDescent="0.2">
      <c r="B421" s="666"/>
      <c r="C421" s="972"/>
      <c r="D421" s="973"/>
    </row>
    <row r="422" spans="2:4" s="668" customFormat="1" ht="18" customHeight="1" x14ac:dyDescent="0.2">
      <c r="B422" s="666"/>
      <c r="C422" s="972"/>
      <c r="D422" s="973"/>
    </row>
    <row r="423" spans="2:4" s="668" customFormat="1" ht="18" customHeight="1" x14ac:dyDescent="0.2">
      <c r="B423" s="666"/>
      <c r="C423" s="972"/>
      <c r="D423" s="973"/>
    </row>
    <row r="424" spans="2:4" s="668" customFormat="1" ht="18" customHeight="1" x14ac:dyDescent="0.2">
      <c r="B424" s="666"/>
      <c r="C424" s="972"/>
      <c r="D424" s="973"/>
    </row>
    <row r="425" spans="2:4" s="668" customFormat="1" ht="18" customHeight="1" x14ac:dyDescent="0.2">
      <c r="B425" s="666"/>
      <c r="C425" s="972"/>
      <c r="D425" s="973"/>
    </row>
    <row r="426" spans="2:4" s="668" customFormat="1" ht="18" customHeight="1" x14ac:dyDescent="0.2">
      <c r="B426" s="666"/>
      <c r="C426" s="972"/>
      <c r="D426" s="973"/>
    </row>
    <row r="427" spans="2:4" s="668" customFormat="1" ht="18" customHeight="1" x14ac:dyDescent="0.2">
      <c r="B427" s="666"/>
      <c r="C427" s="972"/>
      <c r="D427" s="973"/>
    </row>
    <row r="428" spans="2:4" s="668" customFormat="1" ht="18" customHeight="1" x14ac:dyDescent="0.2">
      <c r="B428" s="666"/>
      <c r="C428" s="972"/>
      <c r="D428" s="973"/>
    </row>
    <row r="429" spans="2:4" s="668" customFormat="1" ht="18" customHeight="1" x14ac:dyDescent="0.2">
      <c r="B429" s="666"/>
      <c r="C429" s="972"/>
      <c r="D429" s="973"/>
    </row>
    <row r="430" spans="2:4" s="668" customFormat="1" ht="18" customHeight="1" x14ac:dyDescent="0.2">
      <c r="B430" s="666"/>
      <c r="C430" s="972"/>
      <c r="D430" s="973"/>
    </row>
    <row r="431" spans="2:4" s="668" customFormat="1" ht="18" customHeight="1" x14ac:dyDescent="0.2">
      <c r="B431" s="666"/>
      <c r="C431" s="972"/>
      <c r="D431" s="973"/>
    </row>
    <row r="432" spans="2:4" s="668" customFormat="1" ht="18" customHeight="1" x14ac:dyDescent="0.2">
      <c r="B432" s="666"/>
      <c r="C432" s="972"/>
      <c r="D432" s="973"/>
    </row>
    <row r="433" spans="2:4" s="668" customFormat="1" ht="18" customHeight="1" x14ac:dyDescent="0.2">
      <c r="B433" s="666"/>
      <c r="C433" s="972"/>
      <c r="D433" s="973"/>
    </row>
  </sheetData>
  <autoFilter ref="A5:D312" xr:uid="{00000000-0009-0000-0000-000004000000}"/>
  <mergeCells count="3">
    <mergeCell ref="A1:B1"/>
    <mergeCell ref="A2:B2"/>
    <mergeCell ref="A3:B3"/>
  </mergeCells>
  <printOptions horizontalCentered="1"/>
  <pageMargins left="0.7" right="0.7" top="0.75" bottom="0.75" header="0.3" footer="0.3"/>
  <pageSetup scale="80" firstPageNumber="7" fitToHeight="0" orientation="portrait" verticalDpi="300" r:id="rId1"/>
  <headerFooter scaleWithDoc="0" alignWithMargins="0"/>
  <rowBreaks count="1" manualBreakCount="1">
    <brk id="313"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2:X194"/>
  <sheetViews>
    <sheetView topLeftCell="A53" workbookViewId="0">
      <selection activeCell="A11" sqref="A11"/>
    </sheetView>
  </sheetViews>
  <sheetFormatPr defaultRowHeight="12.75" x14ac:dyDescent="0.2"/>
  <cols>
    <col min="1" max="1" width="15.28515625" style="684" customWidth="1"/>
    <col min="2" max="2" width="76" style="684" customWidth="1"/>
    <col min="3" max="3" width="29.28515625" style="684" customWidth="1"/>
    <col min="4" max="4" width="21.42578125" style="684" customWidth="1"/>
    <col min="5" max="5" width="18.28515625" style="684" customWidth="1"/>
    <col min="6" max="6" width="30.85546875" style="684" customWidth="1"/>
    <col min="7" max="7" width="18.28515625" style="684" customWidth="1"/>
    <col min="8" max="8" width="20" style="684" customWidth="1"/>
    <col min="9" max="9" width="6.140625" style="684" customWidth="1"/>
    <col min="10" max="10" width="19.42578125" style="684" customWidth="1"/>
    <col min="11" max="11" width="15" style="684" customWidth="1"/>
    <col min="12" max="12" width="18.28515625" style="684" customWidth="1"/>
    <col min="13" max="13" width="20" style="684" customWidth="1"/>
    <col min="14" max="14" width="16.7109375" style="684" customWidth="1"/>
    <col min="15" max="15" width="19.42578125" style="684" customWidth="1"/>
    <col min="16" max="16" width="20.42578125" style="684" customWidth="1"/>
    <col min="17" max="17" width="13.85546875" style="684" customWidth="1"/>
    <col min="18" max="18" width="30.85546875" style="684" customWidth="1"/>
    <col min="19" max="19" width="12.42578125" style="684" customWidth="1"/>
    <col min="20" max="20" width="18.7109375" style="684" customWidth="1"/>
    <col min="21" max="21" width="33" style="684" customWidth="1"/>
    <col min="22" max="22" width="15" style="684" bestFit="1" customWidth="1"/>
    <col min="23" max="16384" width="9.140625" style="684"/>
  </cols>
  <sheetData>
    <row r="2" spans="1:24" ht="15.75" x14ac:dyDescent="0.25">
      <c r="A2" s="1243" t="s">
        <v>1639</v>
      </c>
      <c r="B2" s="1244"/>
      <c r="C2" s="1245"/>
    </row>
    <row r="5" spans="1:24" ht="98.25" customHeight="1" x14ac:dyDescent="0.2">
      <c r="A5" s="1246" t="s">
        <v>1582</v>
      </c>
      <c r="B5" s="1246"/>
      <c r="C5" s="1246"/>
    </row>
    <row r="11" spans="1:24" x14ac:dyDescent="0.2">
      <c r="A11" s="479" t="s">
        <v>341</v>
      </c>
      <c r="B11" s="480" t="s">
        <v>1125</v>
      </c>
      <c r="C11" s="480"/>
    </row>
    <row r="14" spans="1:24" x14ac:dyDescent="0.2">
      <c r="B14" s="23" t="s">
        <v>1083</v>
      </c>
      <c r="C14" s="623" t="s">
        <v>1543</v>
      </c>
    </row>
    <row r="15" spans="1:24" x14ac:dyDescent="0.2">
      <c r="A15" s="686"/>
      <c r="B15" s="569" t="s">
        <v>781</v>
      </c>
      <c r="C15" s="686" t="str">
        <f>VLOOKUP(C14,'La. 2018 DIPNC Summary'!B302:C597,2,FALSE)</f>
        <v>N/A</v>
      </c>
      <c r="D15" s="686"/>
      <c r="E15" s="686"/>
      <c r="F15" s="686"/>
      <c r="G15" s="686"/>
      <c r="H15" s="686"/>
      <c r="I15" s="686"/>
      <c r="J15" s="686"/>
      <c r="K15" s="686"/>
      <c r="L15" s="686"/>
      <c r="M15" s="686"/>
      <c r="N15" s="8"/>
      <c r="O15" s="686"/>
      <c r="P15" s="686"/>
      <c r="Q15" s="686"/>
      <c r="R15" s="686"/>
      <c r="S15" s="686"/>
      <c r="T15" s="686"/>
      <c r="U15" s="686"/>
      <c r="V15" s="686"/>
      <c r="W15" s="686"/>
      <c r="X15" s="686"/>
    </row>
    <row r="16" spans="1:24" x14ac:dyDescent="0.2">
      <c r="A16" s="686"/>
      <c r="B16" s="686"/>
      <c r="C16" s="686"/>
      <c r="D16" s="686"/>
      <c r="E16" s="686"/>
      <c r="F16" s="686"/>
      <c r="G16" s="686"/>
      <c r="H16" s="8"/>
      <c r="I16" s="686"/>
      <c r="J16" s="686"/>
      <c r="K16" s="686"/>
      <c r="L16" s="686"/>
      <c r="M16" s="686"/>
      <c r="N16" s="686"/>
      <c r="O16" s="686"/>
      <c r="P16" s="686"/>
      <c r="Q16" s="686"/>
      <c r="R16" s="686"/>
      <c r="S16" s="686"/>
      <c r="T16" s="686"/>
      <c r="U16" s="686"/>
      <c r="V16" s="686"/>
      <c r="W16" s="686"/>
      <c r="X16" s="686"/>
    </row>
    <row r="17" spans="1:24" ht="43.5" customHeight="1" x14ac:dyDescent="0.2">
      <c r="A17" s="686"/>
      <c r="B17" s="735" t="s">
        <v>1669</v>
      </c>
      <c r="C17" s="624">
        <v>0</v>
      </c>
      <c r="D17" s="686"/>
      <c r="E17" s="686"/>
      <c r="F17" s="686"/>
      <c r="G17" s="686"/>
      <c r="H17" s="686"/>
      <c r="I17" s="686"/>
      <c r="J17" s="1183"/>
      <c r="K17" s="1183"/>
      <c r="L17" s="1183"/>
      <c r="M17" s="1183"/>
      <c r="N17" s="686"/>
      <c r="O17" s="686"/>
      <c r="P17" s="686"/>
      <c r="Q17" s="686"/>
      <c r="R17" s="686"/>
      <c r="S17" s="686"/>
      <c r="T17" s="686"/>
      <c r="U17" s="686"/>
      <c r="V17" s="686"/>
      <c r="W17" s="686"/>
      <c r="X17" s="686"/>
    </row>
    <row r="18" spans="1:24" ht="18.75" customHeight="1" x14ac:dyDescent="0.2">
      <c r="J18" s="1262"/>
      <c r="K18" s="1262"/>
      <c r="L18" s="1262"/>
      <c r="M18" s="1262"/>
      <c r="O18" s="1262"/>
      <c r="P18" s="1262"/>
      <c r="Q18" s="1262"/>
      <c r="R18" s="1262"/>
      <c r="W18" s="686"/>
      <c r="X18" s="686"/>
    </row>
    <row r="19" spans="1:24" hidden="1" x14ac:dyDescent="0.2">
      <c r="B19" s="684">
        <v>2</v>
      </c>
      <c r="C19" s="684">
        <v>3</v>
      </c>
      <c r="D19" s="684">
        <v>4</v>
      </c>
      <c r="F19" s="684">
        <v>5</v>
      </c>
      <c r="G19" s="684">
        <v>6</v>
      </c>
      <c r="H19" s="684">
        <v>7</v>
      </c>
      <c r="I19" s="684">
        <v>8</v>
      </c>
      <c r="J19" s="684">
        <v>9</v>
      </c>
      <c r="K19" s="684">
        <v>10</v>
      </c>
      <c r="L19" s="684">
        <v>11</v>
      </c>
      <c r="M19" s="684">
        <v>12</v>
      </c>
      <c r="N19" s="684">
        <v>13</v>
      </c>
      <c r="O19" s="684">
        <v>14</v>
      </c>
      <c r="P19" s="684">
        <v>15</v>
      </c>
      <c r="Q19" s="684">
        <v>16</v>
      </c>
      <c r="R19" s="684">
        <v>17</v>
      </c>
      <c r="S19" s="684">
        <v>18</v>
      </c>
      <c r="T19" s="684">
        <v>19</v>
      </c>
      <c r="U19" s="684">
        <v>20</v>
      </c>
      <c r="V19" s="684">
        <v>21</v>
      </c>
      <c r="W19" s="686"/>
      <c r="X19" s="686"/>
    </row>
    <row r="20" spans="1:24" ht="15" x14ac:dyDescent="0.25">
      <c r="F20" s="52"/>
      <c r="G20" s="52"/>
      <c r="J20" s="476" t="s">
        <v>778</v>
      </c>
      <c r="K20" s="476"/>
      <c r="L20" s="476"/>
      <c r="M20" s="476"/>
      <c r="O20" s="476" t="s">
        <v>779</v>
      </c>
      <c r="P20" s="476"/>
      <c r="Q20" s="476"/>
      <c r="R20" s="476"/>
      <c r="T20" s="476" t="s">
        <v>1206</v>
      </c>
      <c r="U20" s="476"/>
      <c r="V20" s="476"/>
      <c r="W20" s="686"/>
      <c r="X20" s="686"/>
    </row>
    <row r="21" spans="1:24" ht="72" customHeight="1" x14ac:dyDescent="0.25">
      <c r="A21" s="477" t="s">
        <v>781</v>
      </c>
      <c r="B21" s="477" t="s">
        <v>782</v>
      </c>
      <c r="C21" s="477" t="s">
        <v>1129</v>
      </c>
      <c r="D21" s="477" t="s">
        <v>1130</v>
      </c>
      <c r="E21" s="477" t="s">
        <v>1151</v>
      </c>
      <c r="F21" s="477" t="s">
        <v>1152</v>
      </c>
      <c r="G21" s="477" t="s">
        <v>1733</v>
      </c>
      <c r="H21" s="477" t="s">
        <v>1734</v>
      </c>
      <c r="I21" s="477"/>
      <c r="J21" s="477" t="s">
        <v>784</v>
      </c>
      <c r="K21" s="477" t="s">
        <v>785</v>
      </c>
      <c r="L21" s="477" t="s">
        <v>786</v>
      </c>
      <c r="M21" s="477" t="s">
        <v>787</v>
      </c>
      <c r="N21" s="477"/>
      <c r="O21" s="477" t="s">
        <v>784</v>
      </c>
      <c r="P21" s="477" t="s">
        <v>785</v>
      </c>
      <c r="Q21" s="477" t="s">
        <v>786</v>
      </c>
      <c r="R21" s="477" t="s">
        <v>787</v>
      </c>
      <c r="S21" s="477"/>
      <c r="T21" s="477" t="s">
        <v>1542</v>
      </c>
      <c r="U21" s="477" t="s">
        <v>789</v>
      </c>
      <c r="V21" s="477" t="s">
        <v>1583</v>
      </c>
      <c r="W21" s="686"/>
      <c r="X21" s="686"/>
    </row>
    <row r="22" spans="1:24" ht="15" x14ac:dyDescent="0.25">
      <c r="A22" s="477"/>
      <c r="B22" s="477"/>
      <c r="C22" s="477"/>
      <c r="D22" s="477"/>
      <c r="E22" s="477"/>
      <c r="F22" s="477"/>
      <c r="G22" s="477"/>
      <c r="H22" s="477"/>
      <c r="I22" s="477"/>
      <c r="J22" s="477"/>
      <c r="K22" s="477"/>
      <c r="L22" s="477"/>
      <c r="M22" s="477"/>
      <c r="N22" s="477"/>
      <c r="O22" s="477"/>
      <c r="P22" s="477"/>
      <c r="Q22" s="477"/>
      <c r="R22" s="477"/>
      <c r="S22" s="477"/>
      <c r="T22" s="477"/>
      <c r="U22" s="477"/>
      <c r="V22" s="477"/>
      <c r="W22" s="686"/>
      <c r="X22" s="686"/>
    </row>
    <row r="23" spans="1:24" ht="15" x14ac:dyDescent="0.25">
      <c r="A23" s="477" t="s">
        <v>1154</v>
      </c>
      <c r="B23" s="477"/>
      <c r="C23" s="477"/>
      <c r="D23" s="477"/>
      <c r="E23" s="477"/>
      <c r="F23" s="477"/>
      <c r="G23" s="477"/>
      <c r="H23" s="477"/>
      <c r="I23" s="477"/>
      <c r="J23" s="477"/>
      <c r="K23" s="477"/>
      <c r="L23" s="477"/>
      <c r="M23" s="477"/>
      <c r="N23" s="477"/>
      <c r="O23" s="477"/>
      <c r="P23" s="477"/>
      <c r="Q23" s="477"/>
      <c r="R23" s="477"/>
      <c r="S23" s="477"/>
      <c r="T23" s="477"/>
      <c r="U23" s="477"/>
      <c r="V23" s="477"/>
      <c r="W23" s="686"/>
      <c r="X23" s="686"/>
    </row>
    <row r="24" spans="1:24" x14ac:dyDescent="0.2">
      <c r="A24" s="23" t="str">
        <f>C15</f>
        <v>N/A</v>
      </c>
      <c r="B24" s="684" t="str">
        <f>C14</f>
        <v>NO AGENCY CHOSEN</v>
      </c>
      <c r="C24" s="574">
        <f>VLOOKUP($A$24,'Lb. 2019 DIPNC Summary'!A:W,3,FALSE)</f>
        <v>0</v>
      </c>
      <c r="D24" s="574">
        <f>VLOOKUP($A$24,'La. 2018 DIPNC Summary'!$A:$V,3,FALSE)</f>
        <v>0</v>
      </c>
      <c r="E24" s="574">
        <f>C24-D24</f>
        <v>0</v>
      </c>
      <c r="F24" s="681">
        <f>VLOOKUP($A$24,'Lb. 2019 DIPNC Summary'!$A:$V,5,FALSE)</f>
        <v>0</v>
      </c>
      <c r="G24" s="681">
        <f>-VLOOKUP($A$24,'Lb. 2019 DIPNC Summary'!$A:$V,6,FALSE)</f>
        <v>0</v>
      </c>
      <c r="H24" s="681">
        <f>-VLOOKUP($A$24,'Lb. 2019 DIPNC Summary'!$A:$V,7,FALSE)</f>
        <v>0</v>
      </c>
      <c r="I24" s="681"/>
      <c r="J24" s="681">
        <f>VLOOKUP($A$24,'Lb. 2019 DIPNC Summary'!$A:$V,9,FALSE)</f>
        <v>0</v>
      </c>
      <c r="K24" s="681">
        <f>VLOOKUP($A$24,'Lb. 2019 DIPNC Summary'!$A:$V,10,FALSE)</f>
        <v>0</v>
      </c>
      <c r="L24" s="681">
        <f>VLOOKUP($A$24,'Lb. 2019 DIPNC Summary'!$A:$V,11,FALSE)</f>
        <v>0</v>
      </c>
      <c r="M24" s="681">
        <f>VLOOKUP($A$24,'Lb. 2019 DIPNC Summary'!$A:$V,12,FALSE)</f>
        <v>0</v>
      </c>
      <c r="N24" s="681"/>
      <c r="O24" s="681">
        <f>VLOOKUP($A$24,'Lb. 2019 DIPNC Summary'!$A:$V,14,FALSE)</f>
        <v>0</v>
      </c>
      <c r="P24" s="681">
        <f>VLOOKUP($A$24,'Lb. 2019 DIPNC Summary'!$A:$V,15,FALSE)</f>
        <v>0</v>
      </c>
      <c r="Q24" s="681">
        <f>VLOOKUP($A$24,'Lb. 2019 DIPNC Summary'!$A:$V,16,FALSE)</f>
        <v>0</v>
      </c>
      <c r="R24" s="681">
        <f>VLOOKUP($A$24,'Lb. 2019 DIPNC Summary'!$A:$V,17,FALSE)</f>
        <v>0</v>
      </c>
      <c r="S24" s="681"/>
      <c r="T24" s="681">
        <f>VLOOKUP($A$24,'Lb. 2019 DIPNC Summary'!$A:$V,19,FALSE)</f>
        <v>0</v>
      </c>
      <c r="U24" s="681">
        <f>VLOOKUP($A$24,'Lb. 2019 DIPNC Summary'!$A:$V,20,FALSE)</f>
        <v>0</v>
      </c>
      <c r="V24" s="681">
        <f>VLOOKUP($A$24,'Lb. 2019 DIPNC Summary'!$A:$V,21,FALSE)</f>
        <v>0</v>
      </c>
      <c r="W24" s="686"/>
      <c r="X24" s="686"/>
    </row>
    <row r="25" spans="1:24" x14ac:dyDescent="0.2">
      <c r="W25" s="686"/>
      <c r="X25" s="686"/>
    </row>
    <row r="26" spans="1:24" s="733" customFormat="1" x14ac:dyDescent="0.2">
      <c r="A26" s="736"/>
      <c r="B26" s="737" t="s">
        <v>1668</v>
      </c>
      <c r="F26" s="558">
        <f>'DIPNC Contributions 2018'!C296</f>
        <v>23383105</v>
      </c>
      <c r="G26" s="558">
        <f>-'Lb. 2019 DIPNC Summary'!F304</f>
        <v>61119997</v>
      </c>
      <c r="H26" s="558">
        <f>-'Lb. 2019 DIPNC Summary'!G304</f>
        <v>30376010</v>
      </c>
      <c r="I26" s="558"/>
      <c r="J26" s="558">
        <f>'Lb. 2019 DIPNC Summary'!I304</f>
        <v>52987997</v>
      </c>
      <c r="K26" s="558">
        <f>'Lb. 2019 DIPNC Summary'!J304</f>
        <v>23657004</v>
      </c>
      <c r="L26" s="558">
        <f>'Lb. 2019 DIPNC Summary'!K304</f>
        <v>5736007</v>
      </c>
      <c r="M26" s="558">
        <f>'Lb. 2019 DIPNC Summary'!L304</f>
        <v>2311160</v>
      </c>
      <c r="N26" s="558"/>
      <c r="O26" s="558">
        <f>'Lb. 2019 DIPNC Summary'!N304</f>
        <v>0</v>
      </c>
      <c r="P26" s="558">
        <f>'Lb. 2019 DIPNC Summary'!O304</f>
        <v>0</v>
      </c>
      <c r="Q26" s="558">
        <f>'Lb. 2019 DIPNC Summary'!P304</f>
        <v>0</v>
      </c>
      <c r="R26" s="558">
        <f>'Lb. 2019 DIPNC Summary'!Q304</f>
        <v>2310732</v>
      </c>
      <c r="S26" s="558"/>
      <c r="T26" s="558">
        <f>'Lb. 2019 DIPNC Summary'!S304</f>
        <v>1901001</v>
      </c>
      <c r="U26" s="558">
        <f>'Lb. 2019 DIPNC Summary'!T304</f>
        <v>211</v>
      </c>
      <c r="V26" s="558">
        <f>'Lb. 2019 DIPNC Summary'!U304</f>
        <v>1901212</v>
      </c>
      <c r="W26" s="734"/>
      <c r="X26" s="734"/>
    </row>
    <row r="27" spans="1:24" x14ac:dyDescent="0.2">
      <c r="A27" s="23"/>
      <c r="F27" s="568"/>
      <c r="G27" s="568"/>
      <c r="H27" s="568"/>
      <c r="J27" s="568"/>
      <c r="K27" s="568"/>
      <c r="L27" s="568"/>
      <c r="M27" s="568"/>
      <c r="O27" s="568"/>
      <c r="P27" s="568"/>
      <c r="Q27" s="568"/>
      <c r="R27" s="568"/>
      <c r="T27" s="568"/>
      <c r="U27" s="568"/>
      <c r="V27" s="568"/>
      <c r="W27" s="686"/>
      <c r="X27" s="686"/>
    </row>
    <row r="28" spans="1:24" ht="15" x14ac:dyDescent="0.25">
      <c r="A28" s="571" t="s">
        <v>1155</v>
      </c>
      <c r="F28" s="568"/>
      <c r="G28" s="568"/>
      <c r="H28" s="568"/>
      <c r="J28" s="568"/>
      <c r="K28" s="568"/>
      <c r="L28" s="568"/>
      <c r="M28" s="568"/>
      <c r="O28" s="568"/>
      <c r="P28" s="568"/>
      <c r="Q28" s="568"/>
      <c r="R28" s="568"/>
      <c r="T28" s="568"/>
      <c r="U28" s="568"/>
      <c r="V28" s="568"/>
      <c r="W28" s="686"/>
      <c r="X28" s="686"/>
    </row>
    <row r="29" spans="1:24" x14ac:dyDescent="0.2">
      <c r="A29" s="23" t="str">
        <f>C15</f>
        <v>N/A</v>
      </c>
      <c r="B29" s="684" t="str">
        <f>C14</f>
        <v>NO AGENCY CHOSEN</v>
      </c>
      <c r="C29" s="574">
        <f>VLOOKUP($A$24,'La. 2018 DIPNC Summary'!$A:$V,3,FALSE)</f>
        <v>0</v>
      </c>
      <c r="D29" s="574">
        <f>VLOOKUP($A$24,'La. 2018 DIPNC Summary'!$A:$V,4,FALSE)</f>
        <v>0</v>
      </c>
      <c r="E29" s="570">
        <f>C29-D29</f>
        <v>0</v>
      </c>
      <c r="F29" s="681">
        <f>VLOOKUP($A$24,'La. 2018 DIPNC Summary'!$A:$V,5,FALSE)</f>
        <v>0</v>
      </c>
      <c r="G29" s="681">
        <f>-VLOOKUP($A$24,'La. 2018 DIPNC Summary'!$A:$V,6,FALSE)</f>
        <v>0</v>
      </c>
      <c r="H29" s="681">
        <f>-VLOOKUP($A$24,'La. 2018 DIPNC Summary'!$A:$V,7,FALSE)</f>
        <v>0</v>
      </c>
      <c r="I29" s="36"/>
      <c r="J29" s="681">
        <f>VLOOKUP($A$24,'La. 2018 DIPNC Summary'!$A:$V,9,FALSE)</f>
        <v>0</v>
      </c>
      <c r="K29" s="681">
        <f>VLOOKUP($A$24,'La. 2018 DIPNC Summary'!$A:$V,10,FALSE)</f>
        <v>0</v>
      </c>
      <c r="L29" s="681">
        <f>VLOOKUP($A$24,'La. 2018 DIPNC Summary'!$A:$V,11,FALSE)</f>
        <v>0</v>
      </c>
      <c r="M29" s="762">
        <f>VLOOKUP($A$24,'La. 2018 DIPNC Summary'!$A:$V,12,FALSE)</f>
        <v>0</v>
      </c>
      <c r="N29" s="681"/>
      <c r="O29" s="681">
        <f>VLOOKUP($A$24,'La. 2018 DIPNC Summary'!$A:$V,14,FALSE)</f>
        <v>0</v>
      </c>
      <c r="P29" s="681">
        <f>VLOOKUP($A$24,'La. 2018 DIPNC Summary'!$A:$V,15,FALSE)</f>
        <v>0</v>
      </c>
      <c r="Q29" s="681">
        <f>VLOOKUP($A$24,'La. 2018 DIPNC Summary'!$A:$V,16,FALSE)</f>
        <v>0</v>
      </c>
      <c r="R29" s="681">
        <f>VLOOKUP($A$24,'La. 2018 DIPNC Summary'!$A:$V,17,FALSE)</f>
        <v>0</v>
      </c>
      <c r="S29" s="681"/>
      <c r="T29" s="681">
        <f>VLOOKUP($A$24,'La. 2018 DIPNC Summary'!$A:$V,19,FALSE)</f>
        <v>0</v>
      </c>
      <c r="U29" s="681">
        <f>VLOOKUP($A$24,'La. 2018 DIPNC Summary'!$A:$V,20,FALSE)</f>
        <v>0</v>
      </c>
      <c r="V29" s="681">
        <f>VLOOKUP($A$24,'La. 2018 DIPNC Summary'!$A:$V,21,FALSE)</f>
        <v>0</v>
      </c>
      <c r="W29" s="686"/>
      <c r="X29" s="686"/>
    </row>
    <row r="30" spans="1:24" x14ac:dyDescent="0.2">
      <c r="A30" s="23"/>
      <c r="F30" s="568"/>
      <c r="G30" s="568"/>
      <c r="H30" s="772"/>
      <c r="J30" s="772"/>
      <c r="K30" s="772"/>
      <c r="L30" s="772"/>
      <c r="M30" s="772"/>
      <c r="N30" s="772"/>
      <c r="O30" s="772"/>
      <c r="P30" s="772"/>
      <c r="Q30" s="772"/>
      <c r="R30" s="772"/>
      <c r="S30" s="772"/>
      <c r="T30" s="772"/>
      <c r="U30" s="772"/>
      <c r="V30" s="772"/>
      <c r="W30" s="686"/>
      <c r="X30" s="686"/>
    </row>
    <row r="31" spans="1:24" x14ac:dyDescent="0.2">
      <c r="A31" s="23"/>
      <c r="B31" s="684" t="s">
        <v>1527</v>
      </c>
      <c r="F31" s="558">
        <f>'DIPNC Contributions 2017'!C295</f>
        <v>61650936</v>
      </c>
      <c r="G31" s="558">
        <f>-'La. 2018 DIPNC Summary'!F$300</f>
        <v>62099998</v>
      </c>
      <c r="H31" s="558">
        <f>-'La. 2018 DIPNC Summary'!G$300</f>
        <v>61120000</v>
      </c>
      <c r="I31" s="568"/>
      <c r="J31" s="558">
        <f>'La. 2018 DIPNC Summary'!I$300</f>
        <v>16758000</v>
      </c>
      <c r="K31" s="558">
        <f>'La. 2018 DIPNC Summary'!J$300</f>
        <v>13397000</v>
      </c>
      <c r="L31" s="558">
        <f>'La. 2018 DIPNC Summary'!K4305</f>
        <v>0</v>
      </c>
      <c r="M31" s="558">
        <f>'La. 2018 DIPNC Summary'!L$300</f>
        <v>1710444</v>
      </c>
      <c r="N31" s="558"/>
      <c r="O31" s="558">
        <f>'La. 2018 DIPNC Summary'!N$300</f>
        <v>0</v>
      </c>
      <c r="P31" s="558">
        <f>'La. 2018 DIPNC Summary'!O$300</f>
        <v>0</v>
      </c>
      <c r="Q31" s="558">
        <f>'La. 2018 DIPNC Summary'!P$300</f>
        <v>0</v>
      </c>
      <c r="R31" s="558">
        <f>'La. 2018 DIPNC Summary'!Q$300</f>
        <v>1710078</v>
      </c>
      <c r="S31" s="558"/>
      <c r="T31" s="558">
        <f>'La. 2018 DIPNC Summary'!S$300</f>
        <v>32473000</v>
      </c>
      <c r="U31" s="558">
        <f>'La. 2018 DIPNC Summary'!T$300</f>
        <v>122</v>
      </c>
      <c r="V31" s="558">
        <f>'La. 2018 DIPNC Summary'!U$300</f>
        <v>32473122</v>
      </c>
      <c r="W31" s="686"/>
      <c r="X31" s="686"/>
    </row>
    <row r="32" spans="1:24" x14ac:dyDescent="0.2">
      <c r="A32" s="23"/>
      <c r="F32" s="568"/>
      <c r="G32" s="568"/>
      <c r="H32" s="568">
        <f>H24-H29</f>
        <v>0</v>
      </c>
      <c r="J32" s="568">
        <f>J24-J29</f>
        <v>0</v>
      </c>
      <c r="K32" s="568">
        <f>K24-K29</f>
        <v>0</v>
      </c>
      <c r="L32" s="568">
        <f>L24-L29</f>
        <v>0</v>
      </c>
      <c r="M32" s="568">
        <f>M24-M29</f>
        <v>0</v>
      </c>
      <c r="O32" s="568">
        <f>O24-O29</f>
        <v>0</v>
      </c>
      <c r="P32" s="568">
        <f>P24-P29</f>
        <v>0</v>
      </c>
      <c r="Q32" s="568">
        <f>Q24-Q29</f>
        <v>0</v>
      </c>
      <c r="R32" s="568">
        <f>R24-R29</f>
        <v>0</v>
      </c>
      <c r="T32" s="568"/>
      <c r="U32" s="568"/>
      <c r="V32" s="568"/>
      <c r="W32" s="686"/>
      <c r="X32" s="686"/>
    </row>
    <row r="33" spans="1:24" ht="25.5" x14ac:dyDescent="0.2">
      <c r="A33" s="23"/>
      <c r="F33" s="568"/>
      <c r="G33" s="568"/>
      <c r="H33" s="568"/>
      <c r="J33" s="82" t="s">
        <v>1172</v>
      </c>
      <c r="K33" s="8">
        <f>K29-P29</f>
        <v>0</v>
      </c>
      <c r="L33" s="568"/>
      <c r="M33" s="568"/>
      <c r="O33" s="568"/>
      <c r="P33" s="568"/>
      <c r="Q33" s="568"/>
      <c r="R33" s="568"/>
      <c r="T33" s="568"/>
      <c r="U33" s="568"/>
      <c r="V33" s="568"/>
      <c r="W33" s="686"/>
      <c r="X33" s="686"/>
    </row>
    <row r="34" spans="1:24" ht="15" x14ac:dyDescent="0.25">
      <c r="A34" s="569"/>
      <c r="B34" s="616"/>
      <c r="C34" s="686"/>
      <c r="D34" s="686"/>
      <c r="E34" s="686"/>
      <c r="F34" s="612"/>
      <c r="G34" s="612"/>
      <c r="H34" s="612"/>
      <c r="I34" s="686"/>
      <c r="J34" s="612"/>
      <c r="K34" s="612"/>
      <c r="L34" s="612"/>
      <c r="M34" s="612"/>
      <c r="N34" s="686"/>
      <c r="O34" s="612"/>
      <c r="P34" s="568"/>
      <c r="Q34" s="568"/>
      <c r="R34" s="568"/>
      <c r="T34" s="568"/>
      <c r="U34" s="568"/>
      <c r="V34" s="568"/>
      <c r="W34" s="686"/>
      <c r="X34" s="686"/>
    </row>
    <row r="35" spans="1:24" hidden="1" x14ac:dyDescent="0.2">
      <c r="A35" s="569"/>
      <c r="B35" s="686" t="s">
        <v>1739</v>
      </c>
      <c r="C35" s="8">
        <f>IF(J32&gt;0, J32, 0)</f>
        <v>0</v>
      </c>
      <c r="D35" s="8">
        <f>IF(J32&lt;0, -J32, 0)</f>
        <v>0</v>
      </c>
      <c r="E35" s="617"/>
      <c r="F35" s="612"/>
      <c r="G35" s="612"/>
      <c r="H35" s="612"/>
      <c r="I35" s="686"/>
      <c r="J35" s="612"/>
      <c r="K35" s="612"/>
      <c r="L35" s="612"/>
      <c r="M35" s="612"/>
      <c r="N35" s="686"/>
      <c r="O35" s="612"/>
      <c r="P35" s="568"/>
      <c r="Q35" s="568"/>
      <c r="R35" s="568"/>
      <c r="T35" s="568"/>
      <c r="U35" s="568"/>
      <c r="V35" s="568"/>
      <c r="W35" s="686"/>
      <c r="X35" s="686"/>
    </row>
    <row r="36" spans="1:24" hidden="1" x14ac:dyDescent="0.2">
      <c r="A36" s="569"/>
      <c r="B36" s="686" t="s">
        <v>1738</v>
      </c>
      <c r="C36" s="8">
        <f>IF(L32&gt;0, L32, 0)</f>
        <v>0</v>
      </c>
      <c r="D36" s="8">
        <f>IF(L32&lt;0, -L32, 0)</f>
        <v>0</v>
      </c>
      <c r="E36" s="617"/>
      <c r="F36" s="612"/>
      <c r="G36" s="612"/>
      <c r="H36" s="686"/>
      <c r="I36" s="612"/>
      <c r="J36" s="612"/>
      <c r="K36" s="612"/>
      <c r="L36" s="612"/>
      <c r="M36" s="686"/>
      <c r="N36" s="612"/>
      <c r="O36" s="686"/>
      <c r="P36" s="568"/>
      <c r="Q36" s="568"/>
      <c r="R36" s="568"/>
      <c r="T36" s="568"/>
      <c r="U36" s="568"/>
      <c r="V36" s="568"/>
      <c r="W36" s="686"/>
      <c r="X36" s="686"/>
    </row>
    <row r="37" spans="1:24" hidden="1" x14ac:dyDescent="0.2">
      <c r="A37" s="569"/>
      <c r="B37" s="686" t="s">
        <v>1740</v>
      </c>
      <c r="C37" s="8">
        <f>IF(K32&gt;0, K32,0)</f>
        <v>0</v>
      </c>
      <c r="D37" s="8">
        <f>IF(K32&lt;0, -K32, 0)</f>
        <v>0</v>
      </c>
      <c r="E37" s="617"/>
      <c r="F37" s="612"/>
      <c r="G37" s="612"/>
      <c r="H37" s="686"/>
      <c r="I37" s="612"/>
      <c r="J37" s="612"/>
      <c r="K37" s="612"/>
      <c r="L37" s="612"/>
      <c r="M37" s="686"/>
      <c r="N37" s="612"/>
      <c r="O37" s="686"/>
      <c r="P37" s="568"/>
      <c r="Q37" s="568"/>
      <c r="R37" s="568"/>
      <c r="T37" s="568"/>
      <c r="U37" s="568"/>
      <c r="V37" s="568"/>
      <c r="W37" s="686"/>
      <c r="X37" s="686"/>
    </row>
    <row r="38" spans="1:24" ht="25.5" hidden="1" x14ac:dyDescent="0.2">
      <c r="A38" s="569"/>
      <c r="B38" s="620" t="s">
        <v>1741</v>
      </c>
      <c r="C38" s="8">
        <f>IF(M32&gt;0, M32, 0)</f>
        <v>0</v>
      </c>
      <c r="D38" s="8">
        <f>IF(M32&lt;0, -M32, 0)</f>
        <v>0</v>
      </c>
      <c r="E38" s="617"/>
      <c r="F38" s="612"/>
      <c r="G38" s="612"/>
      <c r="H38" s="686"/>
      <c r="I38" s="612"/>
      <c r="J38" s="612"/>
      <c r="K38" s="612"/>
      <c r="L38" s="612"/>
      <c r="M38" s="686"/>
      <c r="N38" s="612"/>
      <c r="O38" s="686"/>
      <c r="P38" s="568"/>
      <c r="Q38" s="568"/>
      <c r="R38" s="568"/>
      <c r="T38" s="568"/>
      <c r="U38" s="568"/>
      <c r="V38" s="568"/>
      <c r="W38" s="686"/>
      <c r="X38" s="686"/>
    </row>
    <row r="39" spans="1:24" hidden="1" x14ac:dyDescent="0.2">
      <c r="A39" s="569"/>
      <c r="B39" s="686" t="s">
        <v>1742</v>
      </c>
      <c r="C39" s="8">
        <f>IF(O32&lt;0, -O32, 0)</f>
        <v>0</v>
      </c>
      <c r="D39" s="8">
        <f>IF(O32&gt;0, O32, 0)</f>
        <v>0</v>
      </c>
      <c r="E39" s="617"/>
      <c r="F39" s="612"/>
      <c r="G39" s="612"/>
      <c r="H39" s="686"/>
      <c r="I39" s="612"/>
      <c r="J39" s="612"/>
      <c r="K39" s="612"/>
      <c r="L39" s="612"/>
      <c r="M39" s="686"/>
      <c r="N39" s="612"/>
      <c r="O39" s="686"/>
      <c r="P39" s="568"/>
      <c r="Q39" s="568"/>
      <c r="R39" s="568"/>
      <c r="T39" s="568"/>
      <c r="U39" s="568"/>
      <c r="V39" s="568"/>
      <c r="W39" s="686"/>
      <c r="X39" s="686"/>
    </row>
    <row r="40" spans="1:24" hidden="1" x14ac:dyDescent="0.2">
      <c r="A40" s="569"/>
      <c r="B40" s="686" t="s">
        <v>1743</v>
      </c>
      <c r="C40" s="8">
        <f>IF(Q32&lt;0, -Q32, 0)</f>
        <v>0</v>
      </c>
      <c r="D40" s="8">
        <f>IF(Q32&gt;0, Q32,0)</f>
        <v>0</v>
      </c>
      <c r="E40" s="617"/>
      <c r="F40" s="434"/>
      <c r="G40" s="104"/>
      <c r="H40" s="104"/>
      <c r="I40" s="104"/>
      <c r="J40" s="104"/>
      <c r="K40" s="104"/>
      <c r="L40" s="104"/>
      <c r="M40" s="104"/>
      <c r="N40" s="104"/>
      <c r="O40" s="686"/>
      <c r="P40" s="568"/>
      <c r="Q40" s="568"/>
      <c r="R40" s="568"/>
      <c r="T40" s="568"/>
      <c r="U40" s="568"/>
      <c r="V40" s="568"/>
      <c r="W40" s="686"/>
      <c r="X40" s="686"/>
    </row>
    <row r="41" spans="1:24" hidden="1" x14ac:dyDescent="0.2">
      <c r="A41" s="569"/>
      <c r="B41" s="82" t="s">
        <v>1744</v>
      </c>
      <c r="C41" s="8">
        <f>IF(P32&lt;0, -P32,0)</f>
        <v>0</v>
      </c>
      <c r="D41" s="8">
        <f>IF(P32&gt;0,P32,0)</f>
        <v>0</v>
      </c>
      <c r="E41" s="617"/>
      <c r="F41" s="434"/>
      <c r="G41" s="104"/>
      <c r="H41" s="104"/>
      <c r="I41" s="104"/>
      <c r="J41" s="104"/>
      <c r="K41" s="104"/>
      <c r="L41" s="104"/>
      <c r="M41" s="104"/>
      <c r="N41" s="104"/>
      <c r="O41" s="686"/>
      <c r="P41" s="568"/>
      <c r="Q41" s="568"/>
      <c r="R41" s="568"/>
      <c r="T41" s="568"/>
      <c r="U41" s="568"/>
      <c r="V41" s="568"/>
      <c r="W41" s="686"/>
      <c r="X41" s="686"/>
    </row>
    <row r="42" spans="1:24" ht="25.5" hidden="1" x14ac:dyDescent="0.2">
      <c r="A42" s="569"/>
      <c r="B42" s="82" t="s">
        <v>1745</v>
      </c>
      <c r="C42" s="8">
        <f>IF(R32&lt;0,-R32,0)</f>
        <v>0</v>
      </c>
      <c r="D42" s="8">
        <f>IF(R32&gt;0,R32,0)</f>
        <v>0</v>
      </c>
      <c r="E42" s="375"/>
      <c r="F42" s="617"/>
      <c r="G42" s="687"/>
      <c r="H42" s="687"/>
      <c r="I42" s="686"/>
      <c r="J42" s="572"/>
      <c r="K42" s="686"/>
      <c r="L42" s="686"/>
      <c r="M42" s="686"/>
      <c r="N42" s="686"/>
      <c r="O42" s="686"/>
      <c r="P42" s="568"/>
      <c r="Q42" s="568"/>
      <c r="R42" s="568"/>
      <c r="T42" s="568"/>
      <c r="U42" s="568"/>
      <c r="V42" s="568"/>
      <c r="W42" s="686"/>
      <c r="X42" s="686"/>
    </row>
    <row r="43" spans="1:24" hidden="1" x14ac:dyDescent="0.2">
      <c r="A43" s="569"/>
      <c r="B43" s="686" t="s">
        <v>1746</v>
      </c>
      <c r="C43" s="8">
        <f>C17</f>
        <v>0</v>
      </c>
      <c r="D43" s="8">
        <v>0</v>
      </c>
      <c r="E43" s="617"/>
      <c r="F43" s="687"/>
      <c r="G43" s="687"/>
      <c r="H43" s="687"/>
      <c r="I43" s="686"/>
      <c r="J43" s="572"/>
      <c r="K43" s="686"/>
      <c r="L43" s="686"/>
      <c r="M43" s="686"/>
      <c r="N43" s="686"/>
      <c r="O43" s="686"/>
      <c r="P43" s="568"/>
      <c r="Q43" s="568"/>
      <c r="R43" s="568"/>
      <c r="T43" s="568"/>
      <c r="U43" s="568"/>
      <c r="V43" s="568"/>
      <c r="W43" s="686"/>
      <c r="X43" s="686"/>
    </row>
    <row r="44" spans="1:24" ht="15" hidden="1" x14ac:dyDescent="0.25">
      <c r="A44" s="569"/>
      <c r="B44" s="620" t="s">
        <v>1531</v>
      </c>
      <c r="C44" s="618"/>
      <c r="D44" s="621">
        <f>C17</f>
        <v>0</v>
      </c>
      <c r="E44" s="621"/>
      <c r="F44" s="619"/>
      <c r="G44" s="619"/>
      <c r="H44" s="619"/>
      <c r="I44" s="619"/>
      <c r="J44" s="619"/>
      <c r="K44" s="619"/>
      <c r="L44" s="619"/>
      <c r="M44" s="619"/>
      <c r="N44" s="619"/>
      <c r="O44" s="686"/>
      <c r="P44" s="568"/>
      <c r="Q44" s="568"/>
      <c r="R44" s="568"/>
      <c r="T44" s="568"/>
      <c r="U44" s="568"/>
      <c r="V44" s="568"/>
      <c r="W44" s="686"/>
      <c r="X44" s="686"/>
    </row>
    <row r="45" spans="1:24" hidden="1" x14ac:dyDescent="0.2">
      <c r="A45" s="569"/>
      <c r="B45" s="620" t="s">
        <v>1736</v>
      </c>
      <c r="C45" s="8">
        <f>IF(V24&gt;0, V24, 0)</f>
        <v>0</v>
      </c>
      <c r="D45" s="621">
        <f>IF(V24&lt;0, -V24, 0)</f>
        <v>0</v>
      </c>
      <c r="E45" s="621"/>
      <c r="F45" s="613"/>
      <c r="G45" s="613"/>
      <c r="H45" s="613"/>
      <c r="I45" s="686"/>
      <c r="J45" s="686"/>
      <c r="K45" s="686"/>
      <c r="L45" s="686"/>
      <c r="M45" s="686"/>
      <c r="N45" s="686"/>
      <c r="O45" s="686"/>
      <c r="P45" s="568"/>
      <c r="Q45" s="568"/>
      <c r="R45" s="568"/>
      <c r="T45" s="568"/>
      <c r="U45" s="568"/>
      <c r="V45" s="568"/>
      <c r="W45" s="686"/>
      <c r="X45" s="686"/>
    </row>
    <row r="46" spans="1:24" hidden="1" x14ac:dyDescent="0.2">
      <c r="A46" s="569"/>
      <c r="B46" s="686" t="s">
        <v>1737</v>
      </c>
      <c r="C46" s="8">
        <f>IF(D43&gt;F24, D43-F24, 0)</f>
        <v>0</v>
      </c>
      <c r="D46" s="621">
        <f>IF(D43&lt;F24, F24-D43, 0)</f>
        <v>0</v>
      </c>
      <c r="E46" s="621"/>
      <c r="F46" s="686"/>
      <c r="G46" s="686"/>
      <c r="H46" s="686"/>
      <c r="I46" s="686"/>
      <c r="J46" s="686"/>
      <c r="K46" s="686"/>
      <c r="L46" s="686"/>
      <c r="M46" s="686"/>
      <c r="N46" s="686"/>
      <c r="O46" s="686"/>
      <c r="P46" s="568"/>
      <c r="Q46" s="568"/>
      <c r="R46" s="568"/>
      <c r="T46" s="568"/>
      <c r="U46" s="568"/>
      <c r="V46" s="568"/>
      <c r="W46" s="686"/>
      <c r="X46" s="686"/>
    </row>
    <row r="47" spans="1:24" hidden="1" x14ac:dyDescent="0.2">
      <c r="A47" s="569"/>
      <c r="B47" s="686" t="s">
        <v>1206</v>
      </c>
      <c r="C47" s="8">
        <f>IF(SUM(C45:C46)&gt;SUM(D45:D46), SUM(C45:C46)-SUM(D45:D46), 0)</f>
        <v>0</v>
      </c>
      <c r="D47" s="621">
        <f>IF(SUM(D45:D46)&gt;SUM(C45:C46), sum (D45:D46)-SUM(C45:C46),0)</f>
        <v>0</v>
      </c>
      <c r="E47" s="621"/>
      <c r="F47" s="614"/>
      <c r="G47" s="614"/>
      <c r="H47" s="614"/>
      <c r="I47" s="686"/>
      <c r="J47" s="686"/>
      <c r="K47" s="686"/>
      <c r="L47" s="686"/>
      <c r="M47" s="686"/>
      <c r="N47" s="686"/>
      <c r="O47" s="686"/>
      <c r="P47" s="568"/>
      <c r="Q47" s="568"/>
      <c r="R47" s="568"/>
      <c r="T47" s="568"/>
      <c r="U47" s="568"/>
      <c r="V47" s="568"/>
      <c r="W47" s="686"/>
      <c r="X47" s="686"/>
    </row>
    <row r="48" spans="1:24" hidden="1" x14ac:dyDescent="0.2">
      <c r="A48" s="569"/>
      <c r="B48" s="686" t="s">
        <v>1747</v>
      </c>
      <c r="C48" s="8">
        <f>IF(H32&gt;0, H32,0)</f>
        <v>0</v>
      </c>
      <c r="D48" s="621">
        <f>IF(H32&lt;0, -H32,0)</f>
        <v>0</v>
      </c>
      <c r="E48" s="375"/>
      <c r="F48" s="686"/>
      <c r="G48" s="686"/>
      <c r="H48" s="686"/>
      <c r="I48" s="686"/>
      <c r="J48" s="686"/>
      <c r="K48" s="686"/>
      <c r="L48" s="686"/>
      <c r="M48" s="686"/>
      <c r="N48" s="686"/>
      <c r="O48" s="686"/>
      <c r="P48" s="568"/>
      <c r="Q48" s="568"/>
      <c r="R48" s="568"/>
      <c r="T48" s="568"/>
      <c r="U48" s="568"/>
      <c r="V48" s="568"/>
      <c r="W48" s="686"/>
      <c r="X48" s="686"/>
    </row>
    <row r="49" spans="1:24" ht="15" hidden="1" x14ac:dyDescent="0.25">
      <c r="A49" s="569"/>
      <c r="B49" s="82"/>
      <c r="C49" s="621">
        <f>ROUND((SUM(C35:C48)-C45-C46),0)</f>
        <v>0</v>
      </c>
      <c r="D49" s="621">
        <f>ROUND((SUM(D35:D48)-D45-D46),0)</f>
        <v>0</v>
      </c>
      <c r="E49" s="375"/>
      <c r="F49" s="615"/>
      <c r="G49" s="615"/>
      <c r="H49" s="615"/>
      <c r="I49" s="616"/>
      <c r="J49" s="616"/>
      <c r="K49" s="616"/>
      <c r="L49" s="616"/>
      <c r="M49" s="616"/>
      <c r="N49" s="616"/>
      <c r="O49" s="686"/>
      <c r="P49" s="568"/>
      <c r="Q49" s="568"/>
      <c r="R49" s="568"/>
      <c r="T49" s="568"/>
      <c r="U49" s="568"/>
      <c r="V49" s="568"/>
      <c r="W49" s="686"/>
      <c r="X49" s="686"/>
    </row>
    <row r="50" spans="1:24" x14ac:dyDescent="0.2">
      <c r="A50" s="569"/>
      <c r="B50" s="82"/>
      <c r="C50" s="618"/>
      <c r="D50" s="621"/>
      <c r="E50" s="375"/>
      <c r="F50" s="686"/>
      <c r="G50" s="686"/>
      <c r="H50" s="686"/>
      <c r="I50" s="686"/>
      <c r="J50" s="686"/>
      <c r="K50" s="686"/>
      <c r="L50" s="686"/>
      <c r="M50" s="686"/>
      <c r="N50" s="686"/>
      <c r="O50" s="686"/>
      <c r="P50" s="568"/>
      <c r="Q50" s="568"/>
      <c r="R50" s="568"/>
      <c r="T50" s="568"/>
      <c r="U50" s="568"/>
      <c r="V50" s="568"/>
      <c r="W50" s="686"/>
      <c r="X50" s="686"/>
    </row>
    <row r="51" spans="1:24" x14ac:dyDescent="0.2">
      <c r="A51" s="569"/>
      <c r="B51" s="686"/>
      <c r="C51" s="686"/>
      <c r="D51" s="8"/>
      <c r="E51" s="617"/>
      <c r="F51" s="686"/>
      <c r="G51" s="686"/>
      <c r="H51" s="686"/>
      <c r="I51" s="686"/>
      <c r="J51" s="686"/>
      <c r="K51" s="686"/>
      <c r="L51" s="614"/>
      <c r="M51" s="686"/>
      <c r="N51" s="686"/>
      <c r="O51" s="686"/>
      <c r="P51" s="568"/>
      <c r="Q51" s="568"/>
      <c r="R51" s="568"/>
      <c r="T51" s="568"/>
      <c r="U51" s="568"/>
      <c r="V51" s="568"/>
      <c r="W51" s="686"/>
      <c r="X51" s="686"/>
    </row>
    <row r="52" spans="1:24" x14ac:dyDescent="0.2">
      <c r="A52" s="569"/>
      <c r="B52" s="620"/>
      <c r="C52" s="686"/>
      <c r="D52" s="8"/>
      <c r="E52" s="617"/>
      <c r="F52" s="686"/>
      <c r="G52" s="686"/>
      <c r="H52" s="686"/>
      <c r="I52" s="686"/>
      <c r="J52" s="686"/>
      <c r="K52" s="686"/>
      <c r="L52" s="614"/>
      <c r="M52" s="686"/>
      <c r="N52" s="686"/>
      <c r="O52" s="686"/>
      <c r="P52" s="568"/>
      <c r="Q52" s="568"/>
      <c r="R52" s="568"/>
      <c r="T52" s="568"/>
      <c r="U52" s="568"/>
      <c r="V52" s="568"/>
      <c r="W52" s="686"/>
      <c r="X52" s="686"/>
    </row>
    <row r="53" spans="1:24" x14ac:dyDescent="0.2">
      <c r="A53" s="569"/>
      <c r="B53" s="620"/>
      <c r="C53" s="686"/>
      <c r="D53" s="8"/>
      <c r="E53" s="617"/>
      <c r="F53" s="686"/>
      <c r="G53" s="686"/>
      <c r="H53" s="686"/>
      <c r="I53" s="686"/>
      <c r="J53" s="686"/>
      <c r="K53" s="686"/>
      <c r="L53" s="613"/>
      <c r="M53" s="686"/>
      <c r="N53" s="686"/>
      <c r="O53" s="686"/>
      <c r="P53" s="568"/>
      <c r="Q53" s="568"/>
      <c r="R53" s="568"/>
      <c r="T53" s="568"/>
      <c r="U53" s="568"/>
      <c r="V53" s="568"/>
      <c r="W53" s="686"/>
      <c r="X53" s="686"/>
    </row>
    <row r="54" spans="1:24" x14ac:dyDescent="0.2">
      <c r="A54" s="569"/>
      <c r="B54" s="686"/>
      <c r="C54" s="686"/>
      <c r="D54" s="8"/>
      <c r="E54" s="617"/>
      <c r="F54" s="686"/>
      <c r="G54" s="686"/>
      <c r="H54" s="686"/>
      <c r="I54" s="686"/>
      <c r="J54" s="686"/>
      <c r="K54" s="686"/>
      <c r="L54" s="614"/>
      <c r="M54" s="686"/>
      <c r="N54" s="686"/>
      <c r="O54" s="686"/>
      <c r="P54" s="568"/>
      <c r="Q54" s="568"/>
      <c r="R54" s="568"/>
      <c r="T54" s="568"/>
      <c r="U54" s="568"/>
      <c r="V54" s="568"/>
      <c r="W54" s="686"/>
      <c r="X54" s="686"/>
    </row>
    <row r="55" spans="1:24" x14ac:dyDescent="0.2">
      <c r="A55" s="569"/>
      <c r="B55" s="686"/>
      <c r="C55" s="686"/>
      <c r="D55" s="8"/>
      <c r="E55" s="617"/>
      <c r="F55" s="686"/>
      <c r="G55" s="686"/>
      <c r="H55" s="686"/>
      <c r="I55" s="686"/>
      <c r="J55" s="686"/>
      <c r="K55" s="686"/>
      <c r="L55" s="614"/>
      <c r="M55" s="686"/>
      <c r="N55" s="686"/>
      <c r="O55" s="686"/>
      <c r="P55" s="568"/>
      <c r="Q55" s="568"/>
      <c r="R55" s="568"/>
      <c r="T55" s="568"/>
      <c r="U55" s="568"/>
      <c r="V55" s="568"/>
      <c r="W55" s="686"/>
      <c r="X55" s="686"/>
    </row>
    <row r="56" spans="1:24" s="1003" customFormat="1" x14ac:dyDescent="0.2">
      <c r="A56" s="569"/>
      <c r="B56" s="1004"/>
      <c r="C56" s="1004"/>
      <c r="D56" s="8"/>
      <c r="E56" s="617"/>
      <c r="F56" s="1004"/>
      <c r="G56" s="1004"/>
      <c r="H56" s="1004"/>
      <c r="I56" s="1004"/>
      <c r="J56" s="1004"/>
      <c r="K56" s="1004"/>
      <c r="L56" s="614"/>
      <c r="M56" s="1004"/>
      <c r="N56" s="1004"/>
      <c r="O56" s="1004"/>
      <c r="P56" s="568"/>
      <c r="Q56" s="568"/>
      <c r="R56" s="568"/>
      <c r="T56" s="568"/>
      <c r="U56" s="568"/>
      <c r="V56" s="568"/>
      <c r="W56" s="1004"/>
      <c r="X56" s="1004"/>
    </row>
    <row r="57" spans="1:24" s="1003" customFormat="1" x14ac:dyDescent="0.2">
      <c r="A57" s="569"/>
      <c r="B57" s="1004"/>
      <c r="C57" s="1004"/>
      <c r="D57" s="8"/>
      <c r="E57" s="617"/>
      <c r="F57" s="1004"/>
      <c r="G57" s="1004"/>
      <c r="H57" s="1004"/>
      <c r="I57" s="1004"/>
      <c r="J57" s="1004"/>
      <c r="K57" s="1004"/>
      <c r="L57" s="614"/>
      <c r="M57" s="1004"/>
      <c r="N57" s="1004"/>
      <c r="O57" s="1004"/>
      <c r="P57" s="568"/>
      <c r="Q57" s="568"/>
      <c r="R57" s="568"/>
      <c r="T57" s="568"/>
      <c r="U57" s="568"/>
      <c r="V57" s="568"/>
      <c r="W57" s="1004"/>
      <c r="X57" s="1004"/>
    </row>
    <row r="58" spans="1:24" x14ac:dyDescent="0.2">
      <c r="A58" s="569"/>
      <c r="B58" s="686"/>
      <c r="C58" s="686"/>
      <c r="D58" s="8"/>
      <c r="E58" s="8"/>
      <c r="F58" s="613">
        <f>D58-E58</f>
        <v>0</v>
      </c>
      <c r="G58" s="613"/>
      <c r="H58" s="613"/>
      <c r="I58" s="613"/>
      <c r="J58" s="613"/>
      <c r="K58" s="613"/>
      <c r="L58" s="613"/>
      <c r="M58" s="613"/>
      <c r="N58" s="613"/>
      <c r="O58" s="686"/>
      <c r="P58" s="568"/>
      <c r="Q58" s="568"/>
      <c r="R58" s="568"/>
      <c r="T58" s="568"/>
      <c r="U58" s="568"/>
      <c r="V58" s="568"/>
      <c r="W58" s="686"/>
      <c r="X58" s="686"/>
    </row>
    <row r="59" spans="1:24" x14ac:dyDescent="0.2">
      <c r="A59" s="569"/>
      <c r="B59" s="686"/>
      <c r="C59" s="686"/>
      <c r="D59" s="686"/>
      <c r="E59" s="686"/>
      <c r="F59" s="686"/>
      <c r="G59" s="686"/>
      <c r="H59" s="686"/>
      <c r="I59" s="686"/>
      <c r="J59" s="686"/>
      <c r="K59" s="686"/>
      <c r="L59" s="686"/>
      <c r="M59" s="686"/>
      <c r="N59" s="686"/>
      <c r="O59" s="686"/>
      <c r="P59" s="568"/>
      <c r="Q59" s="568"/>
      <c r="R59" s="568"/>
      <c r="T59" s="568"/>
      <c r="U59" s="568"/>
      <c r="V59" s="568"/>
      <c r="W59" s="686"/>
      <c r="X59" s="686"/>
    </row>
    <row r="60" spans="1:24" ht="15" x14ac:dyDescent="0.25">
      <c r="A60" s="569"/>
      <c r="B60" s="616"/>
      <c r="C60" s="615"/>
      <c r="D60" s="615"/>
      <c r="E60" s="615"/>
      <c r="F60" s="615"/>
      <c r="G60" s="615"/>
      <c r="H60" s="615"/>
      <c r="I60" s="615"/>
      <c r="J60" s="615"/>
      <c r="K60" s="615"/>
      <c r="L60" s="615"/>
      <c r="M60" s="615"/>
      <c r="N60" s="615"/>
      <c r="O60" s="686"/>
      <c r="P60" s="568"/>
      <c r="Q60" s="568"/>
      <c r="R60" s="568"/>
      <c r="T60" s="568"/>
      <c r="U60" s="568"/>
      <c r="V60" s="568"/>
      <c r="W60" s="686"/>
      <c r="X60" s="686"/>
    </row>
    <row r="61" spans="1:24" x14ac:dyDescent="0.2">
      <c r="A61" s="569"/>
      <c r="B61" s="686"/>
      <c r="C61" s="686"/>
      <c r="D61" s="686"/>
      <c r="E61" s="612"/>
      <c r="F61" s="612"/>
      <c r="G61" s="612"/>
      <c r="H61" s="686"/>
      <c r="I61" s="612"/>
      <c r="J61" s="612"/>
      <c r="K61" s="612"/>
      <c r="L61" s="612"/>
      <c r="M61" s="686"/>
      <c r="N61" s="612"/>
      <c r="O61" s="686"/>
      <c r="P61" s="568"/>
      <c r="Q61" s="568"/>
      <c r="R61" s="568"/>
      <c r="T61" s="568"/>
      <c r="U61" s="568"/>
      <c r="V61" s="568"/>
      <c r="W61" s="686"/>
      <c r="X61" s="686"/>
    </row>
    <row r="62" spans="1:24" ht="15" x14ac:dyDescent="0.25">
      <c r="A62" s="569"/>
      <c r="B62" s="616"/>
      <c r="C62" s="686"/>
      <c r="D62" s="686"/>
      <c r="E62" s="612"/>
      <c r="F62" s="612"/>
      <c r="G62" s="612"/>
      <c r="H62" s="686"/>
      <c r="I62" s="612"/>
      <c r="J62" s="612"/>
      <c r="K62" s="612"/>
      <c r="L62" s="612"/>
      <c r="M62" s="686"/>
      <c r="N62" s="612"/>
      <c r="O62" s="686"/>
      <c r="P62" s="568"/>
      <c r="Q62" s="568"/>
      <c r="R62" s="568"/>
      <c r="T62" s="568"/>
      <c r="U62" s="568"/>
      <c r="V62" s="568"/>
      <c r="W62" s="686"/>
      <c r="X62" s="686"/>
    </row>
    <row r="63" spans="1:24" x14ac:dyDescent="0.2">
      <c r="A63" s="483" t="s">
        <v>342</v>
      </c>
      <c r="B63" s="1247" t="s">
        <v>1650</v>
      </c>
      <c r="C63" s="1248"/>
      <c r="D63" s="1248"/>
      <c r="E63" s="1248"/>
      <c r="F63" s="1248"/>
      <c r="G63" s="1248"/>
      <c r="H63" s="1248"/>
      <c r="I63" s="1249"/>
    </row>
    <row r="64" spans="1:24" x14ac:dyDescent="0.2">
      <c r="A64" s="483"/>
      <c r="B64" s="484"/>
      <c r="C64" s="484"/>
      <c r="D64" s="484"/>
      <c r="E64" s="484"/>
      <c r="F64" s="484"/>
      <c r="G64" s="484"/>
      <c r="H64" s="484"/>
      <c r="I64" s="484"/>
    </row>
    <row r="65" spans="1:9" x14ac:dyDescent="0.2">
      <c r="A65" s="483"/>
      <c r="B65" s="1250" t="s">
        <v>1128</v>
      </c>
      <c r="C65" s="1251"/>
      <c r="D65" s="1251"/>
      <c r="E65" s="1252"/>
      <c r="F65" s="484"/>
      <c r="G65" s="484"/>
      <c r="H65" s="484"/>
      <c r="I65" s="484"/>
    </row>
    <row r="66" spans="1:9" x14ac:dyDescent="0.2">
      <c r="A66" s="483"/>
      <c r="B66" s="504" t="s">
        <v>1585</v>
      </c>
      <c r="C66" s="501">
        <v>0</v>
      </c>
      <c r="D66" s="484"/>
      <c r="E66" s="505"/>
      <c r="F66" s="484"/>
      <c r="G66" s="484"/>
      <c r="H66" s="484"/>
      <c r="I66" s="484"/>
    </row>
    <row r="67" spans="1:9" x14ac:dyDescent="0.2">
      <c r="A67" s="483"/>
      <c r="B67" s="504" t="s">
        <v>1586</v>
      </c>
      <c r="C67" s="501">
        <v>0</v>
      </c>
      <c r="D67" s="484"/>
      <c r="E67" s="505"/>
      <c r="F67" s="484"/>
      <c r="G67" s="484"/>
      <c r="H67" s="484"/>
      <c r="I67" s="484"/>
    </row>
    <row r="68" spans="1:9" x14ac:dyDescent="0.2">
      <c r="A68" s="483"/>
      <c r="B68" s="506" t="s">
        <v>1100</v>
      </c>
      <c r="C68" s="501">
        <f>SUM(C66:C67)</f>
        <v>0</v>
      </c>
      <c r="D68" s="484" t="str">
        <f>IF(C68=1,"=100%","DOES NOT EQUAL 100%!!!")</f>
        <v>DOES NOT EQUAL 100%!!!</v>
      </c>
      <c r="E68" s="505"/>
      <c r="F68" s="484"/>
      <c r="G68" s="484"/>
      <c r="H68" s="484"/>
      <c r="I68" s="484"/>
    </row>
    <row r="69" spans="1:9" x14ac:dyDescent="0.2">
      <c r="A69" s="483"/>
      <c r="B69" s="507"/>
      <c r="C69" s="501"/>
      <c r="D69" s="484"/>
      <c r="E69" s="505"/>
      <c r="F69" s="484"/>
      <c r="G69" s="484"/>
      <c r="H69" s="484"/>
      <c r="I69" s="484"/>
    </row>
    <row r="70" spans="1:9" x14ac:dyDescent="0.2">
      <c r="A70" s="483"/>
      <c r="B70" s="507" t="s">
        <v>1101</v>
      </c>
      <c r="C70" s="501"/>
      <c r="D70" s="484"/>
      <c r="E70" s="505"/>
      <c r="F70" s="484"/>
      <c r="G70" s="484"/>
      <c r="H70" s="484"/>
      <c r="I70" s="484"/>
    </row>
    <row r="71" spans="1:9" x14ac:dyDescent="0.2">
      <c r="A71" s="483"/>
      <c r="B71" s="508" t="s">
        <v>269</v>
      </c>
      <c r="C71" s="501">
        <v>0</v>
      </c>
      <c r="D71" s="484"/>
      <c r="E71" s="505"/>
      <c r="F71" s="484"/>
      <c r="G71" s="484"/>
      <c r="H71" s="484"/>
      <c r="I71" s="484"/>
    </row>
    <row r="72" spans="1:9" x14ac:dyDescent="0.2">
      <c r="A72" s="483"/>
      <c r="B72" s="508" t="s">
        <v>270</v>
      </c>
      <c r="C72" s="501">
        <f>'H. Other Liabilities &amp; Expenses'!L192</f>
        <v>0</v>
      </c>
      <c r="D72" s="484"/>
      <c r="E72" s="505"/>
      <c r="F72" s="484"/>
      <c r="G72" s="484"/>
      <c r="H72" s="484"/>
      <c r="I72" s="484"/>
    </row>
    <row r="73" spans="1:9" x14ac:dyDescent="0.2">
      <c r="A73" s="483"/>
      <c r="B73" s="508" t="s">
        <v>271</v>
      </c>
      <c r="C73" s="501">
        <f>'H. Other Liabilities &amp; Expenses'!L193</f>
        <v>0</v>
      </c>
      <c r="D73" s="484"/>
      <c r="E73" s="505"/>
      <c r="F73" s="484"/>
      <c r="G73" s="484"/>
      <c r="H73" s="484"/>
      <c r="I73" s="484"/>
    </row>
    <row r="74" spans="1:9" x14ac:dyDescent="0.2">
      <c r="A74" s="483"/>
      <c r="B74" s="508" t="s">
        <v>272</v>
      </c>
      <c r="C74" s="501">
        <f>'H. Other Liabilities &amp; Expenses'!L194</f>
        <v>0</v>
      </c>
      <c r="D74" s="484"/>
      <c r="E74" s="505"/>
      <c r="F74" s="484"/>
      <c r="G74" s="484"/>
      <c r="H74" s="484"/>
      <c r="I74" s="484"/>
    </row>
    <row r="75" spans="1:9" x14ac:dyDescent="0.2">
      <c r="A75" s="483"/>
      <c r="B75" s="508" t="s">
        <v>273</v>
      </c>
      <c r="C75" s="501">
        <f>'H. Other Liabilities &amp; Expenses'!L195</f>
        <v>0</v>
      </c>
      <c r="D75" s="484"/>
      <c r="E75" s="505"/>
      <c r="F75" s="484"/>
      <c r="G75" s="484"/>
      <c r="H75" s="484"/>
      <c r="I75" s="484"/>
    </row>
    <row r="76" spans="1:9" x14ac:dyDescent="0.2">
      <c r="A76" s="483"/>
      <c r="B76" s="508" t="s">
        <v>274</v>
      </c>
      <c r="C76" s="501">
        <f>'H. Other Liabilities &amp; Expenses'!L196</f>
        <v>0</v>
      </c>
      <c r="D76" s="484"/>
      <c r="E76" s="505"/>
      <c r="F76" s="484"/>
      <c r="G76" s="484"/>
      <c r="H76" s="484"/>
      <c r="I76" s="484"/>
    </row>
    <row r="77" spans="1:9" x14ac:dyDescent="0.2">
      <c r="A77" s="483"/>
      <c r="B77" s="508" t="s">
        <v>275</v>
      </c>
      <c r="C77" s="501">
        <f>'H. Other Liabilities &amp; Expenses'!L197</f>
        <v>0</v>
      </c>
      <c r="D77" s="484"/>
      <c r="E77" s="505"/>
      <c r="F77" s="484"/>
      <c r="G77" s="484"/>
      <c r="H77" s="484"/>
      <c r="I77" s="484"/>
    </row>
    <row r="78" spans="1:9" x14ac:dyDescent="0.2">
      <c r="A78" s="483"/>
      <c r="B78" s="508" t="s">
        <v>388</v>
      </c>
      <c r="C78" s="501">
        <f>'H. Other Liabilities &amp; Expenses'!L198</f>
        <v>0</v>
      </c>
      <c r="D78" s="484"/>
      <c r="E78" s="505"/>
      <c r="F78" s="484"/>
      <c r="G78" s="484"/>
      <c r="H78" s="484"/>
      <c r="I78" s="484"/>
    </row>
    <row r="79" spans="1:9" x14ac:dyDescent="0.2">
      <c r="A79" s="483"/>
      <c r="B79" s="508" t="s">
        <v>389</v>
      </c>
      <c r="C79" s="501">
        <f>'H. Other Liabilities &amp; Expenses'!L199</f>
        <v>0</v>
      </c>
      <c r="D79" s="484"/>
      <c r="E79" s="505"/>
      <c r="F79" s="484"/>
      <c r="G79" s="484"/>
      <c r="H79" s="484"/>
      <c r="I79" s="484"/>
    </row>
    <row r="80" spans="1:9" x14ac:dyDescent="0.2">
      <c r="A80" s="483"/>
      <c r="B80" s="508" t="s">
        <v>243</v>
      </c>
      <c r="C80" s="501">
        <f>'H. Other Liabilities &amp; Expenses'!L200</f>
        <v>0</v>
      </c>
      <c r="D80" s="484"/>
      <c r="E80" s="505"/>
      <c r="F80" s="484"/>
      <c r="G80" s="484"/>
      <c r="H80" s="484"/>
      <c r="I80" s="484"/>
    </row>
    <row r="81" spans="1:9" x14ac:dyDescent="0.2">
      <c r="A81" s="483"/>
      <c r="B81" s="508" t="s">
        <v>244</v>
      </c>
      <c r="C81" s="501">
        <f>'H. Other Liabilities &amp; Expenses'!L201</f>
        <v>0</v>
      </c>
      <c r="D81" s="484"/>
      <c r="E81" s="505"/>
      <c r="F81" s="484"/>
      <c r="G81" s="484"/>
      <c r="H81" s="484"/>
      <c r="I81" s="484"/>
    </row>
    <row r="82" spans="1:9" x14ac:dyDescent="0.2">
      <c r="A82" s="483"/>
      <c r="B82" s="508" t="s">
        <v>277</v>
      </c>
      <c r="C82" s="501">
        <f>'H. Other Liabilities &amp; Expenses'!L202</f>
        <v>0</v>
      </c>
      <c r="D82" s="484"/>
      <c r="E82" s="505"/>
      <c r="F82" s="484"/>
      <c r="G82" s="484"/>
      <c r="H82" s="484"/>
      <c r="I82" s="484"/>
    </row>
    <row r="83" spans="1:9" x14ac:dyDescent="0.2">
      <c r="A83" s="483"/>
      <c r="B83" s="508" t="s">
        <v>279</v>
      </c>
      <c r="C83" s="501">
        <f>'H. Other Liabilities &amp; Expenses'!L203</f>
        <v>0</v>
      </c>
      <c r="D83" s="484"/>
      <c r="E83" s="505"/>
      <c r="F83" s="484"/>
      <c r="G83" s="484"/>
      <c r="H83" s="484"/>
      <c r="I83" s="484"/>
    </row>
    <row r="84" spans="1:9" x14ac:dyDescent="0.2">
      <c r="A84" s="483"/>
      <c r="B84" s="508" t="s">
        <v>280</v>
      </c>
      <c r="C84" s="501">
        <f>'H. Other Liabilities &amp; Expenses'!L204</f>
        <v>0</v>
      </c>
      <c r="D84" s="484"/>
      <c r="E84" s="505"/>
      <c r="F84" s="484"/>
      <c r="G84" s="484"/>
      <c r="H84" s="484"/>
      <c r="I84" s="484"/>
    </row>
    <row r="85" spans="1:9" x14ac:dyDescent="0.2">
      <c r="A85" s="483"/>
      <c r="B85" s="508" t="s">
        <v>390</v>
      </c>
      <c r="C85" s="501">
        <f>'H. Other Liabilities &amp; Expenses'!L205</f>
        <v>0</v>
      </c>
      <c r="D85" s="484"/>
      <c r="E85" s="505"/>
      <c r="F85" s="484"/>
      <c r="G85" s="484"/>
      <c r="H85" s="484"/>
      <c r="I85" s="484"/>
    </row>
    <row r="86" spans="1:9" x14ac:dyDescent="0.2">
      <c r="A86" s="483"/>
      <c r="B86" s="508" t="s">
        <v>263</v>
      </c>
      <c r="C86" s="501">
        <f>'H. Other Liabilities &amp; Expenses'!L206</f>
        <v>0</v>
      </c>
      <c r="D86" s="484"/>
      <c r="E86" s="505"/>
      <c r="F86" s="484"/>
      <c r="G86" s="484"/>
      <c r="H86" s="484"/>
      <c r="I86" s="484"/>
    </row>
    <row r="87" spans="1:9" x14ac:dyDescent="0.2">
      <c r="A87" s="483"/>
      <c r="B87" s="508" t="s">
        <v>55</v>
      </c>
      <c r="C87" s="501">
        <f>'H. Other Liabilities &amp; Expenses'!L207</f>
        <v>0</v>
      </c>
      <c r="D87" s="484"/>
      <c r="E87" s="505"/>
      <c r="F87" s="484"/>
      <c r="G87" s="484"/>
      <c r="H87" s="484"/>
      <c r="I87" s="484"/>
    </row>
    <row r="88" spans="1:9" x14ac:dyDescent="0.2">
      <c r="A88" s="483"/>
      <c r="B88" s="509" t="s">
        <v>1102</v>
      </c>
      <c r="C88" s="510">
        <f>SUM(C71:C87)</f>
        <v>0</v>
      </c>
      <c r="D88" s="539" t="str">
        <f>IF(C88=C66,"Equals Governmental Fund","DOES NOT EQUAL Governmental Fund!!!")</f>
        <v>Equals Governmental Fund</v>
      </c>
      <c r="E88" s="511"/>
      <c r="F88" s="484"/>
      <c r="G88" s="484"/>
      <c r="H88" s="484"/>
      <c r="I88" s="484"/>
    </row>
    <row r="89" spans="1:9" x14ac:dyDescent="0.2">
      <c r="A89" s="483"/>
      <c r="B89" s="484"/>
      <c r="C89" s="501"/>
      <c r="D89" s="484"/>
      <c r="E89" s="484"/>
      <c r="F89" s="484"/>
      <c r="G89" s="484"/>
      <c r="H89" s="484"/>
      <c r="I89" s="484"/>
    </row>
    <row r="90" spans="1:9" x14ac:dyDescent="0.2">
      <c r="A90" s="165"/>
      <c r="B90" s="688"/>
      <c r="C90" s="686"/>
      <c r="D90" s="686"/>
      <c r="E90" s="686"/>
      <c r="F90" s="686"/>
      <c r="G90" s="686"/>
      <c r="H90" s="686"/>
      <c r="I90" s="686"/>
    </row>
    <row r="91" spans="1:9" x14ac:dyDescent="0.2">
      <c r="A91" s="165"/>
      <c r="B91" s="683"/>
      <c r="C91" s="485" t="s">
        <v>1085</v>
      </c>
      <c r="D91" s="485" t="s">
        <v>1086</v>
      </c>
    </row>
    <row r="92" spans="1:9" x14ac:dyDescent="0.2">
      <c r="A92" s="165"/>
      <c r="B92" s="685" t="s">
        <v>1587</v>
      </c>
      <c r="C92" s="486">
        <f t="shared" ref="C92:D107" si="0">G146</f>
        <v>0</v>
      </c>
      <c r="D92" s="486">
        <f t="shared" si="0"/>
        <v>0</v>
      </c>
      <c r="E92" s="478"/>
    </row>
    <row r="93" spans="1:9" x14ac:dyDescent="0.2">
      <c r="A93" s="165"/>
      <c r="B93" s="512" t="s">
        <v>1588</v>
      </c>
      <c r="C93" s="486">
        <f t="shared" si="0"/>
        <v>0</v>
      </c>
      <c r="D93" s="486">
        <f t="shared" si="0"/>
        <v>0</v>
      </c>
      <c r="E93" s="478"/>
    </row>
    <row r="94" spans="1:9" x14ac:dyDescent="0.2">
      <c r="A94" s="165"/>
      <c r="B94" s="512" t="s">
        <v>1589</v>
      </c>
      <c r="C94" s="486">
        <f t="shared" si="0"/>
        <v>0</v>
      </c>
      <c r="D94" s="486">
        <f t="shared" si="0"/>
        <v>0</v>
      </c>
      <c r="E94" s="478"/>
    </row>
    <row r="95" spans="1:9" x14ac:dyDescent="0.2">
      <c r="A95" s="165"/>
      <c r="B95" s="512" t="s">
        <v>1590</v>
      </c>
      <c r="C95" s="486">
        <f t="shared" si="0"/>
        <v>0</v>
      </c>
      <c r="D95" s="486">
        <f t="shared" si="0"/>
        <v>0</v>
      </c>
      <c r="E95" s="478"/>
    </row>
    <row r="96" spans="1:9" x14ac:dyDescent="0.2">
      <c r="A96" s="165"/>
      <c r="B96" s="512" t="s">
        <v>1591</v>
      </c>
      <c r="C96" s="486">
        <f t="shared" si="0"/>
        <v>0</v>
      </c>
      <c r="D96" s="486">
        <f t="shared" si="0"/>
        <v>0</v>
      </c>
      <c r="E96" s="478"/>
    </row>
    <row r="97" spans="1:5" x14ac:dyDescent="0.2">
      <c r="A97" s="165"/>
      <c r="B97" s="512" t="s">
        <v>1592</v>
      </c>
      <c r="C97" s="486">
        <f t="shared" si="0"/>
        <v>0</v>
      </c>
      <c r="D97" s="486">
        <f t="shared" si="0"/>
        <v>0</v>
      </c>
      <c r="E97" s="478"/>
    </row>
    <row r="98" spans="1:5" x14ac:dyDescent="0.2">
      <c r="A98" s="165"/>
      <c r="B98" s="512" t="s">
        <v>1593</v>
      </c>
      <c r="C98" s="486">
        <f t="shared" si="0"/>
        <v>0</v>
      </c>
      <c r="D98" s="486">
        <f t="shared" si="0"/>
        <v>0</v>
      </c>
      <c r="E98" s="478"/>
    </row>
    <row r="99" spans="1:5" x14ac:dyDescent="0.2">
      <c r="A99" s="165"/>
      <c r="B99" s="512" t="s">
        <v>1594</v>
      </c>
      <c r="C99" s="486">
        <f t="shared" si="0"/>
        <v>0</v>
      </c>
      <c r="D99" s="486">
        <f t="shared" si="0"/>
        <v>0</v>
      </c>
      <c r="E99" s="478"/>
    </row>
    <row r="100" spans="1:5" x14ac:dyDescent="0.2">
      <c r="A100" s="165"/>
      <c r="B100" s="512" t="s">
        <v>1595</v>
      </c>
      <c r="C100" s="486">
        <f t="shared" si="0"/>
        <v>0</v>
      </c>
      <c r="D100" s="486">
        <f t="shared" si="0"/>
        <v>0</v>
      </c>
      <c r="E100" s="478"/>
    </row>
    <row r="101" spans="1:5" x14ac:dyDescent="0.2">
      <c r="A101" s="165"/>
      <c r="B101" s="512" t="s">
        <v>1596</v>
      </c>
      <c r="C101" s="486">
        <f t="shared" si="0"/>
        <v>0</v>
      </c>
      <c r="D101" s="486">
        <f t="shared" si="0"/>
        <v>0</v>
      </c>
      <c r="E101" s="478"/>
    </row>
    <row r="102" spans="1:5" x14ac:dyDescent="0.2">
      <c r="A102" s="165"/>
      <c r="B102" s="512" t="s">
        <v>1597</v>
      </c>
      <c r="C102" s="486">
        <f t="shared" si="0"/>
        <v>0</v>
      </c>
      <c r="D102" s="486">
        <f t="shared" si="0"/>
        <v>0</v>
      </c>
      <c r="E102" s="478"/>
    </row>
    <row r="103" spans="1:5" x14ac:dyDescent="0.2">
      <c r="A103" s="165"/>
      <c r="B103" s="512" t="s">
        <v>1598</v>
      </c>
      <c r="C103" s="486">
        <f t="shared" si="0"/>
        <v>0</v>
      </c>
      <c r="D103" s="486">
        <f t="shared" si="0"/>
        <v>0</v>
      </c>
      <c r="E103" s="478"/>
    </row>
    <row r="104" spans="1:5" x14ac:dyDescent="0.2">
      <c r="A104" s="165"/>
      <c r="B104" s="512" t="s">
        <v>1599</v>
      </c>
      <c r="C104" s="486">
        <f t="shared" si="0"/>
        <v>0</v>
      </c>
      <c r="D104" s="486">
        <f t="shared" si="0"/>
        <v>0</v>
      </c>
      <c r="E104" s="478"/>
    </row>
    <row r="105" spans="1:5" x14ac:dyDescent="0.2">
      <c r="A105" s="165"/>
      <c r="B105" s="512" t="s">
        <v>1600</v>
      </c>
      <c r="C105" s="486">
        <f t="shared" si="0"/>
        <v>0</v>
      </c>
      <c r="D105" s="486">
        <f t="shared" si="0"/>
        <v>0</v>
      </c>
      <c r="E105" s="478"/>
    </row>
    <row r="106" spans="1:5" x14ac:dyDescent="0.2">
      <c r="A106" s="165"/>
      <c r="B106" s="512" t="s">
        <v>1601</v>
      </c>
      <c r="C106" s="486">
        <f t="shared" si="0"/>
        <v>0</v>
      </c>
      <c r="D106" s="486">
        <f t="shared" si="0"/>
        <v>0</v>
      </c>
      <c r="E106" s="478"/>
    </row>
    <row r="107" spans="1:5" x14ac:dyDescent="0.2">
      <c r="A107" s="165"/>
      <c r="B107" s="512" t="s">
        <v>1602</v>
      </c>
      <c r="C107" s="486">
        <f t="shared" si="0"/>
        <v>0</v>
      </c>
      <c r="D107" s="486">
        <f t="shared" si="0"/>
        <v>0</v>
      </c>
      <c r="E107" s="478"/>
    </row>
    <row r="108" spans="1:5" x14ac:dyDescent="0.2">
      <c r="A108" s="165"/>
      <c r="B108" s="512" t="s">
        <v>1603</v>
      </c>
      <c r="C108" s="486">
        <f t="shared" ref="C108:D118" si="1">G162</f>
        <v>0</v>
      </c>
      <c r="D108" s="486">
        <f t="shared" si="1"/>
        <v>0</v>
      </c>
      <c r="E108" s="478"/>
    </row>
    <row r="109" spans="1:5" x14ac:dyDescent="0.2">
      <c r="A109" s="165"/>
      <c r="B109" s="512" t="s">
        <v>1604</v>
      </c>
      <c r="C109" s="486">
        <f t="shared" si="1"/>
        <v>0</v>
      </c>
      <c r="D109" s="486">
        <f t="shared" si="1"/>
        <v>0</v>
      </c>
      <c r="E109" s="478"/>
    </row>
    <row r="110" spans="1:5" x14ac:dyDescent="0.2">
      <c r="A110" s="165"/>
      <c r="B110" s="685" t="s">
        <v>1195</v>
      </c>
      <c r="C110" s="486">
        <f t="shared" si="1"/>
        <v>0</v>
      </c>
      <c r="D110" s="486">
        <f t="shared" si="1"/>
        <v>0</v>
      </c>
    </row>
    <row r="111" spans="1:5" ht="25.5" x14ac:dyDescent="0.2">
      <c r="A111" s="165"/>
      <c r="B111" s="685" t="s">
        <v>1158</v>
      </c>
      <c r="C111" s="486">
        <f t="shared" si="1"/>
        <v>0</v>
      </c>
      <c r="D111" s="486">
        <f t="shared" si="1"/>
        <v>0</v>
      </c>
    </row>
    <row r="112" spans="1:5" x14ac:dyDescent="0.2">
      <c r="A112" s="165"/>
      <c r="B112" s="685" t="s">
        <v>1196</v>
      </c>
      <c r="C112" s="486">
        <f t="shared" si="1"/>
        <v>0</v>
      </c>
      <c r="D112" s="486">
        <f t="shared" si="1"/>
        <v>0</v>
      </c>
    </row>
    <row r="113" spans="1:4" ht="25.5" x14ac:dyDescent="0.2">
      <c r="A113" s="165"/>
      <c r="B113" s="685" t="s">
        <v>1197</v>
      </c>
      <c r="C113" s="486">
        <f t="shared" si="1"/>
        <v>0</v>
      </c>
      <c r="D113" s="486">
        <f t="shared" si="1"/>
        <v>0</v>
      </c>
    </row>
    <row r="114" spans="1:4" x14ac:dyDescent="0.2">
      <c r="A114" s="165"/>
      <c r="B114" s="685" t="s">
        <v>1198</v>
      </c>
      <c r="C114" s="486">
        <f t="shared" si="1"/>
        <v>0</v>
      </c>
      <c r="D114" s="486">
        <f t="shared" si="1"/>
        <v>0</v>
      </c>
    </row>
    <row r="115" spans="1:4" ht="25.5" x14ac:dyDescent="0.2">
      <c r="A115" s="165"/>
      <c r="B115" s="685" t="s">
        <v>1199</v>
      </c>
      <c r="C115" s="486">
        <f t="shared" si="1"/>
        <v>0</v>
      </c>
      <c r="D115" s="486">
        <f t="shared" si="1"/>
        <v>0</v>
      </c>
    </row>
    <row r="116" spans="1:4" x14ac:dyDescent="0.2">
      <c r="A116" s="165"/>
      <c r="B116" s="685" t="s">
        <v>1200</v>
      </c>
      <c r="C116" s="486">
        <f t="shared" si="1"/>
        <v>0</v>
      </c>
      <c r="D116" s="486">
        <f t="shared" si="1"/>
        <v>0</v>
      </c>
    </row>
    <row r="117" spans="1:4" ht="25.5" x14ac:dyDescent="0.2">
      <c r="A117" s="165"/>
      <c r="B117" s="685" t="s">
        <v>1201</v>
      </c>
      <c r="C117" s="486">
        <f t="shared" si="1"/>
        <v>0</v>
      </c>
      <c r="D117" s="486">
        <f t="shared" si="1"/>
        <v>0</v>
      </c>
    </row>
    <row r="118" spans="1:4" x14ac:dyDescent="0.2">
      <c r="A118" s="165"/>
      <c r="B118" s="685" t="s">
        <v>1528</v>
      </c>
      <c r="C118" s="486">
        <f t="shared" si="1"/>
        <v>0</v>
      </c>
      <c r="D118" s="486">
        <f t="shared" si="1"/>
        <v>0</v>
      </c>
    </row>
    <row r="119" spans="1:4" s="738" customFormat="1" x14ac:dyDescent="0.2">
      <c r="A119" s="165"/>
      <c r="B119" s="461" t="s">
        <v>1622</v>
      </c>
      <c r="C119" s="486">
        <f t="shared" ref="C119:C135" si="2">G173</f>
        <v>0</v>
      </c>
      <c r="D119" s="486">
        <f t="shared" ref="D119:D135" si="3">H173</f>
        <v>0</v>
      </c>
    </row>
    <row r="120" spans="1:4" s="738" customFormat="1" x14ac:dyDescent="0.2">
      <c r="A120" s="165"/>
      <c r="B120" s="461" t="s">
        <v>1623</v>
      </c>
      <c r="C120" s="486">
        <f t="shared" si="2"/>
        <v>0</v>
      </c>
      <c r="D120" s="486">
        <f t="shared" si="3"/>
        <v>0</v>
      </c>
    </row>
    <row r="121" spans="1:4" s="738" customFormat="1" x14ac:dyDescent="0.2">
      <c r="A121" s="165"/>
      <c r="B121" s="461" t="s">
        <v>1624</v>
      </c>
      <c r="C121" s="486">
        <f t="shared" si="2"/>
        <v>0</v>
      </c>
      <c r="D121" s="486">
        <f t="shared" si="3"/>
        <v>0</v>
      </c>
    </row>
    <row r="122" spans="1:4" s="738" customFormat="1" x14ac:dyDescent="0.2">
      <c r="A122" s="165"/>
      <c r="B122" s="461" t="s">
        <v>1625</v>
      </c>
      <c r="C122" s="486">
        <f t="shared" si="2"/>
        <v>0</v>
      </c>
      <c r="D122" s="486">
        <f t="shared" si="3"/>
        <v>0</v>
      </c>
    </row>
    <row r="123" spans="1:4" s="738" customFormat="1" x14ac:dyDescent="0.2">
      <c r="A123" s="165"/>
      <c r="B123" s="461" t="s">
        <v>1626</v>
      </c>
      <c r="C123" s="486">
        <f t="shared" si="2"/>
        <v>0</v>
      </c>
      <c r="D123" s="486">
        <f t="shared" si="3"/>
        <v>0</v>
      </c>
    </row>
    <row r="124" spans="1:4" s="738" customFormat="1" x14ac:dyDescent="0.2">
      <c r="A124" s="165"/>
      <c r="B124" s="461" t="s">
        <v>1627</v>
      </c>
      <c r="C124" s="486">
        <f t="shared" si="2"/>
        <v>0</v>
      </c>
      <c r="D124" s="486">
        <f t="shared" si="3"/>
        <v>0</v>
      </c>
    </row>
    <row r="125" spans="1:4" s="738" customFormat="1" x14ac:dyDescent="0.2">
      <c r="A125" s="165"/>
      <c r="B125" s="461" t="s">
        <v>1628</v>
      </c>
      <c r="C125" s="486">
        <f t="shared" si="2"/>
        <v>0</v>
      </c>
      <c r="D125" s="486">
        <f t="shared" si="3"/>
        <v>0</v>
      </c>
    </row>
    <row r="126" spans="1:4" s="738" customFormat="1" x14ac:dyDescent="0.2">
      <c r="A126" s="165"/>
      <c r="B126" s="461" t="s">
        <v>1629</v>
      </c>
      <c r="C126" s="486">
        <f t="shared" si="2"/>
        <v>0</v>
      </c>
      <c r="D126" s="486">
        <f t="shared" si="3"/>
        <v>0</v>
      </c>
    </row>
    <row r="127" spans="1:4" s="738" customFormat="1" x14ac:dyDescent="0.2">
      <c r="A127" s="165"/>
      <c r="B127" s="461" t="s">
        <v>1630</v>
      </c>
      <c r="C127" s="486">
        <f t="shared" si="2"/>
        <v>0</v>
      </c>
      <c r="D127" s="486">
        <f t="shared" si="3"/>
        <v>0</v>
      </c>
    </row>
    <row r="128" spans="1:4" s="738" customFormat="1" x14ac:dyDescent="0.2">
      <c r="A128" s="165"/>
      <c r="B128" s="461" t="s">
        <v>1631</v>
      </c>
      <c r="C128" s="486">
        <f t="shared" si="2"/>
        <v>0</v>
      </c>
      <c r="D128" s="486">
        <f t="shared" si="3"/>
        <v>0</v>
      </c>
    </row>
    <row r="129" spans="1:9" s="738" customFormat="1" x14ac:dyDescent="0.2">
      <c r="A129" s="165"/>
      <c r="B129" s="461" t="s">
        <v>1632</v>
      </c>
      <c r="C129" s="486">
        <f t="shared" si="2"/>
        <v>0</v>
      </c>
      <c r="D129" s="486">
        <f t="shared" si="3"/>
        <v>0</v>
      </c>
    </row>
    <row r="130" spans="1:9" s="738" customFormat="1" x14ac:dyDescent="0.2">
      <c r="A130" s="165"/>
      <c r="B130" s="461" t="s">
        <v>1633</v>
      </c>
      <c r="C130" s="486">
        <f t="shared" si="2"/>
        <v>0</v>
      </c>
      <c r="D130" s="486">
        <f t="shared" si="3"/>
        <v>0</v>
      </c>
    </row>
    <row r="131" spans="1:9" s="738" customFormat="1" x14ac:dyDescent="0.2">
      <c r="A131" s="165"/>
      <c r="B131" s="461" t="s">
        <v>1634</v>
      </c>
      <c r="C131" s="486">
        <f t="shared" si="2"/>
        <v>0</v>
      </c>
      <c r="D131" s="486">
        <f t="shared" si="3"/>
        <v>0</v>
      </c>
    </row>
    <row r="132" spans="1:9" s="738" customFormat="1" x14ac:dyDescent="0.2">
      <c r="A132" s="165"/>
      <c r="B132" s="461" t="s">
        <v>1635</v>
      </c>
      <c r="C132" s="486">
        <f t="shared" si="2"/>
        <v>0</v>
      </c>
      <c r="D132" s="486">
        <f t="shared" si="3"/>
        <v>0</v>
      </c>
    </row>
    <row r="133" spans="1:9" s="738" customFormat="1" x14ac:dyDescent="0.2">
      <c r="A133" s="165"/>
      <c r="B133" s="461" t="s">
        <v>1636</v>
      </c>
      <c r="C133" s="486">
        <f t="shared" si="2"/>
        <v>0</v>
      </c>
      <c r="D133" s="486">
        <f t="shared" si="3"/>
        <v>0</v>
      </c>
    </row>
    <row r="134" spans="1:9" s="738" customFormat="1" x14ac:dyDescent="0.2">
      <c r="A134" s="165"/>
      <c r="B134" s="461" t="s">
        <v>1637</v>
      </c>
      <c r="C134" s="486">
        <f t="shared" si="2"/>
        <v>0</v>
      </c>
      <c r="D134" s="486">
        <f t="shared" si="3"/>
        <v>0</v>
      </c>
    </row>
    <row r="135" spans="1:9" s="738" customFormat="1" x14ac:dyDescent="0.2">
      <c r="A135" s="165"/>
      <c r="B135" s="461" t="s">
        <v>1638</v>
      </c>
      <c r="C135" s="486">
        <f t="shared" si="2"/>
        <v>0</v>
      </c>
      <c r="D135" s="486">
        <f t="shared" si="3"/>
        <v>0</v>
      </c>
    </row>
    <row r="136" spans="1:9" x14ac:dyDescent="0.2">
      <c r="A136" s="165"/>
      <c r="B136" s="685"/>
      <c r="C136" s="486">
        <f>SUM(C92:C135)</f>
        <v>0</v>
      </c>
      <c r="D136" s="486">
        <f>SUM(D92:D135)</f>
        <v>0</v>
      </c>
    </row>
    <row r="137" spans="1:9" x14ac:dyDescent="0.2">
      <c r="A137" s="165"/>
      <c r="B137" s="683"/>
      <c r="C137" s="481"/>
      <c r="D137" s="481"/>
      <c r="G137" s="461"/>
      <c r="H137" s="461"/>
      <c r="I137" s="461"/>
    </row>
    <row r="138" spans="1:9" ht="13.5" thickBot="1" x14ac:dyDescent="0.25">
      <c r="A138" s="165"/>
      <c r="B138" s="683"/>
      <c r="C138" s="487">
        <f>SUM(C92:C137)</f>
        <v>0</v>
      </c>
      <c r="D138" s="487">
        <f>SUM(D92:D137)</f>
        <v>0</v>
      </c>
      <c r="G138" s="461"/>
      <c r="H138" s="461"/>
      <c r="I138" s="682"/>
    </row>
    <row r="139" spans="1:9" ht="13.5" thickTop="1" x14ac:dyDescent="0.2">
      <c r="A139" s="165"/>
      <c r="B139" s="683"/>
      <c r="C139" s="481"/>
      <c r="D139" s="481"/>
    </row>
    <row r="140" spans="1:9" x14ac:dyDescent="0.2">
      <c r="A140" s="165"/>
      <c r="B140" s="683"/>
      <c r="C140" s="481"/>
      <c r="D140" s="481"/>
    </row>
    <row r="141" spans="1:9" x14ac:dyDescent="0.2">
      <c r="A141" s="165"/>
      <c r="B141" s="1242" t="s">
        <v>1654</v>
      </c>
      <c r="C141" s="1242"/>
      <c r="D141" s="1242"/>
      <c r="E141" s="1242"/>
      <c r="F141" s="1242"/>
      <c r="G141" s="1242"/>
      <c r="H141" s="1242"/>
    </row>
    <row r="142" spans="1:9" x14ac:dyDescent="0.2">
      <c r="A142" s="165"/>
      <c r="B142" s="1242"/>
      <c r="C142" s="1242"/>
      <c r="D142" s="1242"/>
      <c r="E142" s="1242"/>
      <c r="F142" s="1242"/>
      <c r="G142" s="1242"/>
      <c r="H142" s="1242"/>
    </row>
    <row r="143" spans="1:9" ht="18" x14ac:dyDescent="0.2">
      <c r="C143" s="513"/>
      <c r="D143" s="514"/>
      <c r="E143" s="515"/>
      <c r="F143" s="516"/>
      <c r="G143" s="1211" t="s">
        <v>466</v>
      </c>
      <c r="H143" s="1212"/>
    </row>
    <row r="144" spans="1:9" x14ac:dyDescent="0.2">
      <c r="C144" s="517"/>
      <c r="D144" s="518"/>
      <c r="E144" s="519"/>
      <c r="F144" s="686"/>
      <c r="G144" s="689"/>
      <c r="H144" s="130"/>
    </row>
    <row r="145" spans="2:8" x14ac:dyDescent="0.2">
      <c r="B145" s="82"/>
      <c r="C145" s="520" t="s">
        <v>658</v>
      </c>
      <c r="D145" s="113" t="s">
        <v>659</v>
      </c>
      <c r="E145" s="521" t="s">
        <v>1122</v>
      </c>
      <c r="F145" s="686"/>
      <c r="G145" s="59" t="s">
        <v>658</v>
      </c>
      <c r="H145" s="60" t="s">
        <v>659</v>
      </c>
    </row>
    <row r="146" spans="2:8" x14ac:dyDescent="0.2">
      <c r="B146" s="685" t="s">
        <v>1587</v>
      </c>
      <c r="C146" s="526">
        <f>C66*C48</f>
        <v>0</v>
      </c>
      <c r="D146" s="527">
        <f>C66*D48</f>
        <v>0</v>
      </c>
      <c r="E146" s="522">
        <f t="shared" ref="E146:E189" si="4">C146-D146</f>
        <v>0</v>
      </c>
      <c r="G146" s="255">
        <f>IF(E146&lt;0,0,E146)</f>
        <v>0</v>
      </c>
      <c r="H146" s="531">
        <f>IF(E146&gt;0,0,E146*-1)</f>
        <v>0</v>
      </c>
    </row>
    <row r="147" spans="2:8" x14ac:dyDescent="0.2">
      <c r="B147" s="512" t="s">
        <v>1605</v>
      </c>
      <c r="C147" s="526">
        <f>C71*(C47)</f>
        <v>0</v>
      </c>
      <c r="D147" s="527">
        <f>C71*(D47)</f>
        <v>0</v>
      </c>
      <c r="E147" s="522">
        <f t="shared" si="4"/>
        <v>0</v>
      </c>
      <c r="G147" s="255">
        <f>IF(E147&lt;0,0,E147-E190)</f>
        <v>0</v>
      </c>
      <c r="H147" s="531">
        <f>IF(E147&gt;0,0,-E147+E190)</f>
        <v>0</v>
      </c>
    </row>
    <row r="148" spans="2:8" x14ac:dyDescent="0.2">
      <c r="B148" s="512" t="s">
        <v>1606</v>
      </c>
      <c r="C148" s="526">
        <f t="shared" ref="C148:C163" si="5">C72*($C$47)</f>
        <v>0</v>
      </c>
      <c r="D148" s="527">
        <f>C72*(D47)</f>
        <v>0</v>
      </c>
      <c r="E148" s="522">
        <f t="shared" si="4"/>
        <v>0</v>
      </c>
      <c r="G148" s="255">
        <f t="shared" ref="G148:G172" si="6">IF(E148&lt;0,0,E148)</f>
        <v>0</v>
      </c>
      <c r="H148" s="531">
        <f t="shared" ref="H148:H172" si="7">IF(E148&gt;0,0,E148*-1)</f>
        <v>0</v>
      </c>
    </row>
    <row r="149" spans="2:8" x14ac:dyDescent="0.2">
      <c r="B149" s="512" t="s">
        <v>1607</v>
      </c>
      <c r="C149" s="526">
        <f t="shared" si="5"/>
        <v>0</v>
      </c>
      <c r="D149" s="527">
        <f>C73*(D47)</f>
        <v>0</v>
      </c>
      <c r="E149" s="522">
        <f t="shared" si="4"/>
        <v>0</v>
      </c>
      <c r="G149" s="255">
        <f t="shared" si="6"/>
        <v>0</v>
      </c>
      <c r="H149" s="531">
        <f t="shared" si="7"/>
        <v>0</v>
      </c>
    </row>
    <row r="150" spans="2:8" x14ac:dyDescent="0.2">
      <c r="B150" s="512" t="s">
        <v>1608</v>
      </c>
      <c r="C150" s="526">
        <f t="shared" si="5"/>
        <v>0</v>
      </c>
      <c r="D150" s="527">
        <f>C74*(D47)</f>
        <v>0</v>
      </c>
      <c r="E150" s="522">
        <f t="shared" si="4"/>
        <v>0</v>
      </c>
      <c r="G150" s="255">
        <f t="shared" si="6"/>
        <v>0</v>
      </c>
      <c r="H150" s="531">
        <f t="shared" si="7"/>
        <v>0</v>
      </c>
    </row>
    <row r="151" spans="2:8" x14ac:dyDescent="0.2">
      <c r="B151" s="512" t="s">
        <v>1609</v>
      </c>
      <c r="C151" s="526">
        <f t="shared" si="5"/>
        <v>0</v>
      </c>
      <c r="D151" s="527">
        <f>C75*(D47)</f>
        <v>0</v>
      </c>
      <c r="E151" s="522">
        <f t="shared" si="4"/>
        <v>0</v>
      </c>
      <c r="G151" s="255">
        <f t="shared" si="6"/>
        <v>0</v>
      </c>
      <c r="H151" s="531">
        <f t="shared" si="7"/>
        <v>0</v>
      </c>
    </row>
    <row r="152" spans="2:8" x14ac:dyDescent="0.2">
      <c r="B152" s="512" t="s">
        <v>1610</v>
      </c>
      <c r="C152" s="526">
        <f t="shared" si="5"/>
        <v>0</v>
      </c>
      <c r="D152" s="527">
        <f>C76*(D47)</f>
        <v>0</v>
      </c>
      <c r="E152" s="522">
        <f t="shared" si="4"/>
        <v>0</v>
      </c>
      <c r="G152" s="255">
        <f t="shared" si="6"/>
        <v>0</v>
      </c>
      <c r="H152" s="531">
        <f t="shared" si="7"/>
        <v>0</v>
      </c>
    </row>
    <row r="153" spans="2:8" x14ac:dyDescent="0.2">
      <c r="B153" s="512" t="s">
        <v>1611</v>
      </c>
      <c r="C153" s="526">
        <f t="shared" si="5"/>
        <v>0</v>
      </c>
      <c r="D153" s="527">
        <f>C77*(D47)</f>
        <v>0</v>
      </c>
      <c r="E153" s="522">
        <f t="shared" si="4"/>
        <v>0</v>
      </c>
      <c r="G153" s="255">
        <f t="shared" si="6"/>
        <v>0</v>
      </c>
      <c r="H153" s="531">
        <f t="shared" si="7"/>
        <v>0</v>
      </c>
    </row>
    <row r="154" spans="2:8" x14ac:dyDescent="0.2">
      <c r="B154" s="512" t="s">
        <v>1612</v>
      </c>
      <c r="C154" s="526">
        <f t="shared" si="5"/>
        <v>0</v>
      </c>
      <c r="D154" s="527">
        <f>C78*(D47)</f>
        <v>0</v>
      </c>
      <c r="E154" s="522">
        <f t="shared" si="4"/>
        <v>0</v>
      </c>
      <c r="G154" s="255">
        <f t="shared" si="6"/>
        <v>0</v>
      </c>
      <c r="H154" s="531">
        <f t="shared" si="7"/>
        <v>0</v>
      </c>
    </row>
    <row r="155" spans="2:8" x14ac:dyDescent="0.2">
      <c r="B155" s="512" t="s">
        <v>1613</v>
      </c>
      <c r="C155" s="526">
        <f t="shared" si="5"/>
        <v>0</v>
      </c>
      <c r="D155" s="527">
        <f>C79*(D47)</f>
        <v>0</v>
      </c>
      <c r="E155" s="522">
        <f t="shared" si="4"/>
        <v>0</v>
      </c>
      <c r="G155" s="255">
        <f t="shared" si="6"/>
        <v>0</v>
      </c>
      <c r="H155" s="531">
        <f t="shared" si="7"/>
        <v>0</v>
      </c>
    </row>
    <row r="156" spans="2:8" x14ac:dyDescent="0.2">
      <c r="B156" s="512" t="s">
        <v>1614</v>
      </c>
      <c r="C156" s="526">
        <f t="shared" si="5"/>
        <v>0</v>
      </c>
      <c r="D156" s="527">
        <f>C80*(D47)</f>
        <v>0</v>
      </c>
      <c r="E156" s="522">
        <f t="shared" si="4"/>
        <v>0</v>
      </c>
      <c r="G156" s="255">
        <f t="shared" si="6"/>
        <v>0</v>
      </c>
      <c r="H156" s="531">
        <f t="shared" si="7"/>
        <v>0</v>
      </c>
    </row>
    <row r="157" spans="2:8" x14ac:dyDescent="0.2">
      <c r="B157" s="512" t="s">
        <v>1615</v>
      </c>
      <c r="C157" s="526">
        <f t="shared" si="5"/>
        <v>0</v>
      </c>
      <c r="D157" s="527">
        <f>C81*(D47)</f>
        <v>0</v>
      </c>
      <c r="E157" s="522">
        <f t="shared" si="4"/>
        <v>0</v>
      </c>
      <c r="G157" s="255">
        <f t="shared" si="6"/>
        <v>0</v>
      </c>
      <c r="H157" s="531">
        <f t="shared" si="7"/>
        <v>0</v>
      </c>
    </row>
    <row r="158" spans="2:8" x14ac:dyDescent="0.2">
      <c r="B158" s="512" t="s">
        <v>1616</v>
      </c>
      <c r="C158" s="526">
        <f t="shared" si="5"/>
        <v>0</v>
      </c>
      <c r="D158" s="527">
        <f>C82*(D47)</f>
        <v>0</v>
      </c>
      <c r="E158" s="522">
        <f t="shared" si="4"/>
        <v>0</v>
      </c>
      <c r="G158" s="255">
        <f t="shared" si="6"/>
        <v>0</v>
      </c>
      <c r="H158" s="531">
        <f t="shared" si="7"/>
        <v>0</v>
      </c>
    </row>
    <row r="159" spans="2:8" x14ac:dyDescent="0.2">
      <c r="B159" s="512" t="s">
        <v>1617</v>
      </c>
      <c r="C159" s="526">
        <f t="shared" si="5"/>
        <v>0</v>
      </c>
      <c r="D159" s="527">
        <f>C83*(D47)</f>
        <v>0</v>
      </c>
      <c r="E159" s="522">
        <f t="shared" si="4"/>
        <v>0</v>
      </c>
      <c r="G159" s="255">
        <f t="shared" si="6"/>
        <v>0</v>
      </c>
      <c r="H159" s="531">
        <f t="shared" si="7"/>
        <v>0</v>
      </c>
    </row>
    <row r="160" spans="2:8" x14ac:dyDescent="0.2">
      <c r="B160" s="512" t="s">
        <v>1618</v>
      </c>
      <c r="C160" s="526">
        <f t="shared" si="5"/>
        <v>0</v>
      </c>
      <c r="D160" s="527">
        <f>C84*(D47)</f>
        <v>0</v>
      </c>
      <c r="E160" s="522">
        <f t="shared" si="4"/>
        <v>0</v>
      </c>
      <c r="G160" s="255">
        <f t="shared" si="6"/>
        <v>0</v>
      </c>
      <c r="H160" s="531">
        <f t="shared" si="7"/>
        <v>0</v>
      </c>
    </row>
    <row r="161" spans="2:8" x14ac:dyDescent="0.2">
      <c r="B161" s="512" t="s">
        <v>1619</v>
      </c>
      <c r="C161" s="526">
        <f t="shared" si="5"/>
        <v>0</v>
      </c>
      <c r="D161" s="527">
        <f>C85*(D47)</f>
        <v>0</v>
      </c>
      <c r="E161" s="522">
        <f t="shared" si="4"/>
        <v>0</v>
      </c>
      <c r="G161" s="255">
        <f t="shared" si="6"/>
        <v>0</v>
      </c>
      <c r="H161" s="531">
        <f t="shared" si="7"/>
        <v>0</v>
      </c>
    </row>
    <row r="162" spans="2:8" x14ac:dyDescent="0.2">
      <c r="B162" s="512" t="s">
        <v>1620</v>
      </c>
      <c r="C162" s="526">
        <f t="shared" si="5"/>
        <v>0</v>
      </c>
      <c r="D162" s="527">
        <f>C86*(D47)</f>
        <v>0</v>
      </c>
      <c r="E162" s="522">
        <f t="shared" si="4"/>
        <v>0</v>
      </c>
      <c r="G162" s="255">
        <f t="shared" si="6"/>
        <v>0</v>
      </c>
      <c r="H162" s="531">
        <f t="shared" si="7"/>
        <v>0</v>
      </c>
    </row>
    <row r="163" spans="2:8" x14ac:dyDescent="0.2">
      <c r="B163" s="512" t="s">
        <v>1621</v>
      </c>
      <c r="C163" s="526">
        <f t="shared" si="5"/>
        <v>0</v>
      </c>
      <c r="D163" s="527">
        <f>C87*(D47)</f>
        <v>0</v>
      </c>
      <c r="E163" s="522">
        <f t="shared" si="4"/>
        <v>0</v>
      </c>
      <c r="G163" s="255">
        <f t="shared" si="6"/>
        <v>0</v>
      </c>
      <c r="H163" s="531">
        <f t="shared" si="7"/>
        <v>0</v>
      </c>
    </row>
    <row r="164" spans="2:8" x14ac:dyDescent="0.2">
      <c r="B164" s="685" t="s">
        <v>1195</v>
      </c>
      <c r="C164" s="739">
        <f>$C$88*(C35)</f>
        <v>0</v>
      </c>
      <c r="D164" s="527">
        <f>$C$88*(D35)</f>
        <v>0</v>
      </c>
      <c r="E164" s="622">
        <f t="shared" si="4"/>
        <v>0</v>
      </c>
      <c r="G164" s="255">
        <f t="shared" si="6"/>
        <v>0</v>
      </c>
      <c r="H164" s="531">
        <f t="shared" si="7"/>
        <v>0</v>
      </c>
    </row>
    <row r="165" spans="2:8" ht="25.5" x14ac:dyDescent="0.2">
      <c r="B165" s="685" t="s">
        <v>1561</v>
      </c>
      <c r="C165" s="526">
        <f>$C$88*(C37)</f>
        <v>0</v>
      </c>
      <c r="D165" s="527">
        <f>$C$71*(D37)</f>
        <v>0</v>
      </c>
      <c r="E165" s="622">
        <f t="shared" si="4"/>
        <v>0</v>
      </c>
      <c r="G165" s="255">
        <f t="shared" si="6"/>
        <v>0</v>
      </c>
      <c r="H165" s="531">
        <f t="shared" si="7"/>
        <v>0</v>
      </c>
    </row>
    <row r="166" spans="2:8" x14ac:dyDescent="0.2">
      <c r="B166" s="685" t="s">
        <v>1196</v>
      </c>
      <c r="C166" s="526">
        <f>$C$88*(C36)</f>
        <v>0</v>
      </c>
      <c r="D166" s="527">
        <f>$C$88*(D36)</f>
        <v>0</v>
      </c>
      <c r="E166" s="622">
        <f t="shared" si="4"/>
        <v>0</v>
      </c>
      <c r="G166" s="255">
        <f t="shared" si="6"/>
        <v>0</v>
      </c>
      <c r="H166" s="531">
        <f t="shared" si="7"/>
        <v>0</v>
      </c>
    </row>
    <row r="167" spans="2:8" ht="25.5" x14ac:dyDescent="0.2">
      <c r="B167" s="685" t="s">
        <v>1197</v>
      </c>
      <c r="C167" s="526">
        <f>$C$88*(C38)</f>
        <v>0</v>
      </c>
      <c r="D167" s="527">
        <f>$C$88*(D38)</f>
        <v>0</v>
      </c>
      <c r="E167" s="622">
        <f t="shared" si="4"/>
        <v>0</v>
      </c>
      <c r="G167" s="255">
        <f t="shared" si="6"/>
        <v>0</v>
      </c>
      <c r="H167" s="531">
        <f t="shared" si="7"/>
        <v>0</v>
      </c>
    </row>
    <row r="168" spans="2:8" x14ac:dyDescent="0.2">
      <c r="B168" s="685" t="s">
        <v>1198</v>
      </c>
      <c r="C168" s="526">
        <f>$C$88*(C39)</f>
        <v>0</v>
      </c>
      <c r="D168" s="527">
        <f>$C$88*(D39)</f>
        <v>0</v>
      </c>
      <c r="E168" s="622">
        <f t="shared" si="4"/>
        <v>0</v>
      </c>
      <c r="G168" s="255">
        <f t="shared" si="6"/>
        <v>0</v>
      </c>
      <c r="H168" s="531">
        <f t="shared" si="7"/>
        <v>0</v>
      </c>
    </row>
    <row r="169" spans="2:8" ht="25.5" x14ac:dyDescent="0.2">
      <c r="B169" s="685" t="s">
        <v>1199</v>
      </c>
      <c r="C169" s="526">
        <f>$C$88*(C41)</f>
        <v>0</v>
      </c>
      <c r="D169" s="527">
        <f>$C$88*(D41)</f>
        <v>0</v>
      </c>
      <c r="E169" s="622">
        <f t="shared" si="4"/>
        <v>0</v>
      </c>
      <c r="G169" s="255">
        <f t="shared" si="6"/>
        <v>0</v>
      </c>
      <c r="H169" s="531">
        <f t="shared" si="7"/>
        <v>0</v>
      </c>
    </row>
    <row r="170" spans="2:8" x14ac:dyDescent="0.2">
      <c r="B170" s="685" t="s">
        <v>1200</v>
      </c>
      <c r="C170" s="526">
        <f>$C$88*(C40)</f>
        <v>0</v>
      </c>
      <c r="D170" s="527">
        <f>$C$88*(E52)</f>
        <v>0</v>
      </c>
      <c r="E170" s="622">
        <f t="shared" si="4"/>
        <v>0</v>
      </c>
      <c r="G170" s="255">
        <f t="shared" si="6"/>
        <v>0</v>
      </c>
      <c r="H170" s="531">
        <f t="shared" si="7"/>
        <v>0</v>
      </c>
    </row>
    <row r="171" spans="2:8" ht="25.5" x14ac:dyDescent="0.2">
      <c r="B171" s="685" t="s">
        <v>1201</v>
      </c>
      <c r="C171" s="526">
        <f>$C$88*(C42)</f>
        <v>0</v>
      </c>
      <c r="D171" s="527">
        <f>$C$88*(D42)</f>
        <v>0</v>
      </c>
      <c r="E171" s="622">
        <f t="shared" si="4"/>
        <v>0</v>
      </c>
      <c r="G171" s="255">
        <f t="shared" si="6"/>
        <v>0</v>
      </c>
      <c r="H171" s="531">
        <f t="shared" si="7"/>
        <v>0</v>
      </c>
    </row>
    <row r="172" spans="2:8" x14ac:dyDescent="0.2">
      <c r="B172" s="685" t="str">
        <f>B118</f>
        <v>Deferred Outflow - contributions subsequent to the measurement date</v>
      </c>
      <c r="C172" s="739">
        <f>$C$88*C17</f>
        <v>0</v>
      </c>
      <c r="D172" s="740">
        <f>$C$88*D43</f>
        <v>0</v>
      </c>
      <c r="E172" s="622">
        <f t="shared" si="4"/>
        <v>0</v>
      </c>
      <c r="G172" s="255">
        <f t="shared" si="6"/>
        <v>0</v>
      </c>
      <c r="H172" s="531">
        <f t="shared" si="7"/>
        <v>0</v>
      </c>
    </row>
    <row r="173" spans="2:8" s="732" customFormat="1" x14ac:dyDescent="0.2">
      <c r="B173" s="512" t="s">
        <v>1622</v>
      </c>
      <c r="C173" s="739"/>
      <c r="D173" s="527">
        <f>C71*$D$44</f>
        <v>0</v>
      </c>
      <c r="E173" s="622">
        <f t="shared" si="4"/>
        <v>0</v>
      </c>
      <c r="G173" s="255">
        <f t="shared" ref="G173:G189" si="8">IF(E173&lt;0,0,E173)</f>
        <v>0</v>
      </c>
      <c r="H173" s="531">
        <f t="shared" ref="H173:H189" si="9">IF(E173&gt;0,0,E173*-1)</f>
        <v>0</v>
      </c>
    </row>
    <row r="174" spans="2:8" s="732" customFormat="1" x14ac:dyDescent="0.2">
      <c r="B174" s="512" t="s">
        <v>1623</v>
      </c>
      <c r="C174" s="739"/>
      <c r="D174" s="527">
        <f t="shared" ref="D174:D189" si="10">C72*$D$54</f>
        <v>0</v>
      </c>
      <c r="E174" s="622">
        <f t="shared" si="4"/>
        <v>0</v>
      </c>
      <c r="G174" s="255">
        <f t="shared" si="8"/>
        <v>0</v>
      </c>
      <c r="H174" s="531">
        <f t="shared" si="9"/>
        <v>0</v>
      </c>
    </row>
    <row r="175" spans="2:8" s="732" customFormat="1" x14ac:dyDescent="0.2">
      <c r="B175" s="512" t="s">
        <v>1624</v>
      </c>
      <c r="C175" s="739"/>
      <c r="D175" s="527">
        <f t="shared" si="10"/>
        <v>0</v>
      </c>
      <c r="E175" s="622">
        <f t="shared" si="4"/>
        <v>0</v>
      </c>
      <c r="G175" s="255">
        <f t="shared" si="8"/>
        <v>0</v>
      </c>
      <c r="H175" s="531">
        <f t="shared" si="9"/>
        <v>0</v>
      </c>
    </row>
    <row r="176" spans="2:8" s="732" customFormat="1" x14ac:dyDescent="0.2">
      <c r="B176" s="512" t="s">
        <v>1625</v>
      </c>
      <c r="C176" s="739"/>
      <c r="D176" s="527">
        <f t="shared" si="10"/>
        <v>0</v>
      </c>
      <c r="E176" s="622">
        <f t="shared" si="4"/>
        <v>0</v>
      </c>
      <c r="G176" s="255">
        <f t="shared" si="8"/>
        <v>0</v>
      </c>
      <c r="H176" s="531">
        <f t="shared" si="9"/>
        <v>0</v>
      </c>
    </row>
    <row r="177" spans="2:8" s="732" customFormat="1" x14ac:dyDescent="0.2">
      <c r="B177" s="512" t="s">
        <v>1626</v>
      </c>
      <c r="C177" s="739"/>
      <c r="D177" s="527">
        <f t="shared" si="10"/>
        <v>0</v>
      </c>
      <c r="E177" s="622">
        <f t="shared" si="4"/>
        <v>0</v>
      </c>
      <c r="G177" s="255">
        <f t="shared" si="8"/>
        <v>0</v>
      </c>
      <c r="H177" s="531">
        <f t="shared" si="9"/>
        <v>0</v>
      </c>
    </row>
    <row r="178" spans="2:8" s="732" customFormat="1" x14ac:dyDescent="0.2">
      <c r="B178" s="512" t="s">
        <v>1627</v>
      </c>
      <c r="C178" s="739"/>
      <c r="D178" s="527">
        <f t="shared" si="10"/>
        <v>0</v>
      </c>
      <c r="E178" s="622">
        <f t="shared" si="4"/>
        <v>0</v>
      </c>
      <c r="G178" s="255">
        <f t="shared" si="8"/>
        <v>0</v>
      </c>
      <c r="H178" s="531">
        <f t="shared" si="9"/>
        <v>0</v>
      </c>
    </row>
    <row r="179" spans="2:8" s="732" customFormat="1" x14ac:dyDescent="0.2">
      <c r="B179" s="512" t="s">
        <v>1628</v>
      </c>
      <c r="C179" s="739"/>
      <c r="D179" s="527">
        <f t="shared" si="10"/>
        <v>0</v>
      </c>
      <c r="E179" s="622">
        <f t="shared" si="4"/>
        <v>0</v>
      </c>
      <c r="G179" s="255">
        <f t="shared" si="8"/>
        <v>0</v>
      </c>
      <c r="H179" s="531">
        <f t="shared" si="9"/>
        <v>0</v>
      </c>
    </row>
    <row r="180" spans="2:8" s="732" customFormat="1" x14ac:dyDescent="0.2">
      <c r="B180" s="512" t="s">
        <v>1629</v>
      </c>
      <c r="C180" s="739"/>
      <c r="D180" s="527">
        <f t="shared" si="10"/>
        <v>0</v>
      </c>
      <c r="E180" s="622">
        <f t="shared" si="4"/>
        <v>0</v>
      </c>
      <c r="G180" s="255">
        <f t="shared" si="8"/>
        <v>0</v>
      </c>
      <c r="H180" s="531">
        <f t="shared" si="9"/>
        <v>0</v>
      </c>
    </row>
    <row r="181" spans="2:8" s="732" customFormat="1" x14ac:dyDescent="0.2">
      <c r="B181" s="512" t="s">
        <v>1630</v>
      </c>
      <c r="C181" s="739"/>
      <c r="D181" s="527">
        <f t="shared" si="10"/>
        <v>0</v>
      </c>
      <c r="E181" s="622">
        <f t="shared" si="4"/>
        <v>0</v>
      </c>
      <c r="G181" s="255">
        <f t="shared" si="8"/>
        <v>0</v>
      </c>
      <c r="H181" s="531">
        <f t="shared" si="9"/>
        <v>0</v>
      </c>
    </row>
    <row r="182" spans="2:8" s="732" customFormat="1" x14ac:dyDescent="0.2">
      <c r="B182" s="512" t="s">
        <v>1631</v>
      </c>
      <c r="C182" s="739"/>
      <c r="D182" s="527">
        <f t="shared" si="10"/>
        <v>0</v>
      </c>
      <c r="E182" s="622">
        <f t="shared" si="4"/>
        <v>0</v>
      </c>
      <c r="G182" s="255">
        <f t="shared" si="8"/>
        <v>0</v>
      </c>
      <c r="H182" s="531">
        <f t="shared" si="9"/>
        <v>0</v>
      </c>
    </row>
    <row r="183" spans="2:8" s="732" customFormat="1" x14ac:dyDescent="0.2">
      <c r="B183" s="512" t="s">
        <v>1632</v>
      </c>
      <c r="C183" s="739"/>
      <c r="D183" s="527">
        <f t="shared" si="10"/>
        <v>0</v>
      </c>
      <c r="E183" s="622">
        <f t="shared" si="4"/>
        <v>0</v>
      </c>
      <c r="G183" s="255">
        <f t="shared" si="8"/>
        <v>0</v>
      </c>
      <c r="H183" s="531">
        <f t="shared" si="9"/>
        <v>0</v>
      </c>
    </row>
    <row r="184" spans="2:8" s="732" customFormat="1" x14ac:dyDescent="0.2">
      <c r="B184" s="512" t="s">
        <v>1633</v>
      </c>
      <c r="C184" s="739"/>
      <c r="D184" s="527">
        <f t="shared" si="10"/>
        <v>0</v>
      </c>
      <c r="E184" s="622">
        <f t="shared" si="4"/>
        <v>0</v>
      </c>
      <c r="G184" s="255">
        <f t="shared" si="8"/>
        <v>0</v>
      </c>
      <c r="H184" s="531">
        <f t="shared" si="9"/>
        <v>0</v>
      </c>
    </row>
    <row r="185" spans="2:8" s="732" customFormat="1" x14ac:dyDescent="0.2">
      <c r="B185" s="512" t="s">
        <v>1634</v>
      </c>
      <c r="C185" s="739"/>
      <c r="D185" s="527">
        <f t="shared" si="10"/>
        <v>0</v>
      </c>
      <c r="E185" s="622">
        <f t="shared" si="4"/>
        <v>0</v>
      </c>
      <c r="G185" s="255">
        <f t="shared" si="8"/>
        <v>0</v>
      </c>
      <c r="H185" s="531">
        <f t="shared" si="9"/>
        <v>0</v>
      </c>
    </row>
    <row r="186" spans="2:8" s="732" customFormat="1" x14ac:dyDescent="0.2">
      <c r="B186" s="512" t="s">
        <v>1635</v>
      </c>
      <c r="C186" s="739"/>
      <c r="D186" s="527">
        <f t="shared" si="10"/>
        <v>0</v>
      </c>
      <c r="E186" s="622">
        <f t="shared" si="4"/>
        <v>0</v>
      </c>
      <c r="G186" s="255">
        <f t="shared" si="8"/>
        <v>0</v>
      </c>
      <c r="H186" s="531">
        <f t="shared" si="9"/>
        <v>0</v>
      </c>
    </row>
    <row r="187" spans="2:8" s="732" customFormat="1" x14ac:dyDescent="0.2">
      <c r="B187" s="512" t="s">
        <v>1636</v>
      </c>
      <c r="C187" s="739"/>
      <c r="D187" s="527">
        <f t="shared" si="10"/>
        <v>0</v>
      </c>
      <c r="E187" s="622">
        <f t="shared" si="4"/>
        <v>0</v>
      </c>
      <c r="G187" s="255">
        <f t="shared" si="8"/>
        <v>0</v>
      </c>
      <c r="H187" s="531">
        <f t="shared" si="9"/>
        <v>0</v>
      </c>
    </row>
    <row r="188" spans="2:8" s="732" customFormat="1" x14ac:dyDescent="0.2">
      <c r="B188" s="512" t="s">
        <v>1637</v>
      </c>
      <c r="C188" s="739"/>
      <c r="D188" s="527">
        <f t="shared" si="10"/>
        <v>0</v>
      </c>
      <c r="E188" s="622">
        <f t="shared" si="4"/>
        <v>0</v>
      </c>
      <c r="G188" s="255">
        <f t="shared" si="8"/>
        <v>0</v>
      </c>
      <c r="H188" s="531">
        <f t="shared" si="9"/>
        <v>0</v>
      </c>
    </row>
    <row r="189" spans="2:8" s="732" customFormat="1" x14ac:dyDescent="0.2">
      <c r="B189" s="512" t="s">
        <v>1638</v>
      </c>
      <c r="C189" s="739"/>
      <c r="D189" s="527">
        <f t="shared" si="10"/>
        <v>0</v>
      </c>
      <c r="E189" s="622">
        <f t="shared" si="4"/>
        <v>0</v>
      </c>
      <c r="G189" s="255">
        <f t="shared" si="8"/>
        <v>0</v>
      </c>
      <c r="H189" s="531">
        <f t="shared" si="9"/>
        <v>0</v>
      </c>
    </row>
    <row r="190" spans="2:8" x14ac:dyDescent="0.2">
      <c r="C190" s="528">
        <f>SUM(C146:C189)</f>
        <v>0</v>
      </c>
      <c r="D190" s="529">
        <f>SUM(D146:D189)</f>
        <v>0</v>
      </c>
      <c r="E190" s="523">
        <f>SUM(E146:E189)</f>
        <v>0</v>
      </c>
      <c r="G190" s="528">
        <f>SUM(G146:G189)</f>
        <v>0</v>
      </c>
      <c r="H190" s="529">
        <f>SUM(H146:H189)</f>
        <v>0</v>
      </c>
    </row>
    <row r="192" spans="2:8" x14ac:dyDescent="0.2">
      <c r="D192" s="5"/>
    </row>
    <row r="193" spans="4:4" x14ac:dyDescent="0.2">
      <c r="D193" s="5"/>
    </row>
    <row r="194" spans="4:4" x14ac:dyDescent="0.2">
      <c r="D194" s="478"/>
    </row>
  </sheetData>
  <sheetProtection algorithmName="SHA-512" hashValue="ttr9dQtwyVdflF1y5rlgRu45GlAB9uDW/5+nr5XJDP99f5bbaEyx9zj41Fvs0UtERBFWsi9ZBCfAh8ahN945bw==" saltValue="EfxU2io5PR4Asir4AX4GFg==" spinCount="100000" sheet="1" objects="1" scenarios="1"/>
  <mergeCells count="9">
    <mergeCell ref="J18:M18"/>
    <mergeCell ref="O18:R18"/>
    <mergeCell ref="G143:H143"/>
    <mergeCell ref="A2:C2"/>
    <mergeCell ref="A5:C5"/>
    <mergeCell ref="B63:I63"/>
    <mergeCell ref="B65:E65"/>
    <mergeCell ref="B141:H142"/>
    <mergeCell ref="J17:M17"/>
  </mergeCells>
  <conditionalFormatting sqref="C51:E53 B54:E58 E36 B39:E43 B36:B38 D37:E38">
    <cfRule type="expression" dxfId="14" priority="16">
      <formula>#REF!=2</formula>
    </cfRule>
  </conditionalFormatting>
  <conditionalFormatting sqref="B44">
    <cfRule type="expression" dxfId="13" priority="15">
      <formula>#REF!=2</formula>
    </cfRule>
  </conditionalFormatting>
  <conditionalFormatting sqref="E48:E50">
    <cfRule type="expression" dxfId="12" priority="14">
      <formula>#REF!=2</formula>
    </cfRule>
  </conditionalFormatting>
  <conditionalFormatting sqref="C44:E44">
    <cfRule type="expression" dxfId="11" priority="13">
      <formula>#REF!=2</formula>
    </cfRule>
  </conditionalFormatting>
  <conditionalFormatting sqref="B45">
    <cfRule type="expression" dxfId="10" priority="12">
      <formula>#REF!=2</formula>
    </cfRule>
  </conditionalFormatting>
  <conditionalFormatting sqref="C49:C50 D49">
    <cfRule type="expression" dxfId="9" priority="11">
      <formula>#REF!=2</formula>
    </cfRule>
  </conditionalFormatting>
  <conditionalFormatting sqref="D45:D48 D50">
    <cfRule type="expression" dxfId="8" priority="10">
      <formula>#REF!=2</formula>
    </cfRule>
  </conditionalFormatting>
  <conditionalFormatting sqref="E45:E47">
    <cfRule type="expression" dxfId="7" priority="9">
      <formula>#REF!=2</formula>
    </cfRule>
  </conditionalFormatting>
  <conditionalFormatting sqref="B46:B51">
    <cfRule type="expression" dxfId="6" priority="8">
      <formula>#REF!=2</formula>
    </cfRule>
  </conditionalFormatting>
  <conditionalFormatting sqref="B52">
    <cfRule type="expression" dxfId="5" priority="7">
      <formula>#REF!=2</formula>
    </cfRule>
  </conditionalFormatting>
  <conditionalFormatting sqref="B53">
    <cfRule type="expression" dxfId="4" priority="6">
      <formula>#REF!=2</formula>
    </cfRule>
  </conditionalFormatting>
  <conditionalFormatting sqref="C45">
    <cfRule type="expression" dxfId="3" priority="4">
      <formula>#REF!=2</formula>
    </cfRule>
  </conditionalFormatting>
  <conditionalFormatting sqref="C46">
    <cfRule type="expression" dxfId="2" priority="3">
      <formula>#REF!=2</formula>
    </cfRule>
  </conditionalFormatting>
  <conditionalFormatting sqref="C48">
    <cfRule type="expression" dxfId="1" priority="2">
      <formula>#REF!=2</formula>
    </cfRule>
  </conditionalFormatting>
  <conditionalFormatting sqref="C47">
    <cfRule type="expression" dxfId="0" priority="1">
      <formula>#REF!=2</formula>
    </cfRule>
  </conditionalFormatting>
  <pageMargins left="0.7" right="0.7" top="0.75" bottom="0.75" header="0.3" footer="0.3"/>
  <pageSetup scale="63" fitToWidth="3" fitToHeight="6"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'La. 2018 DIPNC Summary'!$B$302:$B$597</xm:f>
          </x14:formula1>
          <xm:sqref>C14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pageSetUpPr fitToPage="1"/>
  </sheetPr>
  <dimension ref="A1:U597"/>
  <sheetViews>
    <sheetView topLeftCell="A277" workbookViewId="0">
      <selection sqref="A1:B2"/>
    </sheetView>
  </sheetViews>
  <sheetFormatPr defaultColWidth="9.140625" defaultRowHeight="15" x14ac:dyDescent="0.25"/>
  <cols>
    <col min="1" max="1" width="15.28515625" style="700" customWidth="1"/>
    <col min="2" max="2" width="69.7109375" style="700" customWidth="1"/>
    <col min="3" max="5" width="13.85546875" style="700" customWidth="1"/>
    <col min="6" max="6" width="18.28515625" style="702" customWidth="1"/>
    <col min="7" max="7" width="18.28515625" style="700" customWidth="1"/>
    <col min="8" max="8" width="3.85546875" style="700" customWidth="1"/>
    <col min="9" max="9" width="18.28515625" style="700" customWidth="1"/>
    <col min="10" max="10" width="20" style="700" customWidth="1"/>
    <col min="11" max="11" width="15.5703125" style="700" customWidth="1"/>
    <col min="12" max="12" width="19.42578125" style="700" customWidth="1"/>
    <col min="13" max="13" width="3.85546875" style="700" customWidth="1"/>
    <col min="14" max="14" width="18.28515625" style="700" customWidth="1"/>
    <col min="15" max="15" width="20" style="700" customWidth="1"/>
    <col min="16" max="16" width="14.42578125" style="700" customWidth="1"/>
    <col min="17" max="17" width="19.42578125" style="700" customWidth="1"/>
    <col min="18" max="18" width="3.85546875" style="700" customWidth="1"/>
    <col min="19" max="19" width="15" style="700" customWidth="1"/>
    <col min="20" max="20" width="22.42578125" style="700" customWidth="1"/>
    <col min="21" max="21" width="14.85546875" style="700" bestFit="1" customWidth="1"/>
    <col min="22" max="16384" width="9.140625" style="700"/>
  </cols>
  <sheetData>
    <row r="1" spans="1:21" x14ac:dyDescent="0.25">
      <c r="C1" s="701"/>
      <c r="D1" s="701"/>
      <c r="E1" s="701"/>
      <c r="I1" s="703" t="s">
        <v>778</v>
      </c>
      <c r="J1" s="703"/>
      <c r="K1" s="703"/>
      <c r="L1" s="703"/>
      <c r="N1" s="703" t="s">
        <v>779</v>
      </c>
      <c r="O1" s="703"/>
      <c r="P1" s="703"/>
      <c r="Q1" s="703"/>
      <c r="S1" s="703" t="s">
        <v>780</v>
      </c>
      <c r="T1" s="703"/>
      <c r="U1" s="703"/>
    </row>
    <row r="2" spans="1:21" ht="120" x14ac:dyDescent="0.25">
      <c r="A2" s="704" t="s">
        <v>781</v>
      </c>
      <c r="B2" s="704" t="s">
        <v>782</v>
      </c>
      <c r="C2" s="704" t="s">
        <v>1129</v>
      </c>
      <c r="D2" s="704" t="s">
        <v>1130</v>
      </c>
      <c r="E2" s="704" t="s">
        <v>1560</v>
      </c>
      <c r="F2" s="705" t="s">
        <v>1209</v>
      </c>
      <c r="G2" s="704" t="s">
        <v>1210</v>
      </c>
      <c r="H2" s="704"/>
      <c r="I2" s="704" t="s">
        <v>784</v>
      </c>
      <c r="J2" s="704" t="s">
        <v>785</v>
      </c>
      <c r="K2" s="704" t="s">
        <v>786</v>
      </c>
      <c r="L2" s="704" t="s">
        <v>787</v>
      </c>
      <c r="M2" s="704"/>
      <c r="N2" s="704" t="s">
        <v>784</v>
      </c>
      <c r="O2" s="704" t="s">
        <v>785</v>
      </c>
      <c r="P2" s="704" t="s">
        <v>786</v>
      </c>
      <c r="Q2" s="704" t="s">
        <v>787</v>
      </c>
      <c r="R2" s="704"/>
      <c r="S2" s="704" t="s">
        <v>1542</v>
      </c>
      <c r="T2" s="704" t="s">
        <v>789</v>
      </c>
      <c r="U2" s="704" t="s">
        <v>1219</v>
      </c>
    </row>
    <row r="3" spans="1:21" x14ac:dyDescent="0.25">
      <c r="A3" s="706" t="s">
        <v>533</v>
      </c>
      <c r="B3" s="707" t="s">
        <v>1543</v>
      </c>
      <c r="C3" s="708">
        <v>0</v>
      </c>
      <c r="D3" s="708">
        <v>0</v>
      </c>
      <c r="E3" s="708">
        <v>0</v>
      </c>
      <c r="F3" s="708">
        <v>0</v>
      </c>
      <c r="G3" s="708">
        <v>0</v>
      </c>
      <c r="H3" s="704"/>
      <c r="I3" s="708">
        <v>0</v>
      </c>
      <c r="J3" s="708">
        <v>0</v>
      </c>
      <c r="K3" s="708">
        <v>0</v>
      </c>
      <c r="L3" s="708">
        <v>0</v>
      </c>
      <c r="M3" s="704"/>
      <c r="N3" s="708">
        <v>0</v>
      </c>
      <c r="O3" s="708">
        <v>0</v>
      </c>
      <c r="P3" s="708">
        <v>0</v>
      </c>
      <c r="Q3" s="708">
        <v>0</v>
      </c>
      <c r="R3" s="704"/>
      <c r="S3" s="708">
        <v>0</v>
      </c>
      <c r="T3" s="708">
        <v>0</v>
      </c>
      <c r="U3" s="708">
        <v>0</v>
      </c>
    </row>
    <row r="4" spans="1:21" x14ac:dyDescent="0.25">
      <c r="A4" s="709">
        <v>10200</v>
      </c>
      <c r="B4" s="710" t="s">
        <v>791</v>
      </c>
      <c r="C4" s="711">
        <v>9.6029999999999998E-4</v>
      </c>
      <c r="D4" s="711">
        <v>9.8879999999999997E-4</v>
      </c>
      <c r="E4" s="708">
        <v>55028</v>
      </c>
      <c r="F4" s="712">
        <v>-61404</v>
      </c>
      <c r="G4" s="712">
        <v>-58694</v>
      </c>
      <c r="H4" s="712"/>
      <c r="I4" s="708">
        <v>16093</v>
      </c>
      <c r="J4" s="708">
        <v>12865</v>
      </c>
      <c r="K4" s="708">
        <v>0</v>
      </c>
      <c r="L4" s="712">
        <v>0</v>
      </c>
      <c r="M4" s="712"/>
      <c r="N4" s="708">
        <v>0</v>
      </c>
      <c r="O4" s="708">
        <v>0</v>
      </c>
      <c r="P4" s="708">
        <v>0</v>
      </c>
      <c r="Q4" s="712">
        <v>1802</v>
      </c>
      <c r="R4" s="712"/>
      <c r="S4" s="708">
        <v>31184</v>
      </c>
      <c r="T4" s="713">
        <v>-601</v>
      </c>
      <c r="U4" s="713">
        <v>30583</v>
      </c>
    </row>
    <row r="5" spans="1:21" x14ac:dyDescent="0.25">
      <c r="A5" s="709">
        <v>10400</v>
      </c>
      <c r="B5" s="710" t="s">
        <v>792</v>
      </c>
      <c r="C5" s="711">
        <v>2.8278000000000001E-3</v>
      </c>
      <c r="D5" s="711">
        <v>2.8936000000000001E-3</v>
      </c>
      <c r="E5" s="708">
        <v>188627</v>
      </c>
      <c r="F5" s="712">
        <v>-179693</v>
      </c>
      <c r="G5" s="712">
        <v>-172835</v>
      </c>
      <c r="H5" s="712"/>
      <c r="I5" s="708">
        <v>47388</v>
      </c>
      <c r="J5" s="708">
        <v>37884</v>
      </c>
      <c r="K5" s="708">
        <v>0</v>
      </c>
      <c r="L5" s="712">
        <v>13789</v>
      </c>
      <c r="M5" s="712"/>
      <c r="N5" s="708">
        <v>0</v>
      </c>
      <c r="O5" s="708">
        <v>0</v>
      </c>
      <c r="P5" s="708">
        <v>0</v>
      </c>
      <c r="Q5" s="712">
        <v>0</v>
      </c>
      <c r="R5" s="712"/>
      <c r="S5" s="708">
        <v>91827</v>
      </c>
      <c r="T5" s="713">
        <v>4596</v>
      </c>
      <c r="U5" s="713">
        <v>96424</v>
      </c>
    </row>
    <row r="6" spans="1:21" x14ac:dyDescent="0.25">
      <c r="A6" s="709">
        <v>10500</v>
      </c>
      <c r="B6" s="710" t="s">
        <v>793</v>
      </c>
      <c r="C6" s="711">
        <v>7.0100000000000002E-4</v>
      </c>
      <c r="D6" s="711">
        <v>6.6390000000000004E-4</v>
      </c>
      <c r="E6" s="708">
        <v>40465</v>
      </c>
      <c r="F6" s="712">
        <v>-41228</v>
      </c>
      <c r="G6" s="712">
        <v>-42845.120000000003</v>
      </c>
      <c r="H6" s="712"/>
      <c r="I6" s="708">
        <v>11747</v>
      </c>
      <c r="J6" s="708">
        <v>9391</v>
      </c>
      <c r="K6" s="708">
        <v>0</v>
      </c>
      <c r="L6" s="712">
        <v>0</v>
      </c>
      <c r="M6" s="712"/>
      <c r="N6" s="708">
        <v>0</v>
      </c>
      <c r="O6" s="708">
        <v>0</v>
      </c>
      <c r="P6" s="708">
        <v>0</v>
      </c>
      <c r="Q6" s="712">
        <v>3791</v>
      </c>
      <c r="R6" s="712"/>
      <c r="S6" s="708">
        <v>22764</v>
      </c>
      <c r="T6" s="713">
        <v>-1264</v>
      </c>
      <c r="U6" s="713">
        <v>21500</v>
      </c>
    </row>
    <row r="7" spans="1:21" x14ac:dyDescent="0.25">
      <c r="A7" s="709">
        <v>10700</v>
      </c>
      <c r="B7" s="710" t="s">
        <v>1544</v>
      </c>
      <c r="C7" s="711">
        <v>4.0867000000000004E-3</v>
      </c>
      <c r="D7" s="711">
        <v>4.0207999999999997E-3</v>
      </c>
      <c r="E7" s="708">
        <v>279735</v>
      </c>
      <c r="F7" s="712">
        <v>-249692</v>
      </c>
      <c r="G7" s="712">
        <v>-249779</v>
      </c>
      <c r="H7" s="712"/>
      <c r="I7" s="708">
        <v>68485</v>
      </c>
      <c r="J7" s="708">
        <v>54750</v>
      </c>
      <c r="K7" s="708">
        <v>0</v>
      </c>
      <c r="L7" s="712">
        <v>17779</v>
      </c>
      <c r="M7" s="712"/>
      <c r="N7" s="708">
        <v>0</v>
      </c>
      <c r="O7" s="708">
        <v>0</v>
      </c>
      <c r="P7" s="708">
        <v>0</v>
      </c>
      <c r="Q7" s="712">
        <v>0</v>
      </c>
      <c r="R7" s="712"/>
      <c r="S7" s="708">
        <v>132707</v>
      </c>
      <c r="T7" s="713">
        <v>5926</v>
      </c>
      <c r="U7" s="713">
        <v>138634</v>
      </c>
    </row>
    <row r="8" spans="1:21" x14ac:dyDescent="0.25">
      <c r="A8" s="709">
        <v>10800</v>
      </c>
      <c r="B8" s="710" t="s">
        <v>795</v>
      </c>
      <c r="C8" s="711">
        <v>1.74542E-2</v>
      </c>
      <c r="D8" s="711">
        <v>1.69856E-2</v>
      </c>
      <c r="E8" s="708">
        <v>1172145</v>
      </c>
      <c r="F8" s="712">
        <v>-1054806</v>
      </c>
      <c r="G8" s="712">
        <v>-1066801</v>
      </c>
      <c r="H8" s="712"/>
      <c r="I8" s="708">
        <v>292497</v>
      </c>
      <c r="J8" s="708">
        <v>233834</v>
      </c>
      <c r="K8" s="708">
        <v>0</v>
      </c>
      <c r="L8" s="712">
        <v>50271</v>
      </c>
      <c r="M8" s="712"/>
      <c r="N8" s="708">
        <v>0</v>
      </c>
      <c r="O8" s="708">
        <v>0</v>
      </c>
      <c r="P8" s="708">
        <v>0</v>
      </c>
      <c r="Q8" s="712">
        <v>0</v>
      </c>
      <c r="R8" s="712"/>
      <c r="S8" s="708">
        <v>566790</v>
      </c>
      <c r="T8" s="713">
        <v>16757</v>
      </c>
      <c r="U8" s="713">
        <v>583547</v>
      </c>
    </row>
    <row r="9" spans="1:21" x14ac:dyDescent="0.25">
      <c r="A9" s="709">
        <v>10850</v>
      </c>
      <c r="B9" s="710" t="s">
        <v>796</v>
      </c>
      <c r="C9" s="711">
        <v>1.292E-4</v>
      </c>
      <c r="D9" s="711">
        <v>1.1900000000000001E-4</v>
      </c>
      <c r="E9" s="708">
        <v>11879</v>
      </c>
      <c r="F9" s="712">
        <v>-7390</v>
      </c>
      <c r="G9" s="712">
        <v>-7897</v>
      </c>
      <c r="H9" s="712"/>
      <c r="I9" s="708">
        <v>2165</v>
      </c>
      <c r="J9" s="708">
        <v>1731</v>
      </c>
      <c r="K9" s="708">
        <v>0</v>
      </c>
      <c r="L9" s="712">
        <v>2460</v>
      </c>
      <c r="M9" s="712"/>
      <c r="N9" s="708">
        <v>0</v>
      </c>
      <c r="O9" s="708">
        <v>0</v>
      </c>
      <c r="P9" s="708">
        <v>0</v>
      </c>
      <c r="Q9" s="712">
        <v>0</v>
      </c>
      <c r="R9" s="712"/>
      <c r="S9" s="708">
        <v>4196</v>
      </c>
      <c r="T9" s="713">
        <v>820</v>
      </c>
      <c r="U9" s="713">
        <v>5016</v>
      </c>
    </row>
    <row r="10" spans="1:21" x14ac:dyDescent="0.25">
      <c r="A10" s="709">
        <v>10900</v>
      </c>
      <c r="B10" s="710" t="s">
        <v>797</v>
      </c>
      <c r="C10" s="711">
        <v>1.5231999999999999E-3</v>
      </c>
      <c r="D10" s="711">
        <v>1.6461E-3</v>
      </c>
      <c r="E10" s="708">
        <v>122380</v>
      </c>
      <c r="F10" s="712">
        <v>-102223</v>
      </c>
      <c r="G10" s="712">
        <v>-93098</v>
      </c>
      <c r="H10" s="712"/>
      <c r="I10" s="708">
        <v>25526</v>
      </c>
      <c r="J10" s="708">
        <v>20406</v>
      </c>
      <c r="K10" s="708">
        <v>0</v>
      </c>
      <c r="L10" s="712">
        <v>27083</v>
      </c>
      <c r="M10" s="712"/>
      <c r="N10" s="708">
        <v>0</v>
      </c>
      <c r="O10" s="708">
        <v>0</v>
      </c>
      <c r="P10" s="708">
        <v>0</v>
      </c>
      <c r="Q10" s="712">
        <v>0</v>
      </c>
      <c r="R10" s="712"/>
      <c r="S10" s="708">
        <v>49463</v>
      </c>
      <c r="T10" s="713">
        <v>9028</v>
      </c>
      <c r="U10" s="713">
        <v>58490</v>
      </c>
    </row>
    <row r="11" spans="1:21" x14ac:dyDescent="0.25">
      <c r="A11" s="709">
        <v>10910</v>
      </c>
      <c r="B11" s="710" t="s">
        <v>798</v>
      </c>
      <c r="C11" s="711">
        <v>2.6190000000000002E-4</v>
      </c>
      <c r="D11" s="711">
        <v>2.3949999999999999E-4</v>
      </c>
      <c r="E11" s="708">
        <v>15737</v>
      </c>
      <c r="F11" s="712">
        <v>-14873</v>
      </c>
      <c r="G11" s="712">
        <v>-16007</v>
      </c>
      <c r="H11" s="712"/>
      <c r="I11" s="708">
        <v>4389</v>
      </c>
      <c r="J11" s="708">
        <v>3509</v>
      </c>
      <c r="K11" s="708">
        <v>0</v>
      </c>
      <c r="L11" s="712">
        <v>0</v>
      </c>
      <c r="M11" s="712"/>
      <c r="N11" s="708">
        <v>0</v>
      </c>
      <c r="O11" s="708">
        <v>0</v>
      </c>
      <c r="P11" s="708">
        <v>0</v>
      </c>
      <c r="Q11" s="712">
        <v>1350</v>
      </c>
      <c r="R11" s="712"/>
      <c r="S11" s="708">
        <v>8505</v>
      </c>
      <c r="T11" s="713">
        <v>-450</v>
      </c>
      <c r="U11" s="713">
        <v>8055</v>
      </c>
    </row>
    <row r="12" spans="1:21" x14ac:dyDescent="0.25">
      <c r="A12" s="709">
        <v>10930</v>
      </c>
      <c r="B12" s="710" t="s">
        <v>799</v>
      </c>
      <c r="C12" s="711">
        <v>2.3619000000000001E-3</v>
      </c>
      <c r="D12" s="711">
        <v>2.1821000000000002E-3</v>
      </c>
      <c r="E12" s="708">
        <v>175276</v>
      </c>
      <c r="F12" s="712">
        <v>-135508</v>
      </c>
      <c r="G12" s="712">
        <v>-144359</v>
      </c>
      <c r="H12" s="712"/>
      <c r="I12" s="708">
        <v>39581</v>
      </c>
      <c r="J12" s="708">
        <v>31642</v>
      </c>
      <c r="K12" s="708">
        <v>0</v>
      </c>
      <c r="L12" s="712">
        <v>13878</v>
      </c>
      <c r="M12" s="712"/>
      <c r="N12" s="708">
        <v>0</v>
      </c>
      <c r="O12" s="708">
        <v>0</v>
      </c>
      <c r="P12" s="708">
        <v>0</v>
      </c>
      <c r="Q12" s="712">
        <v>0</v>
      </c>
      <c r="R12" s="712"/>
      <c r="S12" s="708">
        <v>76698</v>
      </c>
      <c r="T12" s="713">
        <v>4626</v>
      </c>
      <c r="U12" s="713">
        <v>81324</v>
      </c>
    </row>
    <row r="13" spans="1:21" x14ac:dyDescent="0.25">
      <c r="A13" s="709">
        <v>10940</v>
      </c>
      <c r="B13" s="710" t="s">
        <v>800</v>
      </c>
      <c r="C13" s="711">
        <v>5.8889999999999995E-4</v>
      </c>
      <c r="D13" s="711">
        <v>6.0190000000000005E-4</v>
      </c>
      <c r="E13" s="708">
        <v>44236</v>
      </c>
      <c r="F13" s="712">
        <v>-37378</v>
      </c>
      <c r="G13" s="712">
        <v>-35994</v>
      </c>
      <c r="H13" s="712"/>
      <c r="I13" s="708">
        <v>9869</v>
      </c>
      <c r="J13" s="708">
        <v>7889</v>
      </c>
      <c r="K13" s="708">
        <v>0</v>
      </c>
      <c r="L13" s="712">
        <v>6554</v>
      </c>
      <c r="M13" s="712"/>
      <c r="N13" s="708">
        <v>0</v>
      </c>
      <c r="O13" s="708">
        <v>0</v>
      </c>
      <c r="P13" s="708">
        <v>0</v>
      </c>
      <c r="Q13" s="712">
        <v>0</v>
      </c>
      <c r="R13" s="712"/>
      <c r="S13" s="708">
        <v>19123</v>
      </c>
      <c r="T13" s="713">
        <v>2185</v>
      </c>
      <c r="U13" s="713">
        <v>21308</v>
      </c>
    </row>
    <row r="14" spans="1:21" x14ac:dyDescent="0.25">
      <c r="A14" s="709">
        <v>10950</v>
      </c>
      <c r="B14" s="710" t="s">
        <v>801</v>
      </c>
      <c r="C14" s="711">
        <v>7.5250000000000002E-4</v>
      </c>
      <c r="D14" s="711">
        <v>7.7360000000000005E-4</v>
      </c>
      <c r="E14" s="708">
        <v>48129</v>
      </c>
      <c r="F14" s="712">
        <v>-48041</v>
      </c>
      <c r="G14" s="712">
        <v>-45992.800000000003</v>
      </c>
      <c r="H14" s="712"/>
      <c r="I14" s="708">
        <v>12610</v>
      </c>
      <c r="J14" s="708">
        <v>10081</v>
      </c>
      <c r="K14" s="708">
        <v>0</v>
      </c>
      <c r="L14" s="712">
        <v>2287</v>
      </c>
      <c r="M14" s="712"/>
      <c r="N14" s="708">
        <v>0</v>
      </c>
      <c r="O14" s="708">
        <v>0</v>
      </c>
      <c r="P14" s="708">
        <v>0</v>
      </c>
      <c r="Q14" s="712">
        <v>0</v>
      </c>
      <c r="R14" s="712"/>
      <c r="S14" s="708">
        <v>24436</v>
      </c>
      <c r="T14" s="713">
        <v>762</v>
      </c>
      <c r="U14" s="713">
        <v>25198.125</v>
      </c>
    </row>
    <row r="15" spans="1:21" x14ac:dyDescent="0.25">
      <c r="A15" s="709">
        <v>11300</v>
      </c>
      <c r="B15" s="710" t="s">
        <v>802</v>
      </c>
      <c r="C15" s="711">
        <v>4.1510000000000002E-3</v>
      </c>
      <c r="D15" s="711">
        <v>4.5649999999999996E-3</v>
      </c>
      <c r="E15" s="708">
        <v>308429</v>
      </c>
      <c r="F15" s="712">
        <v>-283487</v>
      </c>
      <c r="G15" s="712">
        <v>-253709</v>
      </c>
      <c r="H15" s="712"/>
      <c r="I15" s="708">
        <v>69562</v>
      </c>
      <c r="J15" s="708">
        <v>55611</v>
      </c>
      <c r="K15" s="708">
        <v>0</v>
      </c>
      <c r="L15" s="712">
        <v>58679</v>
      </c>
      <c r="M15" s="712"/>
      <c r="N15" s="708">
        <v>0</v>
      </c>
      <c r="O15" s="708">
        <v>0</v>
      </c>
      <c r="P15" s="708">
        <v>0</v>
      </c>
      <c r="Q15" s="712">
        <v>0</v>
      </c>
      <c r="R15" s="712"/>
      <c r="S15" s="708">
        <v>134795</v>
      </c>
      <c r="T15" s="713">
        <v>19560</v>
      </c>
      <c r="U15" s="713">
        <v>154355</v>
      </c>
    </row>
    <row r="16" spans="1:21" x14ac:dyDescent="0.25">
      <c r="A16" s="709">
        <v>11310</v>
      </c>
      <c r="B16" s="710" t="s">
        <v>803</v>
      </c>
      <c r="C16" s="711">
        <v>4.4979999999999998E-4</v>
      </c>
      <c r="D16" s="711">
        <v>4.3340000000000002E-4</v>
      </c>
      <c r="E16" s="708">
        <v>32828</v>
      </c>
      <c r="F16" s="712">
        <v>-26914</v>
      </c>
      <c r="G16" s="712">
        <v>-27492</v>
      </c>
      <c r="H16" s="712"/>
      <c r="I16" s="708">
        <v>7538</v>
      </c>
      <c r="J16" s="708">
        <v>6026</v>
      </c>
      <c r="K16" s="708">
        <v>0</v>
      </c>
      <c r="L16" s="712">
        <v>3060</v>
      </c>
      <c r="M16" s="712"/>
      <c r="N16" s="708">
        <v>0</v>
      </c>
      <c r="O16" s="708">
        <v>0</v>
      </c>
      <c r="P16" s="708">
        <v>0</v>
      </c>
      <c r="Q16" s="712">
        <v>0</v>
      </c>
      <c r="R16" s="712"/>
      <c r="S16" s="708">
        <v>14606</v>
      </c>
      <c r="T16" s="713">
        <v>1020</v>
      </c>
      <c r="U16" s="713">
        <v>15627</v>
      </c>
    </row>
    <row r="17" spans="1:21" x14ac:dyDescent="0.25">
      <c r="A17" s="709">
        <v>11600</v>
      </c>
      <c r="B17" s="710" t="s">
        <v>804</v>
      </c>
      <c r="C17" s="711">
        <v>1.9070999999999999E-3</v>
      </c>
      <c r="D17" s="711">
        <v>1.8975000000000001E-3</v>
      </c>
      <c r="E17" s="708">
        <v>118248</v>
      </c>
      <c r="F17" s="712">
        <v>-117835</v>
      </c>
      <c r="G17" s="712">
        <v>-116562</v>
      </c>
      <c r="H17" s="712"/>
      <c r="I17" s="708">
        <v>31959</v>
      </c>
      <c r="J17" s="708">
        <v>25549</v>
      </c>
      <c r="K17" s="708">
        <v>0</v>
      </c>
      <c r="L17" s="712">
        <v>62</v>
      </c>
      <c r="M17" s="712"/>
      <c r="N17" s="708">
        <v>0</v>
      </c>
      <c r="O17" s="708">
        <v>0</v>
      </c>
      <c r="P17" s="708">
        <v>0</v>
      </c>
      <c r="Q17" s="712">
        <v>0</v>
      </c>
      <c r="R17" s="712"/>
      <c r="S17" s="708">
        <v>61929</v>
      </c>
      <c r="T17" s="713">
        <v>21</v>
      </c>
      <c r="U17" s="713">
        <v>61950</v>
      </c>
    </row>
    <row r="18" spans="1:21" x14ac:dyDescent="0.25">
      <c r="A18" s="709">
        <v>11900</v>
      </c>
      <c r="B18" s="710" t="s">
        <v>805</v>
      </c>
      <c r="C18" s="711">
        <v>1.8780000000000001E-4</v>
      </c>
      <c r="D18" s="711">
        <v>2.186E-4</v>
      </c>
      <c r="E18" s="708">
        <v>11838</v>
      </c>
      <c r="F18" s="712">
        <v>-13575</v>
      </c>
      <c r="G18" s="712">
        <v>-11478</v>
      </c>
      <c r="H18" s="712"/>
      <c r="I18" s="708">
        <v>3147</v>
      </c>
      <c r="J18" s="708">
        <v>2516</v>
      </c>
      <c r="K18" s="708">
        <v>0</v>
      </c>
      <c r="L18" s="712">
        <v>1630</v>
      </c>
      <c r="M18" s="712"/>
      <c r="N18" s="708">
        <v>0</v>
      </c>
      <c r="O18" s="708">
        <v>0</v>
      </c>
      <c r="P18" s="708">
        <v>0</v>
      </c>
      <c r="Q18" s="712">
        <v>0</v>
      </c>
      <c r="R18" s="712"/>
      <c r="S18" s="708">
        <v>6098</v>
      </c>
      <c r="T18" s="713">
        <v>543</v>
      </c>
      <c r="U18" s="713">
        <v>6642</v>
      </c>
    </row>
    <row r="19" spans="1:21" x14ac:dyDescent="0.25">
      <c r="A19" s="709">
        <v>12100</v>
      </c>
      <c r="B19" s="710" t="s">
        <v>806</v>
      </c>
      <c r="C19" s="711">
        <v>2.3780000000000001E-4</v>
      </c>
      <c r="D19" s="711">
        <v>2.396E-4</v>
      </c>
      <c r="E19" s="708">
        <v>15324</v>
      </c>
      <c r="F19" s="712">
        <v>-14879</v>
      </c>
      <c r="G19" s="712">
        <v>-14534</v>
      </c>
      <c r="H19" s="712"/>
      <c r="I19" s="708">
        <v>3985</v>
      </c>
      <c r="J19" s="708">
        <v>3186</v>
      </c>
      <c r="K19" s="708">
        <v>0</v>
      </c>
      <c r="L19" s="712">
        <v>582</v>
      </c>
      <c r="M19" s="712"/>
      <c r="N19" s="708">
        <v>0</v>
      </c>
      <c r="O19" s="708">
        <v>0</v>
      </c>
      <c r="P19" s="708">
        <v>0</v>
      </c>
      <c r="Q19" s="712">
        <v>0</v>
      </c>
      <c r="R19" s="712"/>
      <c r="S19" s="708">
        <v>7722</v>
      </c>
      <c r="T19" s="713">
        <v>194</v>
      </c>
      <c r="U19" s="713">
        <v>7916</v>
      </c>
    </row>
    <row r="20" spans="1:21" x14ac:dyDescent="0.25">
      <c r="A20" s="709">
        <v>12150</v>
      </c>
      <c r="B20" s="710" t="s">
        <v>807</v>
      </c>
      <c r="C20" s="711">
        <v>3.6900000000000002E-5</v>
      </c>
      <c r="D20" s="711">
        <v>3.6999999999999998E-5</v>
      </c>
      <c r="E20" s="708">
        <v>1850</v>
      </c>
      <c r="F20" s="712">
        <v>-2298</v>
      </c>
      <c r="G20" s="712">
        <v>-2255</v>
      </c>
      <c r="H20" s="712"/>
      <c r="I20" s="708">
        <v>618</v>
      </c>
      <c r="J20" s="708">
        <v>494</v>
      </c>
      <c r="K20" s="708">
        <v>0</v>
      </c>
      <c r="L20" s="712">
        <v>0</v>
      </c>
      <c r="M20" s="712"/>
      <c r="N20" s="708">
        <v>0</v>
      </c>
      <c r="O20" s="708">
        <v>0</v>
      </c>
      <c r="P20" s="708">
        <v>0</v>
      </c>
      <c r="Q20" s="712">
        <v>314</v>
      </c>
      <c r="R20" s="712"/>
      <c r="S20" s="708">
        <v>1198</v>
      </c>
      <c r="T20" s="713">
        <v>-105</v>
      </c>
      <c r="U20" s="713">
        <v>1094</v>
      </c>
    </row>
    <row r="21" spans="1:21" x14ac:dyDescent="0.25">
      <c r="A21" s="709">
        <v>12160</v>
      </c>
      <c r="B21" s="710" t="s">
        <v>808</v>
      </c>
      <c r="C21" s="711">
        <v>1.6502000000000001E-3</v>
      </c>
      <c r="D21" s="711">
        <v>1.6967E-3</v>
      </c>
      <c r="E21" s="708">
        <v>117177</v>
      </c>
      <c r="F21" s="712">
        <v>-105365</v>
      </c>
      <c r="G21" s="712">
        <v>-100860</v>
      </c>
      <c r="H21" s="712"/>
      <c r="I21" s="708">
        <v>27654</v>
      </c>
      <c r="J21" s="708">
        <v>22108</v>
      </c>
      <c r="K21" s="708">
        <v>0</v>
      </c>
      <c r="L21" s="712">
        <v>13750</v>
      </c>
      <c r="M21" s="712"/>
      <c r="N21" s="708">
        <v>0</v>
      </c>
      <c r="O21" s="708">
        <v>0</v>
      </c>
      <c r="P21" s="708">
        <v>0</v>
      </c>
      <c r="Q21" s="712">
        <v>0</v>
      </c>
      <c r="R21" s="712"/>
      <c r="S21" s="708">
        <v>53587</v>
      </c>
      <c r="T21" s="713">
        <v>4583</v>
      </c>
      <c r="U21" s="713">
        <v>58170</v>
      </c>
    </row>
    <row r="22" spans="1:21" x14ac:dyDescent="0.25">
      <c r="A22" s="709">
        <v>12200</v>
      </c>
      <c r="B22" s="710" t="s">
        <v>1545</v>
      </c>
      <c r="C22" s="711">
        <v>3.0000000000000001E-6</v>
      </c>
      <c r="D22" s="711">
        <v>0</v>
      </c>
      <c r="E22" s="708" t="e">
        <v>#N/A</v>
      </c>
      <c r="F22" s="712">
        <v>0</v>
      </c>
      <c r="G22" s="712">
        <v>-183.36</v>
      </c>
      <c r="H22" s="712"/>
      <c r="I22" s="708">
        <v>50</v>
      </c>
      <c r="J22" s="708">
        <v>40</v>
      </c>
      <c r="K22" s="708">
        <v>0</v>
      </c>
      <c r="L22" s="712">
        <v>0</v>
      </c>
      <c r="M22" s="712"/>
      <c r="N22" s="708">
        <v>0</v>
      </c>
      <c r="O22" s="708">
        <v>0</v>
      </c>
      <c r="P22" s="708">
        <v>0</v>
      </c>
      <c r="Q22" s="712">
        <v>278</v>
      </c>
      <c r="R22" s="712"/>
      <c r="S22" s="708">
        <v>97</v>
      </c>
      <c r="T22" s="713">
        <v>-93</v>
      </c>
      <c r="U22" s="713">
        <v>5</v>
      </c>
    </row>
    <row r="23" spans="1:21" x14ac:dyDescent="0.25">
      <c r="A23" s="709">
        <v>12220</v>
      </c>
      <c r="B23" s="710" t="s">
        <v>809</v>
      </c>
      <c r="C23" s="711">
        <v>4.1776199999999999E-2</v>
      </c>
      <c r="D23" s="711">
        <v>4.1874000000000001E-2</v>
      </c>
      <c r="E23" s="708">
        <v>2915570</v>
      </c>
      <c r="F23" s="712">
        <v>-2600375</v>
      </c>
      <c r="G23" s="712">
        <v>-2553361</v>
      </c>
      <c r="H23" s="712"/>
      <c r="I23" s="708">
        <v>700086</v>
      </c>
      <c r="J23" s="708">
        <v>559676</v>
      </c>
      <c r="K23" s="708">
        <v>0</v>
      </c>
      <c r="L23" s="712">
        <v>259668</v>
      </c>
      <c r="M23" s="712"/>
      <c r="N23" s="708">
        <v>0</v>
      </c>
      <c r="O23" s="708">
        <v>0</v>
      </c>
      <c r="P23" s="708">
        <v>0</v>
      </c>
      <c r="Q23" s="712">
        <v>0</v>
      </c>
      <c r="R23" s="712"/>
      <c r="S23" s="708">
        <v>1356599</v>
      </c>
      <c r="T23" s="713">
        <v>86556</v>
      </c>
      <c r="U23" s="713">
        <v>1443155</v>
      </c>
    </row>
    <row r="24" spans="1:21" x14ac:dyDescent="0.25">
      <c r="A24" s="709">
        <v>12510</v>
      </c>
      <c r="B24" s="710" t="s">
        <v>810</v>
      </c>
      <c r="C24" s="711">
        <v>4.5719999999999997E-3</v>
      </c>
      <c r="D24" s="711">
        <v>4.6820000000000004E-3</v>
      </c>
      <c r="E24" s="708">
        <v>352155</v>
      </c>
      <c r="F24" s="712">
        <v>-290752</v>
      </c>
      <c r="G24" s="712">
        <v>-279441</v>
      </c>
      <c r="H24" s="712"/>
      <c r="I24" s="708">
        <v>76618</v>
      </c>
      <c r="J24" s="708">
        <v>61251</v>
      </c>
      <c r="K24" s="708">
        <v>0</v>
      </c>
      <c r="L24" s="712">
        <v>57848</v>
      </c>
      <c r="M24" s="712"/>
      <c r="N24" s="708">
        <v>0</v>
      </c>
      <c r="O24" s="708">
        <v>0</v>
      </c>
      <c r="P24" s="708">
        <v>0</v>
      </c>
      <c r="Q24" s="712">
        <v>0</v>
      </c>
      <c r="R24" s="712"/>
      <c r="S24" s="708">
        <v>148467</v>
      </c>
      <c r="T24" s="713">
        <v>19283</v>
      </c>
      <c r="U24" s="713">
        <v>167749</v>
      </c>
    </row>
    <row r="25" spans="1:21" x14ac:dyDescent="0.25">
      <c r="A25" s="709">
        <v>12600</v>
      </c>
      <c r="B25" s="710" t="s">
        <v>811</v>
      </c>
      <c r="C25" s="711">
        <v>1.2474999999999999E-3</v>
      </c>
      <c r="D25" s="711">
        <v>1.2949000000000001E-3</v>
      </c>
      <c r="E25" s="708">
        <v>95607</v>
      </c>
      <c r="F25" s="712">
        <v>-80413</v>
      </c>
      <c r="G25" s="712">
        <v>-76247.199999999997</v>
      </c>
      <c r="H25" s="712"/>
      <c r="I25" s="708">
        <v>20906</v>
      </c>
      <c r="J25" s="708">
        <v>16713</v>
      </c>
      <c r="K25" s="708">
        <v>0</v>
      </c>
      <c r="L25" s="712">
        <v>16234</v>
      </c>
      <c r="M25" s="712"/>
      <c r="N25" s="708">
        <v>0</v>
      </c>
      <c r="O25" s="708">
        <v>0</v>
      </c>
      <c r="P25" s="708">
        <v>0</v>
      </c>
      <c r="Q25" s="712">
        <v>0</v>
      </c>
      <c r="R25" s="712"/>
      <c r="S25" s="708">
        <v>40510</v>
      </c>
      <c r="T25" s="713">
        <v>5411</v>
      </c>
      <c r="U25" s="713">
        <v>45921.31</v>
      </c>
    </row>
    <row r="26" spans="1:21" x14ac:dyDescent="0.25">
      <c r="A26" s="709">
        <v>12700</v>
      </c>
      <c r="B26" s="710" t="s">
        <v>812</v>
      </c>
      <c r="C26" s="711">
        <v>9.745E-4</v>
      </c>
      <c r="D26" s="711">
        <v>9.923E-4</v>
      </c>
      <c r="E26" s="708">
        <v>73454</v>
      </c>
      <c r="F26" s="712">
        <v>-61622</v>
      </c>
      <c r="G26" s="712">
        <v>-59561.440000000002</v>
      </c>
      <c r="H26" s="712"/>
      <c r="I26" s="708">
        <v>16331</v>
      </c>
      <c r="J26" s="708">
        <v>13055</v>
      </c>
      <c r="K26" s="708">
        <v>0</v>
      </c>
      <c r="L26" s="712">
        <v>10862</v>
      </c>
      <c r="M26" s="712"/>
      <c r="N26" s="708">
        <v>0</v>
      </c>
      <c r="O26" s="708">
        <v>0</v>
      </c>
      <c r="P26" s="708">
        <v>0</v>
      </c>
      <c r="Q26" s="712">
        <v>0</v>
      </c>
      <c r="R26" s="712"/>
      <c r="S26" s="708">
        <v>31645</v>
      </c>
      <c r="T26" s="713">
        <v>3621</v>
      </c>
      <c r="U26" s="713">
        <v>35266</v>
      </c>
    </row>
    <row r="27" spans="1:21" x14ac:dyDescent="0.25">
      <c r="A27" s="709">
        <v>13500</v>
      </c>
      <c r="B27" s="710" t="s">
        <v>813</v>
      </c>
      <c r="C27" s="711">
        <v>3.8817999999999999E-3</v>
      </c>
      <c r="D27" s="711">
        <v>3.8471999999999998E-3</v>
      </c>
      <c r="E27" s="708">
        <v>265026</v>
      </c>
      <c r="F27" s="712">
        <v>-238911</v>
      </c>
      <c r="G27" s="712">
        <v>-237256</v>
      </c>
      <c r="H27" s="712"/>
      <c r="I27" s="708">
        <v>65051</v>
      </c>
      <c r="J27" s="708">
        <v>52004</v>
      </c>
      <c r="K27" s="708">
        <v>0</v>
      </c>
      <c r="L27" s="712">
        <v>17679</v>
      </c>
      <c r="M27" s="712"/>
      <c r="N27" s="708">
        <v>0</v>
      </c>
      <c r="O27" s="708">
        <v>0</v>
      </c>
      <c r="P27" s="708">
        <v>0</v>
      </c>
      <c r="Q27" s="712">
        <v>0</v>
      </c>
      <c r="R27" s="712"/>
      <c r="S27" s="708">
        <v>126054</v>
      </c>
      <c r="T27" s="713">
        <v>5893</v>
      </c>
      <c r="U27" s="713">
        <v>131947</v>
      </c>
    </row>
    <row r="28" spans="1:21" x14ac:dyDescent="0.25">
      <c r="A28" s="709">
        <v>13700</v>
      </c>
      <c r="B28" s="710" t="s">
        <v>814</v>
      </c>
      <c r="C28" s="711">
        <v>4.0979999999999999E-4</v>
      </c>
      <c r="D28" s="711">
        <v>4.505E-4</v>
      </c>
      <c r="E28" s="708">
        <v>31217</v>
      </c>
      <c r="F28" s="712">
        <v>-27976</v>
      </c>
      <c r="G28" s="712">
        <v>-25047</v>
      </c>
      <c r="H28" s="712"/>
      <c r="I28" s="708">
        <v>6867</v>
      </c>
      <c r="J28" s="708">
        <v>5490</v>
      </c>
      <c r="K28" s="708">
        <v>0</v>
      </c>
      <c r="L28" s="712">
        <v>6361</v>
      </c>
      <c r="M28" s="712"/>
      <c r="N28" s="708">
        <v>0</v>
      </c>
      <c r="O28" s="708">
        <v>0</v>
      </c>
      <c r="P28" s="708">
        <v>0</v>
      </c>
      <c r="Q28" s="712">
        <v>0</v>
      </c>
      <c r="R28" s="712"/>
      <c r="S28" s="708">
        <v>13307</v>
      </c>
      <c r="T28" s="713">
        <v>2120</v>
      </c>
      <c r="U28" s="713">
        <v>15428</v>
      </c>
    </row>
    <row r="29" spans="1:21" x14ac:dyDescent="0.25">
      <c r="A29" s="709">
        <v>14300</v>
      </c>
      <c r="B29" s="710" t="s">
        <v>1164</v>
      </c>
      <c r="C29" s="711">
        <v>1.4723E-3</v>
      </c>
      <c r="D29" s="711">
        <v>1.3385999999999999E-3</v>
      </c>
      <c r="E29" s="708">
        <v>104455</v>
      </c>
      <c r="F29" s="712">
        <v>-92324</v>
      </c>
      <c r="G29" s="712">
        <v>-89987</v>
      </c>
      <c r="H29" s="712"/>
      <c r="I29" s="708">
        <v>24673</v>
      </c>
      <c r="J29" s="708">
        <v>19724</v>
      </c>
      <c r="K29" s="708">
        <v>0</v>
      </c>
      <c r="L29" s="712">
        <v>0</v>
      </c>
      <c r="M29" s="712"/>
      <c r="N29" s="708">
        <v>0</v>
      </c>
      <c r="O29" s="708">
        <v>0</v>
      </c>
      <c r="P29" s="708">
        <v>0</v>
      </c>
      <c r="Q29" s="712">
        <v>5280</v>
      </c>
      <c r="R29" s="712"/>
      <c r="S29" s="708">
        <v>47810</v>
      </c>
      <c r="T29" s="713">
        <v>-1760</v>
      </c>
      <c r="U29" s="713">
        <v>46050</v>
      </c>
    </row>
    <row r="30" spans="1:21" x14ac:dyDescent="0.25">
      <c r="A30" s="709">
        <v>14300.2</v>
      </c>
      <c r="B30" s="710" t="s">
        <v>1165</v>
      </c>
      <c r="C30" s="711">
        <v>1.706E-4</v>
      </c>
      <c r="D30" s="711">
        <v>1.482E-4</v>
      </c>
      <c r="E30" s="708">
        <v>0</v>
      </c>
      <c r="F30" s="712">
        <v>0</v>
      </c>
      <c r="G30" s="712">
        <v>-10427</v>
      </c>
      <c r="H30" s="712"/>
      <c r="I30" s="708">
        <v>2859</v>
      </c>
      <c r="J30" s="708">
        <v>2286</v>
      </c>
      <c r="K30" s="708">
        <v>0</v>
      </c>
      <c r="L30" s="712">
        <v>389</v>
      </c>
      <c r="M30" s="712"/>
      <c r="N30" s="708">
        <v>0</v>
      </c>
      <c r="O30" s="708">
        <v>0</v>
      </c>
      <c r="P30" s="708">
        <v>0</v>
      </c>
      <c r="Q30" s="712">
        <v>0</v>
      </c>
      <c r="R30" s="712"/>
      <c r="S30" s="708">
        <v>5540</v>
      </c>
      <c r="T30" s="713">
        <v>130</v>
      </c>
      <c r="U30" s="713">
        <v>5670</v>
      </c>
    </row>
    <row r="31" spans="1:21" x14ac:dyDescent="0.25">
      <c r="A31" s="709">
        <v>18400</v>
      </c>
      <c r="B31" s="710" t="s">
        <v>1546</v>
      </c>
      <c r="C31" s="711">
        <v>4.8634000000000004E-3</v>
      </c>
      <c r="D31" s="711">
        <v>4.9541000000000003E-3</v>
      </c>
      <c r="E31" s="708">
        <v>342203</v>
      </c>
      <c r="F31" s="712">
        <v>-307650</v>
      </c>
      <c r="G31" s="712">
        <v>-297251</v>
      </c>
      <c r="H31" s="712"/>
      <c r="I31" s="708">
        <v>81501</v>
      </c>
      <c r="J31" s="708">
        <v>65155</v>
      </c>
      <c r="K31" s="708">
        <v>0</v>
      </c>
      <c r="L31" s="712">
        <v>36013</v>
      </c>
      <c r="M31" s="712"/>
      <c r="N31" s="708">
        <v>0</v>
      </c>
      <c r="O31" s="708">
        <v>0</v>
      </c>
      <c r="P31" s="708">
        <v>0</v>
      </c>
      <c r="Q31" s="712">
        <v>0</v>
      </c>
      <c r="R31" s="712"/>
      <c r="S31" s="708">
        <v>157929</v>
      </c>
      <c r="T31" s="713">
        <v>12004</v>
      </c>
      <c r="U31" s="713">
        <v>169933</v>
      </c>
    </row>
    <row r="32" spans="1:21" x14ac:dyDescent="0.25">
      <c r="A32" s="709">
        <v>18600</v>
      </c>
      <c r="B32" s="710" t="s">
        <v>818</v>
      </c>
      <c r="C32" s="711">
        <v>1.36E-5</v>
      </c>
      <c r="D32" s="711">
        <v>1.9000000000000001E-5</v>
      </c>
      <c r="E32" s="708">
        <v>961</v>
      </c>
      <c r="F32" s="712">
        <v>-1180</v>
      </c>
      <c r="G32" s="712">
        <v>-831</v>
      </c>
      <c r="H32" s="712"/>
      <c r="I32" s="708">
        <v>228</v>
      </c>
      <c r="J32" s="708">
        <v>182</v>
      </c>
      <c r="K32" s="708">
        <v>0</v>
      </c>
      <c r="L32" s="712">
        <v>344</v>
      </c>
      <c r="M32" s="712"/>
      <c r="N32" s="708">
        <v>0</v>
      </c>
      <c r="O32" s="708">
        <v>0</v>
      </c>
      <c r="P32" s="708">
        <v>0</v>
      </c>
      <c r="Q32" s="712">
        <v>0</v>
      </c>
      <c r="R32" s="712"/>
      <c r="S32" s="708">
        <v>442</v>
      </c>
      <c r="T32" s="713">
        <v>115</v>
      </c>
      <c r="U32" s="713">
        <v>556</v>
      </c>
    </row>
    <row r="33" spans="1:21" x14ac:dyDescent="0.25">
      <c r="A33" s="709">
        <v>18690</v>
      </c>
      <c r="B33" s="710" t="s">
        <v>821</v>
      </c>
      <c r="C33" s="711">
        <v>0</v>
      </c>
      <c r="D33" s="711">
        <v>4.0999999999999997E-6</v>
      </c>
      <c r="E33" s="708">
        <v>239</v>
      </c>
      <c r="F33" s="712">
        <v>-255</v>
      </c>
      <c r="G33" s="712">
        <v>0</v>
      </c>
      <c r="H33" s="712"/>
      <c r="I33" s="708">
        <v>0</v>
      </c>
      <c r="J33" s="708">
        <v>0</v>
      </c>
      <c r="K33" s="708">
        <v>0</v>
      </c>
      <c r="L33" s="712">
        <v>370.11</v>
      </c>
      <c r="M33" s="712"/>
      <c r="N33" s="708">
        <v>0</v>
      </c>
      <c r="O33" s="708">
        <v>0</v>
      </c>
      <c r="P33" s="708">
        <v>0</v>
      </c>
      <c r="Q33" s="712">
        <v>0</v>
      </c>
      <c r="R33" s="712"/>
      <c r="S33" s="708">
        <v>0</v>
      </c>
      <c r="T33" s="713">
        <v>123.37</v>
      </c>
      <c r="U33" s="713">
        <v>123.37</v>
      </c>
    </row>
    <row r="34" spans="1:21" x14ac:dyDescent="0.25">
      <c r="A34" s="709">
        <v>18740</v>
      </c>
      <c r="B34" s="710" t="s">
        <v>822</v>
      </c>
      <c r="C34" s="711">
        <v>6.8000000000000001E-6</v>
      </c>
      <c r="D34" s="711">
        <v>6.4999999999999996E-6</v>
      </c>
      <c r="E34" s="708">
        <v>494</v>
      </c>
      <c r="F34" s="712">
        <v>-404</v>
      </c>
      <c r="G34" s="712">
        <v>-416</v>
      </c>
      <c r="H34" s="712"/>
      <c r="I34" s="708">
        <v>114</v>
      </c>
      <c r="J34" s="708">
        <v>91</v>
      </c>
      <c r="K34" s="708">
        <v>0</v>
      </c>
      <c r="L34" s="712">
        <v>42</v>
      </c>
      <c r="M34" s="712"/>
      <c r="N34" s="708">
        <v>0</v>
      </c>
      <c r="O34" s="708">
        <v>0</v>
      </c>
      <c r="P34" s="708">
        <v>0</v>
      </c>
      <c r="Q34" s="712">
        <v>0</v>
      </c>
      <c r="R34" s="712"/>
      <c r="S34" s="708">
        <v>221</v>
      </c>
      <c r="T34" s="713">
        <v>14</v>
      </c>
      <c r="U34" s="713">
        <v>235</v>
      </c>
    </row>
    <row r="35" spans="1:21" x14ac:dyDescent="0.25">
      <c r="A35" s="709">
        <v>18780</v>
      </c>
      <c r="B35" s="710" t="s">
        <v>823</v>
      </c>
      <c r="C35" s="711">
        <v>1.17E-5</v>
      </c>
      <c r="D35" s="711">
        <v>1.36E-5</v>
      </c>
      <c r="E35" s="708">
        <v>944</v>
      </c>
      <c r="F35" s="712">
        <v>-845</v>
      </c>
      <c r="G35" s="712">
        <v>-715</v>
      </c>
      <c r="H35" s="712"/>
      <c r="I35" s="708">
        <v>196</v>
      </c>
      <c r="J35" s="708">
        <v>157</v>
      </c>
      <c r="K35" s="708">
        <v>0</v>
      </c>
      <c r="L35" s="712">
        <v>255</v>
      </c>
      <c r="M35" s="712"/>
      <c r="N35" s="708">
        <v>0</v>
      </c>
      <c r="O35" s="708">
        <v>0</v>
      </c>
      <c r="P35" s="708">
        <v>0</v>
      </c>
      <c r="Q35" s="712">
        <v>0</v>
      </c>
      <c r="R35" s="712"/>
      <c r="S35" s="708">
        <v>380</v>
      </c>
      <c r="T35" s="713">
        <v>85</v>
      </c>
      <c r="U35" s="713">
        <v>465</v>
      </c>
    </row>
    <row r="36" spans="1:21" x14ac:dyDescent="0.25">
      <c r="A36" s="709">
        <v>19005</v>
      </c>
      <c r="B36" s="710" t="s">
        <v>824</v>
      </c>
      <c r="C36" s="711">
        <v>6.5430000000000002E-4</v>
      </c>
      <c r="D36" s="711">
        <v>6.5709999999999998E-4</v>
      </c>
      <c r="E36" s="708">
        <v>51914</v>
      </c>
      <c r="F36" s="712">
        <v>-40806</v>
      </c>
      <c r="G36" s="712">
        <v>-39991</v>
      </c>
      <c r="H36" s="712"/>
      <c r="I36" s="708">
        <v>10965</v>
      </c>
      <c r="J36" s="708">
        <v>8766</v>
      </c>
      <c r="K36" s="708">
        <v>0</v>
      </c>
      <c r="L36" s="712">
        <v>8814</v>
      </c>
      <c r="M36" s="712"/>
      <c r="N36" s="708">
        <v>0</v>
      </c>
      <c r="O36" s="708">
        <v>0</v>
      </c>
      <c r="P36" s="708">
        <v>0</v>
      </c>
      <c r="Q36" s="712">
        <v>0</v>
      </c>
      <c r="R36" s="712"/>
      <c r="S36" s="708">
        <v>21247</v>
      </c>
      <c r="T36" s="713">
        <v>2938</v>
      </c>
      <c r="U36" s="713">
        <v>24185</v>
      </c>
    </row>
    <row r="37" spans="1:21" x14ac:dyDescent="0.25">
      <c r="A37" s="709">
        <v>19100</v>
      </c>
      <c r="B37" s="710" t="s">
        <v>825</v>
      </c>
      <c r="C37" s="711">
        <v>6.1802999999999997E-2</v>
      </c>
      <c r="D37" s="711">
        <v>6.1746299999999997E-2</v>
      </c>
      <c r="E37" s="708">
        <v>3960239</v>
      </c>
      <c r="F37" s="712">
        <v>-3834445</v>
      </c>
      <c r="G37" s="712">
        <v>-3777399.36</v>
      </c>
      <c r="H37" s="712"/>
      <c r="I37" s="708">
        <v>1035695</v>
      </c>
      <c r="J37" s="708">
        <v>827975</v>
      </c>
      <c r="K37" s="708">
        <v>0</v>
      </c>
      <c r="L37" s="712">
        <v>110015</v>
      </c>
      <c r="M37" s="712"/>
      <c r="N37" s="708">
        <v>0</v>
      </c>
      <c r="O37" s="708">
        <v>0</v>
      </c>
      <c r="P37" s="708">
        <v>0</v>
      </c>
      <c r="Q37" s="712">
        <v>0</v>
      </c>
      <c r="R37" s="712"/>
      <c r="S37" s="708">
        <v>2006929</v>
      </c>
      <c r="T37" s="713">
        <v>36672</v>
      </c>
      <c r="U37" s="713">
        <v>2043601</v>
      </c>
    </row>
    <row r="38" spans="1:21" x14ac:dyDescent="0.25">
      <c r="A38" s="709">
        <v>20100</v>
      </c>
      <c r="B38" s="710" t="s">
        <v>826</v>
      </c>
      <c r="C38" s="711">
        <v>1.0502900000000001E-2</v>
      </c>
      <c r="D38" s="711">
        <v>1.0171100000000001E-2</v>
      </c>
      <c r="E38" s="708">
        <v>655779</v>
      </c>
      <c r="F38" s="712">
        <v>-631625</v>
      </c>
      <c r="G38" s="712">
        <v>-641937</v>
      </c>
      <c r="H38" s="712"/>
      <c r="I38" s="708">
        <v>176008</v>
      </c>
      <c r="J38" s="708">
        <v>140707</v>
      </c>
      <c r="K38" s="708">
        <v>0</v>
      </c>
      <c r="L38" s="712">
        <v>0</v>
      </c>
      <c r="M38" s="712"/>
      <c r="N38" s="708">
        <v>0</v>
      </c>
      <c r="O38" s="708">
        <v>0</v>
      </c>
      <c r="P38" s="708">
        <v>0</v>
      </c>
      <c r="Q38" s="712">
        <v>9232</v>
      </c>
      <c r="R38" s="712"/>
      <c r="S38" s="708">
        <v>341061</v>
      </c>
      <c r="T38" s="713">
        <v>-3077</v>
      </c>
      <c r="U38" s="713">
        <v>337983</v>
      </c>
    </row>
    <row r="39" spans="1:21" x14ac:dyDescent="0.25">
      <c r="A39" s="709">
        <v>20200</v>
      </c>
      <c r="B39" s="710" t="s">
        <v>827</v>
      </c>
      <c r="C39" s="711">
        <v>1.4901000000000001E-3</v>
      </c>
      <c r="D39" s="711">
        <v>1.3272E-3</v>
      </c>
      <c r="E39" s="708">
        <v>102191</v>
      </c>
      <c r="F39" s="712">
        <v>-82419</v>
      </c>
      <c r="G39" s="712">
        <v>-91075</v>
      </c>
      <c r="H39" s="712"/>
      <c r="I39" s="708">
        <v>24971</v>
      </c>
      <c r="J39" s="708">
        <v>19963</v>
      </c>
      <c r="K39" s="708">
        <v>0</v>
      </c>
      <c r="L39" s="712">
        <v>160</v>
      </c>
      <c r="M39" s="712"/>
      <c r="N39" s="708">
        <v>0</v>
      </c>
      <c r="O39" s="708">
        <v>0</v>
      </c>
      <c r="P39" s="708">
        <v>0</v>
      </c>
      <c r="Q39" s="712">
        <v>0</v>
      </c>
      <c r="R39" s="712"/>
      <c r="S39" s="708">
        <v>48388</v>
      </c>
      <c r="T39" s="713">
        <v>53</v>
      </c>
      <c r="U39" s="713">
        <v>48441</v>
      </c>
    </row>
    <row r="40" spans="1:21" x14ac:dyDescent="0.25">
      <c r="A40" s="709">
        <v>20300</v>
      </c>
      <c r="B40" s="710" t="s">
        <v>828</v>
      </c>
      <c r="C40" s="711">
        <v>2.4591399999999999E-2</v>
      </c>
      <c r="D40" s="711">
        <v>2.4237000000000002E-2</v>
      </c>
      <c r="E40" s="708">
        <v>1515611</v>
      </c>
      <c r="F40" s="712">
        <v>-1505118</v>
      </c>
      <c r="G40" s="712">
        <v>-1503026</v>
      </c>
      <c r="H40" s="712"/>
      <c r="I40" s="708">
        <v>412103</v>
      </c>
      <c r="J40" s="708">
        <v>329451</v>
      </c>
      <c r="K40" s="708">
        <v>0</v>
      </c>
      <c r="L40" s="712">
        <v>0</v>
      </c>
      <c r="M40" s="712"/>
      <c r="N40" s="708">
        <v>0</v>
      </c>
      <c r="O40" s="708">
        <v>0</v>
      </c>
      <c r="P40" s="708">
        <v>0</v>
      </c>
      <c r="Q40" s="712">
        <v>16806</v>
      </c>
      <c r="R40" s="712"/>
      <c r="S40" s="708">
        <v>798557</v>
      </c>
      <c r="T40" s="713">
        <v>-5602</v>
      </c>
      <c r="U40" s="713">
        <v>792954</v>
      </c>
    </row>
    <row r="41" spans="1:21" x14ac:dyDescent="0.25">
      <c r="A41" s="709">
        <v>20400</v>
      </c>
      <c r="B41" s="710" t="s">
        <v>829</v>
      </c>
      <c r="C41" s="711">
        <v>1.1670000000000001E-3</v>
      </c>
      <c r="D41" s="711">
        <v>1.1854999999999999E-3</v>
      </c>
      <c r="E41" s="708">
        <v>80103</v>
      </c>
      <c r="F41" s="712">
        <v>-73620</v>
      </c>
      <c r="G41" s="712">
        <v>-71327</v>
      </c>
      <c r="H41" s="712"/>
      <c r="I41" s="708">
        <v>19557</v>
      </c>
      <c r="J41" s="708">
        <v>15634</v>
      </c>
      <c r="K41" s="708">
        <v>0</v>
      </c>
      <c r="L41" s="712">
        <v>6982</v>
      </c>
      <c r="M41" s="712"/>
      <c r="N41" s="708">
        <v>0</v>
      </c>
      <c r="O41" s="708">
        <v>0</v>
      </c>
      <c r="P41" s="708">
        <v>0</v>
      </c>
      <c r="Q41" s="712">
        <v>0</v>
      </c>
      <c r="R41" s="712"/>
      <c r="S41" s="708">
        <v>37896</v>
      </c>
      <c r="T41" s="713">
        <v>2327</v>
      </c>
      <c r="U41" s="713">
        <v>40223</v>
      </c>
    </row>
    <row r="42" spans="1:21" x14ac:dyDescent="0.25">
      <c r="A42" s="709">
        <v>20600</v>
      </c>
      <c r="B42" s="710" t="s">
        <v>830</v>
      </c>
      <c r="C42" s="711">
        <v>2.8403E-3</v>
      </c>
      <c r="D42" s="711">
        <v>2.6253000000000001E-3</v>
      </c>
      <c r="E42" s="708">
        <v>187892</v>
      </c>
      <c r="F42" s="712">
        <v>-163031</v>
      </c>
      <c r="G42" s="712">
        <v>-173599</v>
      </c>
      <c r="H42" s="712"/>
      <c r="I42" s="708">
        <v>47598</v>
      </c>
      <c r="J42" s="708">
        <v>38051</v>
      </c>
      <c r="K42" s="708">
        <v>0</v>
      </c>
      <c r="L42" s="712">
        <v>0</v>
      </c>
      <c r="M42" s="712"/>
      <c r="N42" s="708">
        <v>0</v>
      </c>
      <c r="O42" s="708">
        <v>0</v>
      </c>
      <c r="P42" s="708">
        <v>0</v>
      </c>
      <c r="Q42" s="712">
        <v>418</v>
      </c>
      <c r="R42" s="712"/>
      <c r="S42" s="708">
        <v>92233</v>
      </c>
      <c r="T42" s="713">
        <v>-139</v>
      </c>
      <c r="U42" s="713">
        <v>92094</v>
      </c>
    </row>
    <row r="43" spans="1:21" x14ac:dyDescent="0.25">
      <c r="A43" s="709">
        <v>20700</v>
      </c>
      <c r="B43" s="710" t="s">
        <v>831</v>
      </c>
      <c r="C43" s="711">
        <v>5.8345000000000003E-3</v>
      </c>
      <c r="D43" s="711">
        <v>5.8230000000000001E-3</v>
      </c>
      <c r="E43" s="708">
        <v>404315</v>
      </c>
      <c r="F43" s="712">
        <v>-361608</v>
      </c>
      <c r="G43" s="712">
        <v>-356604.64</v>
      </c>
      <c r="H43" s="712"/>
      <c r="I43" s="708">
        <v>97775</v>
      </c>
      <c r="J43" s="708">
        <v>78165</v>
      </c>
      <c r="K43" s="708">
        <v>0</v>
      </c>
      <c r="L43" s="712">
        <v>32936</v>
      </c>
      <c r="M43" s="712"/>
      <c r="N43" s="708">
        <v>0</v>
      </c>
      <c r="O43" s="708">
        <v>0</v>
      </c>
      <c r="P43" s="708">
        <v>0</v>
      </c>
      <c r="Q43" s="712">
        <v>0</v>
      </c>
      <c r="R43" s="712"/>
      <c r="S43" s="708">
        <v>189464</v>
      </c>
      <c r="T43" s="713">
        <v>10979</v>
      </c>
      <c r="U43" s="713">
        <v>200443</v>
      </c>
    </row>
    <row r="44" spans="1:21" x14ac:dyDescent="0.25">
      <c r="A44" s="709">
        <v>20800</v>
      </c>
      <c r="B44" s="710" t="s">
        <v>832</v>
      </c>
      <c r="C44" s="711">
        <v>4.7067000000000003E-3</v>
      </c>
      <c r="D44" s="711">
        <v>4.6451000000000001E-3</v>
      </c>
      <c r="E44" s="708">
        <v>307983</v>
      </c>
      <c r="F44" s="712">
        <v>-288461</v>
      </c>
      <c r="G44" s="712">
        <v>-287674</v>
      </c>
      <c r="H44" s="712"/>
      <c r="I44" s="708">
        <v>78875</v>
      </c>
      <c r="J44" s="708">
        <v>63056</v>
      </c>
      <c r="K44" s="708">
        <v>0</v>
      </c>
      <c r="L44" s="712">
        <v>10499</v>
      </c>
      <c r="M44" s="712"/>
      <c r="N44" s="708">
        <v>0</v>
      </c>
      <c r="O44" s="708">
        <v>0</v>
      </c>
      <c r="P44" s="708">
        <v>0</v>
      </c>
      <c r="Q44" s="712">
        <v>0</v>
      </c>
      <c r="R44" s="712"/>
      <c r="S44" s="708">
        <v>152841</v>
      </c>
      <c r="T44" s="713">
        <v>3500</v>
      </c>
      <c r="U44" s="713">
        <v>156340</v>
      </c>
    </row>
    <row r="45" spans="1:21" x14ac:dyDescent="0.25">
      <c r="A45" s="709">
        <v>20900</v>
      </c>
      <c r="B45" s="710" t="s">
        <v>833</v>
      </c>
      <c r="C45" s="711">
        <v>9.5709999999999996E-3</v>
      </c>
      <c r="D45" s="711">
        <v>9.0533999999999996E-3</v>
      </c>
      <c r="E45" s="708">
        <v>625375</v>
      </c>
      <c r="F45" s="712">
        <v>-562216</v>
      </c>
      <c r="G45" s="712">
        <v>-584979.52</v>
      </c>
      <c r="H45" s="712"/>
      <c r="I45" s="708">
        <v>160391</v>
      </c>
      <c r="J45" s="708">
        <v>128223</v>
      </c>
      <c r="K45" s="708">
        <v>0</v>
      </c>
      <c r="L45" s="712">
        <v>2399</v>
      </c>
      <c r="M45" s="712"/>
      <c r="N45" s="708">
        <v>0</v>
      </c>
      <c r="O45" s="708">
        <v>0</v>
      </c>
      <c r="P45" s="708">
        <v>0</v>
      </c>
      <c r="Q45" s="712">
        <v>0</v>
      </c>
      <c r="R45" s="712"/>
      <c r="S45" s="708">
        <v>310799</v>
      </c>
      <c r="T45" s="713">
        <v>800</v>
      </c>
      <c r="U45" s="713">
        <v>311599</v>
      </c>
    </row>
    <row r="46" spans="1:21" x14ac:dyDescent="0.25">
      <c r="A46" s="709">
        <v>21200</v>
      </c>
      <c r="B46" s="710" t="s">
        <v>834</v>
      </c>
      <c r="C46" s="711">
        <v>3.0814000000000002E-3</v>
      </c>
      <c r="D46" s="711">
        <v>3.0804999999999999E-3</v>
      </c>
      <c r="E46" s="708">
        <v>189731</v>
      </c>
      <c r="F46" s="712">
        <v>-191299</v>
      </c>
      <c r="G46" s="712">
        <v>-188335</v>
      </c>
      <c r="H46" s="712"/>
      <c r="I46" s="708">
        <v>51638</v>
      </c>
      <c r="J46" s="708">
        <v>41282</v>
      </c>
      <c r="K46" s="708">
        <v>0</v>
      </c>
      <c r="L46" s="712">
        <v>0</v>
      </c>
      <c r="M46" s="712"/>
      <c r="N46" s="708">
        <v>0</v>
      </c>
      <c r="O46" s="708">
        <v>0</v>
      </c>
      <c r="P46" s="708">
        <v>0</v>
      </c>
      <c r="Q46" s="712">
        <v>216</v>
      </c>
      <c r="R46" s="712"/>
      <c r="S46" s="708">
        <v>100062</v>
      </c>
      <c r="T46" s="713">
        <v>-72</v>
      </c>
      <c r="U46" s="713">
        <v>99990</v>
      </c>
    </row>
    <row r="47" spans="1:21" x14ac:dyDescent="0.25">
      <c r="A47" s="709">
        <v>21300</v>
      </c>
      <c r="B47" s="710" t="s">
        <v>835</v>
      </c>
      <c r="C47" s="711">
        <v>3.8517500000000003E-2</v>
      </c>
      <c r="D47" s="711">
        <v>3.7188199999999998E-2</v>
      </c>
      <c r="E47" s="708">
        <v>2370987</v>
      </c>
      <c r="F47" s="712">
        <v>-2309387</v>
      </c>
      <c r="G47" s="712">
        <v>-2354189.6</v>
      </c>
      <c r="H47" s="712"/>
      <c r="I47" s="708">
        <v>645476</v>
      </c>
      <c r="J47" s="708">
        <v>516019</v>
      </c>
      <c r="K47" s="708">
        <v>0</v>
      </c>
      <c r="L47" s="712">
        <v>0</v>
      </c>
      <c r="M47" s="712"/>
      <c r="N47" s="708">
        <v>0</v>
      </c>
      <c r="O47" s="708">
        <v>0</v>
      </c>
      <c r="P47" s="708">
        <v>0</v>
      </c>
      <c r="Q47" s="712">
        <v>64567</v>
      </c>
      <c r="R47" s="712"/>
      <c r="S47" s="708">
        <v>1250779</v>
      </c>
      <c r="T47" s="713">
        <v>-21522</v>
      </c>
      <c r="U47" s="713">
        <v>1229256.54</v>
      </c>
    </row>
    <row r="48" spans="1:21" x14ac:dyDescent="0.25">
      <c r="A48" s="709">
        <v>21520</v>
      </c>
      <c r="B48" s="710" t="s">
        <v>1547</v>
      </c>
      <c r="C48" s="711">
        <v>6.8096799999999999E-2</v>
      </c>
      <c r="D48" s="711">
        <v>6.6604300000000005E-2</v>
      </c>
      <c r="E48" s="708">
        <v>4202750</v>
      </c>
      <c r="F48" s="712">
        <v>-4136127</v>
      </c>
      <c r="G48" s="712">
        <v>-4162076</v>
      </c>
      <c r="H48" s="712"/>
      <c r="I48" s="708">
        <v>1141166</v>
      </c>
      <c r="J48" s="708">
        <v>912293</v>
      </c>
      <c r="K48" s="708">
        <v>0</v>
      </c>
      <c r="L48" s="712">
        <v>0</v>
      </c>
      <c r="M48" s="712"/>
      <c r="N48" s="708">
        <v>0</v>
      </c>
      <c r="O48" s="708">
        <v>0</v>
      </c>
      <c r="P48" s="708">
        <v>0</v>
      </c>
      <c r="Q48" s="712">
        <v>65974</v>
      </c>
      <c r="R48" s="712"/>
      <c r="S48" s="708">
        <v>2211307</v>
      </c>
      <c r="T48" s="713">
        <v>-21991</v>
      </c>
      <c r="U48" s="713">
        <v>2189316</v>
      </c>
    </row>
    <row r="49" spans="1:21" x14ac:dyDescent="0.25">
      <c r="A49" s="709">
        <v>21525</v>
      </c>
      <c r="B49" s="710" t="s">
        <v>1166</v>
      </c>
      <c r="C49" s="711">
        <v>1.7635999999999999E-3</v>
      </c>
      <c r="D49" s="711">
        <v>1.6638E-3</v>
      </c>
      <c r="E49" s="708">
        <v>121246</v>
      </c>
      <c r="F49" s="712">
        <v>-109793</v>
      </c>
      <c r="G49" s="712">
        <v>-107791</v>
      </c>
      <c r="H49" s="712"/>
      <c r="I49" s="708">
        <v>29554</v>
      </c>
      <c r="J49" s="708">
        <v>23627</v>
      </c>
      <c r="K49" s="708">
        <v>0</v>
      </c>
      <c r="L49" s="712">
        <v>0</v>
      </c>
      <c r="M49" s="712"/>
      <c r="N49" s="708">
        <v>0</v>
      </c>
      <c r="O49" s="708">
        <v>0</v>
      </c>
      <c r="P49" s="708">
        <v>0</v>
      </c>
      <c r="Q49" s="712">
        <v>4230</v>
      </c>
      <c r="R49" s="712"/>
      <c r="S49" s="708">
        <v>57269</v>
      </c>
      <c r="T49" s="713">
        <v>-1410</v>
      </c>
      <c r="U49" s="713">
        <v>55859</v>
      </c>
    </row>
    <row r="50" spans="1:21" x14ac:dyDescent="0.25">
      <c r="A50" s="709">
        <v>21525.200000000001</v>
      </c>
      <c r="B50" s="710" t="s">
        <v>1167</v>
      </c>
      <c r="C50" s="711">
        <v>1.172E-4</v>
      </c>
      <c r="D50" s="711">
        <v>1.042E-4</v>
      </c>
      <c r="E50" s="708">
        <v>0</v>
      </c>
      <c r="F50" s="712">
        <v>0</v>
      </c>
      <c r="G50" s="712">
        <v>-7163</v>
      </c>
      <c r="H50" s="712"/>
      <c r="I50" s="708">
        <v>1964</v>
      </c>
      <c r="J50" s="708">
        <v>1570</v>
      </c>
      <c r="K50" s="708">
        <v>0</v>
      </c>
      <c r="L50" s="712">
        <v>2950</v>
      </c>
      <c r="M50" s="712"/>
      <c r="N50" s="708">
        <v>0</v>
      </c>
      <c r="O50" s="708">
        <v>0</v>
      </c>
      <c r="P50" s="708">
        <v>0</v>
      </c>
      <c r="Q50" s="712">
        <v>0</v>
      </c>
      <c r="R50" s="712"/>
      <c r="S50" s="708">
        <v>3806</v>
      </c>
      <c r="T50" s="713">
        <v>983</v>
      </c>
      <c r="U50" s="713">
        <v>4789</v>
      </c>
    </row>
    <row r="51" spans="1:21" x14ac:dyDescent="0.25">
      <c r="A51" s="709">
        <v>21550</v>
      </c>
      <c r="B51" s="710" t="s">
        <v>838</v>
      </c>
      <c r="C51" s="711">
        <v>4.00842E-2</v>
      </c>
      <c r="D51" s="711">
        <v>3.6935099999999998E-2</v>
      </c>
      <c r="E51" s="708">
        <v>2317813</v>
      </c>
      <c r="F51" s="712">
        <v>-2293676</v>
      </c>
      <c r="G51" s="712">
        <v>-2449946</v>
      </c>
      <c r="H51" s="712"/>
      <c r="I51" s="708">
        <v>671731</v>
      </c>
      <c r="J51" s="708">
        <v>537008</v>
      </c>
      <c r="K51" s="708">
        <v>0</v>
      </c>
      <c r="L51" s="712">
        <v>0</v>
      </c>
      <c r="M51" s="712"/>
      <c r="N51" s="708">
        <v>0</v>
      </c>
      <c r="O51" s="708">
        <v>0</v>
      </c>
      <c r="P51" s="708">
        <v>0</v>
      </c>
      <c r="Q51" s="712">
        <v>261643</v>
      </c>
      <c r="R51" s="712"/>
      <c r="S51" s="708">
        <v>1301654</v>
      </c>
      <c r="T51" s="713">
        <v>-87214</v>
      </c>
      <c r="U51" s="713">
        <v>1214440</v>
      </c>
    </row>
    <row r="52" spans="1:21" x14ac:dyDescent="0.25">
      <c r="A52" s="709">
        <v>21570</v>
      </c>
      <c r="B52" s="710" t="s">
        <v>839</v>
      </c>
      <c r="C52" s="711">
        <v>1.7090000000000001E-4</v>
      </c>
      <c r="D52" s="711">
        <v>1.629E-4</v>
      </c>
      <c r="E52" s="708">
        <v>11826</v>
      </c>
      <c r="F52" s="712">
        <v>-10116</v>
      </c>
      <c r="G52" s="712">
        <v>-10445</v>
      </c>
      <c r="H52" s="712"/>
      <c r="I52" s="708">
        <v>2864</v>
      </c>
      <c r="J52" s="708">
        <v>2290</v>
      </c>
      <c r="K52" s="708">
        <v>0</v>
      </c>
      <c r="L52" s="712">
        <v>595</v>
      </c>
      <c r="M52" s="712"/>
      <c r="N52" s="708">
        <v>0</v>
      </c>
      <c r="O52" s="708">
        <v>0</v>
      </c>
      <c r="P52" s="708">
        <v>0</v>
      </c>
      <c r="Q52" s="712">
        <v>0</v>
      </c>
      <c r="R52" s="712"/>
      <c r="S52" s="708">
        <v>5550</v>
      </c>
      <c r="T52" s="713">
        <v>198</v>
      </c>
      <c r="U52" s="713">
        <v>5748</v>
      </c>
    </row>
    <row r="53" spans="1:21" x14ac:dyDescent="0.25">
      <c r="A53" s="709">
        <v>21800</v>
      </c>
      <c r="B53" s="710" t="s">
        <v>840</v>
      </c>
      <c r="C53" s="711">
        <v>5.7400000000000003E-3</v>
      </c>
      <c r="D53" s="711">
        <v>5.5704999999999999E-3</v>
      </c>
      <c r="E53" s="708">
        <v>346556</v>
      </c>
      <c r="F53" s="712">
        <v>-345928</v>
      </c>
      <c r="G53" s="712">
        <v>-350829</v>
      </c>
      <c r="H53" s="712"/>
      <c r="I53" s="708">
        <v>96190.92</v>
      </c>
      <c r="J53" s="708">
        <v>76898.78</v>
      </c>
      <c r="K53" s="708">
        <v>0</v>
      </c>
      <c r="L53" s="712">
        <v>0</v>
      </c>
      <c r="M53" s="712"/>
      <c r="N53" s="708">
        <v>0</v>
      </c>
      <c r="O53" s="708">
        <v>0</v>
      </c>
      <c r="P53" s="708">
        <v>0</v>
      </c>
      <c r="Q53" s="712">
        <v>13372</v>
      </c>
      <c r="R53" s="712"/>
      <c r="S53" s="708">
        <v>186395</v>
      </c>
      <c r="T53" s="713">
        <v>-4457</v>
      </c>
      <c r="U53" s="713">
        <v>181938</v>
      </c>
    </row>
    <row r="54" spans="1:21" x14ac:dyDescent="0.25">
      <c r="A54" s="709">
        <v>21900</v>
      </c>
      <c r="B54" s="710" t="s">
        <v>841</v>
      </c>
      <c r="C54" s="711">
        <v>3.2564999999999998E-3</v>
      </c>
      <c r="D54" s="711">
        <v>3.2564999999999998E-3</v>
      </c>
      <c r="E54" s="708">
        <v>213433</v>
      </c>
      <c r="F54" s="712">
        <v>-202229</v>
      </c>
      <c r="G54" s="712">
        <v>-199037.28</v>
      </c>
      <c r="H54" s="712"/>
      <c r="I54" s="708">
        <v>54572</v>
      </c>
      <c r="J54" s="708">
        <v>43627</v>
      </c>
      <c r="K54" s="708">
        <v>0</v>
      </c>
      <c r="L54" s="712">
        <v>9507</v>
      </c>
      <c r="M54" s="712"/>
      <c r="N54" s="708">
        <v>0</v>
      </c>
      <c r="O54" s="708">
        <v>0</v>
      </c>
      <c r="P54" s="708">
        <v>0</v>
      </c>
      <c r="Q54" s="712">
        <v>0</v>
      </c>
      <c r="R54" s="712"/>
      <c r="S54" s="708">
        <v>105748</v>
      </c>
      <c r="T54" s="713">
        <v>3169</v>
      </c>
      <c r="U54" s="713">
        <v>108917</v>
      </c>
    </row>
    <row r="55" spans="1:21" x14ac:dyDescent="0.25">
      <c r="A55" s="709">
        <v>22000</v>
      </c>
      <c r="B55" s="710" t="s">
        <v>842</v>
      </c>
      <c r="C55" s="711">
        <v>3.2236000000000001E-3</v>
      </c>
      <c r="D55" s="711">
        <v>3.3175000000000001E-3</v>
      </c>
      <c r="E55" s="708">
        <v>245282</v>
      </c>
      <c r="F55" s="712">
        <v>-206017</v>
      </c>
      <c r="G55" s="712">
        <v>-197026</v>
      </c>
      <c r="H55" s="712"/>
      <c r="I55" s="708">
        <v>54021</v>
      </c>
      <c r="J55" s="708">
        <v>43187</v>
      </c>
      <c r="K55" s="708">
        <v>0</v>
      </c>
      <c r="L55" s="712">
        <v>39288</v>
      </c>
      <c r="M55" s="712"/>
      <c r="N55" s="708">
        <v>0</v>
      </c>
      <c r="O55" s="708">
        <v>0</v>
      </c>
      <c r="P55" s="708">
        <v>0</v>
      </c>
      <c r="Q55" s="712">
        <v>0</v>
      </c>
      <c r="R55" s="712"/>
      <c r="S55" s="708">
        <v>104680</v>
      </c>
      <c r="T55" s="713">
        <v>13096</v>
      </c>
      <c r="U55" s="713">
        <v>117776</v>
      </c>
    </row>
    <row r="56" spans="1:21" x14ac:dyDescent="0.25">
      <c r="A56" s="709">
        <v>23000</v>
      </c>
      <c r="B56" s="710" t="s">
        <v>843</v>
      </c>
      <c r="C56" s="711">
        <v>2.6194999999999999E-3</v>
      </c>
      <c r="D56" s="711">
        <v>2.4472999999999999E-3</v>
      </c>
      <c r="E56" s="708">
        <v>159069</v>
      </c>
      <c r="F56" s="712">
        <v>-151977</v>
      </c>
      <c r="G56" s="712">
        <v>-160103.84</v>
      </c>
      <c r="H56" s="712"/>
      <c r="I56" s="708">
        <v>43898</v>
      </c>
      <c r="J56" s="708">
        <v>35093</v>
      </c>
      <c r="K56" s="708">
        <v>0</v>
      </c>
      <c r="L56" s="712">
        <v>0</v>
      </c>
      <c r="M56" s="712"/>
      <c r="N56" s="708">
        <v>0</v>
      </c>
      <c r="O56" s="708">
        <v>0</v>
      </c>
      <c r="P56" s="708">
        <v>0</v>
      </c>
      <c r="Q56" s="712">
        <v>9834</v>
      </c>
      <c r="R56" s="712"/>
      <c r="S56" s="708">
        <v>85063</v>
      </c>
      <c r="T56" s="713">
        <v>-3278</v>
      </c>
      <c r="U56" s="713">
        <v>81785</v>
      </c>
    </row>
    <row r="57" spans="1:21" x14ac:dyDescent="0.25">
      <c r="A57" s="709">
        <v>23100</v>
      </c>
      <c r="B57" s="710" t="s">
        <v>844</v>
      </c>
      <c r="C57" s="711">
        <v>1.5039200000000001E-2</v>
      </c>
      <c r="D57" s="711">
        <v>1.3588599999999999E-2</v>
      </c>
      <c r="E57" s="708">
        <v>928114</v>
      </c>
      <c r="F57" s="712">
        <v>-843852</v>
      </c>
      <c r="G57" s="712">
        <v>-919196</v>
      </c>
      <c r="H57" s="712"/>
      <c r="I57" s="708">
        <v>252027</v>
      </c>
      <c r="J57" s="708">
        <v>201480</v>
      </c>
      <c r="K57" s="708">
        <v>0</v>
      </c>
      <c r="L57" s="712">
        <v>0</v>
      </c>
      <c r="M57" s="712"/>
      <c r="N57" s="708">
        <v>0</v>
      </c>
      <c r="O57" s="708">
        <v>0</v>
      </c>
      <c r="P57" s="708">
        <v>0</v>
      </c>
      <c r="Q57" s="712">
        <v>66829</v>
      </c>
      <c r="R57" s="712"/>
      <c r="S57" s="708">
        <v>488368</v>
      </c>
      <c r="T57" s="713">
        <v>-22276</v>
      </c>
      <c r="U57" s="713">
        <v>466092</v>
      </c>
    </row>
    <row r="58" spans="1:21" x14ac:dyDescent="0.25">
      <c r="A58" s="709">
        <v>23200</v>
      </c>
      <c r="B58" s="710" t="s">
        <v>845</v>
      </c>
      <c r="C58" s="711">
        <v>7.6874999999999999E-3</v>
      </c>
      <c r="D58" s="711">
        <v>7.2922000000000004E-3</v>
      </c>
      <c r="E58" s="708">
        <v>474107</v>
      </c>
      <c r="F58" s="712">
        <v>-452846</v>
      </c>
      <c r="G58" s="712">
        <v>-469860</v>
      </c>
      <c r="H58" s="712"/>
      <c r="I58" s="708">
        <v>128827</v>
      </c>
      <c r="J58" s="708">
        <v>102989</v>
      </c>
      <c r="K58" s="708">
        <v>0</v>
      </c>
      <c r="L58" s="712">
        <v>0</v>
      </c>
      <c r="M58" s="712"/>
      <c r="N58" s="708">
        <v>0</v>
      </c>
      <c r="O58" s="708">
        <v>0</v>
      </c>
      <c r="P58" s="708">
        <v>0</v>
      </c>
      <c r="Q58" s="712">
        <v>18270</v>
      </c>
      <c r="R58" s="712"/>
      <c r="S58" s="708">
        <v>249636</v>
      </c>
      <c r="T58" s="713">
        <v>-6090</v>
      </c>
      <c r="U58" s="713">
        <v>243546</v>
      </c>
    </row>
    <row r="59" spans="1:21" x14ac:dyDescent="0.25">
      <c r="A59" s="709">
        <v>30000</v>
      </c>
      <c r="B59" s="710" t="s">
        <v>846</v>
      </c>
      <c r="C59" s="711">
        <v>8.7909999999999996E-4</v>
      </c>
      <c r="D59" s="711">
        <v>8.9260000000000001E-4</v>
      </c>
      <c r="E59" s="708">
        <v>52748</v>
      </c>
      <c r="F59" s="712">
        <v>-55430</v>
      </c>
      <c r="G59" s="712">
        <v>-53731</v>
      </c>
      <c r="H59" s="712"/>
      <c r="I59" s="708">
        <v>14732</v>
      </c>
      <c r="J59" s="708">
        <v>11777</v>
      </c>
      <c r="K59" s="708">
        <v>0</v>
      </c>
      <c r="L59" s="712">
        <v>0</v>
      </c>
      <c r="M59" s="712"/>
      <c r="N59" s="708">
        <v>0</v>
      </c>
      <c r="O59" s="708">
        <v>0</v>
      </c>
      <c r="P59" s="708">
        <v>0</v>
      </c>
      <c r="Q59" s="712">
        <v>456</v>
      </c>
      <c r="R59" s="712"/>
      <c r="S59" s="708">
        <v>28547</v>
      </c>
      <c r="T59" s="713">
        <v>-152</v>
      </c>
      <c r="U59" s="713">
        <v>28395</v>
      </c>
    </row>
    <row r="60" spans="1:21" x14ac:dyDescent="0.25">
      <c r="A60" s="709">
        <v>30100</v>
      </c>
      <c r="B60" s="710" t="s">
        <v>847</v>
      </c>
      <c r="C60" s="711">
        <v>7.5632E-3</v>
      </c>
      <c r="D60" s="711">
        <v>7.9336000000000007E-3</v>
      </c>
      <c r="E60" s="708">
        <v>435695</v>
      </c>
      <c r="F60" s="712">
        <v>-492677</v>
      </c>
      <c r="G60" s="712">
        <v>-462263</v>
      </c>
      <c r="H60" s="712"/>
      <c r="I60" s="708">
        <v>126744</v>
      </c>
      <c r="J60" s="708">
        <v>101324</v>
      </c>
      <c r="K60" s="708">
        <v>0</v>
      </c>
      <c r="L60" s="712">
        <v>0</v>
      </c>
      <c r="M60" s="712"/>
      <c r="N60" s="708">
        <v>0</v>
      </c>
      <c r="O60" s="708">
        <v>0</v>
      </c>
      <c r="P60" s="708">
        <v>0</v>
      </c>
      <c r="Q60" s="712">
        <v>5669</v>
      </c>
      <c r="R60" s="712"/>
      <c r="S60" s="708">
        <v>245600</v>
      </c>
      <c r="T60" s="713">
        <v>-1890</v>
      </c>
      <c r="U60" s="713">
        <v>243710</v>
      </c>
    </row>
    <row r="61" spans="1:21" x14ac:dyDescent="0.25">
      <c r="A61" s="709">
        <v>30102</v>
      </c>
      <c r="B61" s="710" t="s">
        <v>848</v>
      </c>
      <c r="C61" s="711">
        <v>1.44E-4</v>
      </c>
      <c r="D61" s="711">
        <v>1.4349999999999999E-4</v>
      </c>
      <c r="E61" s="708">
        <v>7757</v>
      </c>
      <c r="F61" s="712">
        <v>-8911</v>
      </c>
      <c r="G61" s="712">
        <v>-8801</v>
      </c>
      <c r="H61" s="712"/>
      <c r="I61" s="708">
        <v>2413</v>
      </c>
      <c r="J61" s="708">
        <v>1929</v>
      </c>
      <c r="K61" s="708">
        <v>0</v>
      </c>
      <c r="L61" s="712">
        <v>0</v>
      </c>
      <c r="M61" s="712"/>
      <c r="N61" s="708">
        <v>0</v>
      </c>
      <c r="O61" s="708">
        <v>0</v>
      </c>
      <c r="P61" s="708">
        <v>0</v>
      </c>
      <c r="Q61" s="712">
        <v>863</v>
      </c>
      <c r="R61" s="712"/>
      <c r="S61" s="708">
        <v>4676</v>
      </c>
      <c r="T61" s="713">
        <v>-288</v>
      </c>
      <c r="U61" s="713">
        <v>4388</v>
      </c>
    </row>
    <row r="62" spans="1:21" x14ac:dyDescent="0.25">
      <c r="A62" s="709">
        <v>30103</v>
      </c>
      <c r="B62" s="710" t="s">
        <v>849</v>
      </c>
      <c r="C62" s="711">
        <v>1.8780000000000001E-4</v>
      </c>
      <c r="D62" s="711">
        <v>1.7149999999999999E-4</v>
      </c>
      <c r="E62" s="708">
        <v>10297</v>
      </c>
      <c r="F62" s="712">
        <v>-10650</v>
      </c>
      <c r="G62" s="712">
        <v>-11478</v>
      </c>
      <c r="H62" s="712"/>
      <c r="I62" s="708">
        <v>3147</v>
      </c>
      <c r="J62" s="708">
        <v>2516</v>
      </c>
      <c r="K62" s="708">
        <v>0</v>
      </c>
      <c r="L62" s="712">
        <v>0</v>
      </c>
      <c r="M62" s="712"/>
      <c r="N62" s="708">
        <v>0</v>
      </c>
      <c r="O62" s="708">
        <v>0</v>
      </c>
      <c r="P62" s="708">
        <v>0</v>
      </c>
      <c r="Q62" s="712">
        <v>1720</v>
      </c>
      <c r="R62" s="712"/>
      <c r="S62" s="708">
        <v>6098</v>
      </c>
      <c r="T62" s="713">
        <v>-573</v>
      </c>
      <c r="U62" s="713">
        <v>5525</v>
      </c>
    </row>
    <row r="63" spans="1:21" x14ac:dyDescent="0.25">
      <c r="A63" s="709">
        <v>30104</v>
      </c>
      <c r="B63" s="710" t="s">
        <v>850</v>
      </c>
      <c r="C63" s="711">
        <v>1.206E-4</v>
      </c>
      <c r="D63" s="711">
        <v>1.013E-4</v>
      </c>
      <c r="E63" s="708">
        <v>5281</v>
      </c>
      <c r="F63" s="712">
        <v>-6291</v>
      </c>
      <c r="G63" s="712">
        <v>-7371</v>
      </c>
      <c r="H63" s="712"/>
      <c r="I63" s="708">
        <v>2021</v>
      </c>
      <c r="J63" s="708">
        <v>1616</v>
      </c>
      <c r="K63" s="708">
        <v>0</v>
      </c>
      <c r="L63" s="712">
        <v>0</v>
      </c>
      <c r="M63" s="712"/>
      <c r="N63" s="708">
        <v>0</v>
      </c>
      <c r="O63" s="708">
        <v>0</v>
      </c>
      <c r="P63" s="708">
        <v>0</v>
      </c>
      <c r="Q63" s="712">
        <v>2515</v>
      </c>
      <c r="R63" s="712"/>
      <c r="S63" s="708">
        <v>3916</v>
      </c>
      <c r="T63" s="713">
        <v>-838</v>
      </c>
      <c r="U63" s="713">
        <v>3078</v>
      </c>
    </row>
    <row r="64" spans="1:21" x14ac:dyDescent="0.25">
      <c r="A64" s="709">
        <v>30105</v>
      </c>
      <c r="B64" s="710" t="s">
        <v>851</v>
      </c>
      <c r="C64" s="711">
        <v>8.0239999999999999E-4</v>
      </c>
      <c r="D64" s="711">
        <v>7.4439999999999999E-4</v>
      </c>
      <c r="E64" s="708">
        <v>52256</v>
      </c>
      <c r="F64" s="712">
        <v>-46227</v>
      </c>
      <c r="G64" s="712">
        <v>-49043</v>
      </c>
      <c r="H64" s="712"/>
      <c r="I64" s="708">
        <v>13447</v>
      </c>
      <c r="J64" s="708">
        <v>10750</v>
      </c>
      <c r="K64" s="708">
        <v>0</v>
      </c>
      <c r="L64" s="712">
        <v>0</v>
      </c>
      <c r="M64" s="712"/>
      <c r="N64" s="708">
        <v>0</v>
      </c>
      <c r="O64" s="708">
        <v>0</v>
      </c>
      <c r="P64" s="708">
        <v>0</v>
      </c>
      <c r="Q64" s="712">
        <v>609</v>
      </c>
      <c r="R64" s="712"/>
      <c r="S64" s="708">
        <v>26056</v>
      </c>
      <c r="T64" s="713">
        <v>-203</v>
      </c>
      <c r="U64" s="713">
        <v>25853</v>
      </c>
    </row>
    <row r="65" spans="1:21" x14ac:dyDescent="0.25">
      <c r="A65" s="709">
        <v>30200</v>
      </c>
      <c r="B65" s="710" t="s">
        <v>852</v>
      </c>
      <c r="C65" s="711">
        <v>1.7181E-3</v>
      </c>
      <c r="D65" s="711">
        <v>1.7336000000000001E-3</v>
      </c>
      <c r="E65" s="708">
        <v>104308</v>
      </c>
      <c r="F65" s="712">
        <v>-107657</v>
      </c>
      <c r="G65" s="712">
        <v>-105010</v>
      </c>
      <c r="H65" s="712"/>
      <c r="I65" s="708">
        <v>28792</v>
      </c>
      <c r="J65" s="708">
        <v>23017</v>
      </c>
      <c r="K65" s="708">
        <v>0</v>
      </c>
      <c r="L65" s="712">
        <v>0</v>
      </c>
      <c r="M65" s="712"/>
      <c r="N65" s="708">
        <v>0</v>
      </c>
      <c r="O65" s="708">
        <v>0</v>
      </c>
      <c r="P65" s="708">
        <v>0</v>
      </c>
      <c r="Q65" s="712">
        <v>485</v>
      </c>
      <c r="R65" s="712"/>
      <c r="S65" s="708">
        <v>55792</v>
      </c>
      <c r="T65" s="713">
        <v>-162</v>
      </c>
      <c r="U65" s="713">
        <v>55630</v>
      </c>
    </row>
    <row r="66" spans="1:21" x14ac:dyDescent="0.25">
      <c r="A66" s="709">
        <v>30300</v>
      </c>
      <c r="B66" s="710" t="s">
        <v>853</v>
      </c>
      <c r="C66" s="711">
        <v>5.5369999999999996E-4</v>
      </c>
      <c r="D66" s="711">
        <v>6.0309999999999997E-4</v>
      </c>
      <c r="E66" s="708">
        <v>34603</v>
      </c>
      <c r="F66" s="712">
        <v>-37453</v>
      </c>
      <c r="G66" s="712">
        <v>-33842</v>
      </c>
      <c r="H66" s="712"/>
      <c r="I66" s="708">
        <v>9279</v>
      </c>
      <c r="J66" s="708">
        <v>7418</v>
      </c>
      <c r="K66" s="708">
        <v>0</v>
      </c>
      <c r="L66" s="712">
        <v>2652</v>
      </c>
      <c r="M66" s="712"/>
      <c r="N66" s="708">
        <v>0</v>
      </c>
      <c r="O66" s="708">
        <v>0</v>
      </c>
      <c r="P66" s="708">
        <v>0</v>
      </c>
      <c r="Q66" s="712">
        <v>0</v>
      </c>
      <c r="R66" s="712"/>
      <c r="S66" s="708">
        <v>17980</v>
      </c>
      <c r="T66" s="713">
        <v>884</v>
      </c>
      <c r="U66" s="713">
        <v>18864</v>
      </c>
    </row>
    <row r="67" spans="1:21" x14ac:dyDescent="0.25">
      <c r="A67" s="709">
        <v>30400</v>
      </c>
      <c r="B67" s="710" t="s">
        <v>854</v>
      </c>
      <c r="C67" s="711">
        <v>1.0666E-3</v>
      </c>
      <c r="D67" s="711">
        <v>1.1155E-3</v>
      </c>
      <c r="E67" s="708">
        <v>70411</v>
      </c>
      <c r="F67" s="712">
        <v>-69273</v>
      </c>
      <c r="G67" s="712">
        <v>-65191</v>
      </c>
      <c r="H67" s="712"/>
      <c r="I67" s="708">
        <v>17874</v>
      </c>
      <c r="J67" s="708">
        <v>14289</v>
      </c>
      <c r="K67" s="708">
        <v>0</v>
      </c>
      <c r="L67" s="712">
        <v>5770</v>
      </c>
      <c r="M67" s="712"/>
      <c r="N67" s="708">
        <v>0</v>
      </c>
      <c r="O67" s="708">
        <v>0</v>
      </c>
      <c r="P67" s="708">
        <v>0</v>
      </c>
      <c r="Q67" s="712">
        <v>0</v>
      </c>
      <c r="R67" s="712"/>
      <c r="S67" s="708">
        <v>34636</v>
      </c>
      <c r="T67" s="713">
        <v>1923</v>
      </c>
      <c r="U67" s="713">
        <v>36559</v>
      </c>
    </row>
    <row r="68" spans="1:21" x14ac:dyDescent="0.25">
      <c r="A68" s="709">
        <v>30405</v>
      </c>
      <c r="B68" s="710" t="s">
        <v>855</v>
      </c>
      <c r="C68" s="711">
        <v>7.4379999999999997E-4</v>
      </c>
      <c r="D68" s="711">
        <v>7.3749999999999998E-4</v>
      </c>
      <c r="E68" s="708">
        <v>44158</v>
      </c>
      <c r="F68" s="712">
        <v>-45799</v>
      </c>
      <c r="G68" s="712">
        <v>-45461</v>
      </c>
      <c r="H68" s="712"/>
      <c r="I68" s="708">
        <v>12465</v>
      </c>
      <c r="J68" s="708">
        <v>9965</v>
      </c>
      <c r="K68" s="708">
        <v>0</v>
      </c>
      <c r="L68" s="712">
        <v>0</v>
      </c>
      <c r="M68" s="712"/>
      <c r="N68" s="708">
        <v>0</v>
      </c>
      <c r="O68" s="708">
        <v>0</v>
      </c>
      <c r="P68" s="708">
        <v>0</v>
      </c>
      <c r="Q68" s="712">
        <v>1565</v>
      </c>
      <c r="R68" s="712"/>
      <c r="S68" s="708">
        <v>24153</v>
      </c>
      <c r="T68" s="713">
        <v>-522</v>
      </c>
      <c r="U68" s="713">
        <v>23632</v>
      </c>
    </row>
    <row r="69" spans="1:21" x14ac:dyDescent="0.25">
      <c r="A69" s="709">
        <v>30500</v>
      </c>
      <c r="B69" s="710" t="s">
        <v>856</v>
      </c>
      <c r="C69" s="711">
        <v>1.1188000000000001E-3</v>
      </c>
      <c r="D69" s="711">
        <v>1.1643000000000001E-3</v>
      </c>
      <c r="E69" s="708">
        <v>69278</v>
      </c>
      <c r="F69" s="712">
        <v>-72303</v>
      </c>
      <c r="G69" s="712">
        <v>-68381</v>
      </c>
      <c r="H69" s="712"/>
      <c r="I69" s="708">
        <v>18749</v>
      </c>
      <c r="J69" s="708">
        <v>14989</v>
      </c>
      <c r="K69" s="708">
        <v>0</v>
      </c>
      <c r="L69" s="712">
        <v>2349</v>
      </c>
      <c r="M69" s="712"/>
      <c r="N69" s="708">
        <v>0</v>
      </c>
      <c r="O69" s="708">
        <v>0</v>
      </c>
      <c r="P69" s="708">
        <v>0</v>
      </c>
      <c r="Q69" s="712">
        <v>0</v>
      </c>
      <c r="R69" s="712"/>
      <c r="S69" s="708">
        <v>36331</v>
      </c>
      <c r="T69" s="713">
        <v>783</v>
      </c>
      <c r="U69" s="713">
        <v>37114</v>
      </c>
    </row>
    <row r="70" spans="1:21" x14ac:dyDescent="0.25">
      <c r="A70" s="709">
        <v>30600</v>
      </c>
      <c r="B70" s="710" t="s">
        <v>857</v>
      </c>
      <c r="C70" s="711">
        <v>8.6399999999999997E-4</v>
      </c>
      <c r="D70" s="711">
        <v>9.0720000000000004E-4</v>
      </c>
      <c r="E70" s="708">
        <v>54250</v>
      </c>
      <c r="F70" s="712">
        <v>-56337</v>
      </c>
      <c r="G70" s="712">
        <v>-52807.68</v>
      </c>
      <c r="H70" s="712"/>
      <c r="I70" s="708">
        <v>14479</v>
      </c>
      <c r="J70" s="708">
        <v>11575</v>
      </c>
      <c r="K70" s="708">
        <v>0</v>
      </c>
      <c r="L70" s="712">
        <v>2752</v>
      </c>
      <c r="M70" s="712"/>
      <c r="N70" s="708">
        <v>0</v>
      </c>
      <c r="O70" s="708">
        <v>0</v>
      </c>
      <c r="P70" s="708">
        <v>0</v>
      </c>
      <c r="Q70" s="712">
        <v>0</v>
      </c>
      <c r="R70" s="712"/>
      <c r="S70" s="708">
        <v>28057</v>
      </c>
      <c r="T70" s="713">
        <v>917</v>
      </c>
      <c r="U70" s="713">
        <v>28974</v>
      </c>
    </row>
    <row r="71" spans="1:21" x14ac:dyDescent="0.25">
      <c r="A71" s="709">
        <v>30601</v>
      </c>
      <c r="B71" s="710" t="s">
        <v>858</v>
      </c>
      <c r="C71" s="711">
        <v>2.02E-5</v>
      </c>
      <c r="D71" s="711">
        <v>2.12E-5</v>
      </c>
      <c r="E71" s="708">
        <v>1159</v>
      </c>
      <c r="F71" s="712">
        <v>-1317</v>
      </c>
      <c r="G71" s="712">
        <v>-1235</v>
      </c>
      <c r="H71" s="712"/>
      <c r="I71" s="708">
        <v>339</v>
      </c>
      <c r="J71" s="708">
        <v>271</v>
      </c>
      <c r="K71" s="708">
        <v>0</v>
      </c>
      <c r="L71" s="712">
        <v>0</v>
      </c>
      <c r="M71" s="712"/>
      <c r="N71" s="708">
        <v>0</v>
      </c>
      <c r="O71" s="708">
        <v>0</v>
      </c>
      <c r="P71" s="708">
        <v>0</v>
      </c>
      <c r="Q71" s="712">
        <v>18</v>
      </c>
      <c r="R71" s="712"/>
      <c r="S71" s="708">
        <v>656</v>
      </c>
      <c r="T71" s="713">
        <v>-6</v>
      </c>
      <c r="U71" s="713">
        <v>650</v>
      </c>
    </row>
    <row r="72" spans="1:21" x14ac:dyDescent="0.25">
      <c r="A72" s="709">
        <v>30700</v>
      </c>
      <c r="B72" s="710" t="s">
        <v>859</v>
      </c>
      <c r="C72" s="711">
        <v>2.2522000000000002E-3</v>
      </c>
      <c r="D72" s="711">
        <v>2.3170999999999999E-3</v>
      </c>
      <c r="E72" s="708">
        <v>140571</v>
      </c>
      <c r="F72" s="712">
        <v>-143892</v>
      </c>
      <c r="G72" s="712">
        <v>-137654</v>
      </c>
      <c r="H72" s="712"/>
      <c r="I72" s="708">
        <v>37742</v>
      </c>
      <c r="J72" s="708">
        <v>30173</v>
      </c>
      <c r="K72" s="708">
        <v>0</v>
      </c>
      <c r="L72" s="712">
        <v>4318</v>
      </c>
      <c r="M72" s="712"/>
      <c r="N72" s="708">
        <v>0</v>
      </c>
      <c r="O72" s="708">
        <v>0</v>
      </c>
      <c r="P72" s="708">
        <v>0</v>
      </c>
      <c r="Q72" s="712">
        <v>0</v>
      </c>
      <c r="R72" s="712"/>
      <c r="S72" s="708">
        <v>73136</v>
      </c>
      <c r="T72" s="713">
        <v>1439</v>
      </c>
      <c r="U72" s="713">
        <v>74575</v>
      </c>
    </row>
    <row r="73" spans="1:21" x14ac:dyDescent="0.25">
      <c r="A73" s="709">
        <v>30705</v>
      </c>
      <c r="B73" s="710" t="s">
        <v>860</v>
      </c>
      <c r="C73" s="711">
        <v>4.283E-4</v>
      </c>
      <c r="D73" s="711">
        <v>4.7140000000000002E-4</v>
      </c>
      <c r="E73" s="708">
        <v>27587</v>
      </c>
      <c r="F73" s="712">
        <v>-29274</v>
      </c>
      <c r="G73" s="712">
        <v>-26178</v>
      </c>
      <c r="H73" s="712"/>
      <c r="I73" s="708">
        <v>7177</v>
      </c>
      <c r="J73" s="708">
        <v>5738</v>
      </c>
      <c r="K73" s="708">
        <v>0</v>
      </c>
      <c r="L73" s="712">
        <v>2894</v>
      </c>
      <c r="M73" s="712"/>
      <c r="N73" s="708">
        <v>0</v>
      </c>
      <c r="O73" s="708">
        <v>0</v>
      </c>
      <c r="P73" s="708">
        <v>0</v>
      </c>
      <c r="Q73" s="712">
        <v>0</v>
      </c>
      <c r="R73" s="712"/>
      <c r="S73" s="708">
        <v>13908</v>
      </c>
      <c r="T73" s="713">
        <v>965</v>
      </c>
      <c r="U73" s="713">
        <v>14873</v>
      </c>
    </row>
    <row r="74" spans="1:21" x14ac:dyDescent="0.25">
      <c r="A74" s="709">
        <v>30800</v>
      </c>
      <c r="B74" s="710" t="s">
        <v>861</v>
      </c>
      <c r="C74" s="711">
        <v>8.4210000000000003E-4</v>
      </c>
      <c r="D74" s="711">
        <v>9.1989999999999997E-4</v>
      </c>
      <c r="E74" s="708">
        <v>54359</v>
      </c>
      <c r="F74" s="712">
        <v>-57126</v>
      </c>
      <c r="G74" s="712">
        <v>-51469</v>
      </c>
      <c r="H74" s="712"/>
      <c r="I74" s="708">
        <v>14112</v>
      </c>
      <c r="J74" s="708">
        <v>11282</v>
      </c>
      <c r="K74" s="708">
        <v>0</v>
      </c>
      <c r="L74" s="712">
        <v>5457</v>
      </c>
      <c r="M74" s="712"/>
      <c r="N74" s="708">
        <v>0</v>
      </c>
      <c r="O74" s="708">
        <v>0</v>
      </c>
      <c r="P74" s="708">
        <v>0</v>
      </c>
      <c r="Q74" s="712">
        <v>0</v>
      </c>
      <c r="R74" s="712"/>
      <c r="S74" s="708">
        <v>27346</v>
      </c>
      <c r="T74" s="713">
        <v>1819</v>
      </c>
      <c r="U74" s="713">
        <v>29165</v>
      </c>
    </row>
    <row r="75" spans="1:21" x14ac:dyDescent="0.25">
      <c r="A75" s="709">
        <v>30900</v>
      </c>
      <c r="B75" s="710" t="s">
        <v>862</v>
      </c>
      <c r="C75" s="711">
        <v>1.4660000000000001E-3</v>
      </c>
      <c r="D75" s="711">
        <v>1.5181000000000001E-3</v>
      </c>
      <c r="E75" s="708">
        <v>95894</v>
      </c>
      <c r="F75" s="712">
        <v>-94274</v>
      </c>
      <c r="G75" s="712">
        <v>-89601.919999999998</v>
      </c>
      <c r="H75" s="712"/>
      <c r="I75" s="708">
        <v>24567</v>
      </c>
      <c r="J75" s="708">
        <v>19640</v>
      </c>
      <c r="K75" s="708">
        <v>0</v>
      </c>
      <c r="L75" s="712">
        <v>6565</v>
      </c>
      <c r="M75" s="712"/>
      <c r="N75" s="708">
        <v>0</v>
      </c>
      <c r="O75" s="708">
        <v>0</v>
      </c>
      <c r="P75" s="708">
        <v>0</v>
      </c>
      <c r="Q75" s="712">
        <v>0</v>
      </c>
      <c r="R75" s="712"/>
      <c r="S75" s="708">
        <v>47605</v>
      </c>
      <c r="T75" s="713">
        <v>2188</v>
      </c>
      <c r="U75" s="713">
        <v>49794</v>
      </c>
    </row>
    <row r="76" spans="1:21" x14ac:dyDescent="0.25">
      <c r="A76" s="709">
        <v>30905</v>
      </c>
      <c r="B76" s="710" t="s">
        <v>863</v>
      </c>
      <c r="C76" s="711">
        <v>2.8459999999999998E-4</v>
      </c>
      <c r="D76" s="711">
        <v>3.0170000000000002E-4</v>
      </c>
      <c r="E76" s="708">
        <v>22516</v>
      </c>
      <c r="F76" s="712">
        <v>-18736</v>
      </c>
      <c r="G76" s="712">
        <v>-17395</v>
      </c>
      <c r="H76" s="712"/>
      <c r="I76" s="708">
        <v>4769</v>
      </c>
      <c r="J76" s="708">
        <v>3813</v>
      </c>
      <c r="K76" s="708">
        <v>0</v>
      </c>
      <c r="L76" s="712">
        <v>4525</v>
      </c>
      <c r="M76" s="712"/>
      <c r="N76" s="708">
        <v>0</v>
      </c>
      <c r="O76" s="708">
        <v>0</v>
      </c>
      <c r="P76" s="708">
        <v>0</v>
      </c>
      <c r="Q76" s="712">
        <v>0</v>
      </c>
      <c r="R76" s="712"/>
      <c r="S76" s="708">
        <v>9242</v>
      </c>
      <c r="T76" s="713">
        <v>1508</v>
      </c>
      <c r="U76" s="713">
        <v>10750</v>
      </c>
    </row>
    <row r="77" spans="1:21" x14ac:dyDescent="0.25">
      <c r="A77" s="709">
        <v>31000</v>
      </c>
      <c r="B77" s="710" t="s">
        <v>864</v>
      </c>
      <c r="C77" s="711">
        <v>4.2398000000000002E-3</v>
      </c>
      <c r="D77" s="711">
        <v>4.2865999999999998E-3</v>
      </c>
      <c r="E77" s="708">
        <v>262026</v>
      </c>
      <c r="F77" s="712">
        <v>-266198</v>
      </c>
      <c r="G77" s="712">
        <v>-259137</v>
      </c>
      <c r="H77" s="712"/>
      <c r="I77" s="708">
        <v>71051</v>
      </c>
      <c r="J77" s="708">
        <v>56801</v>
      </c>
      <c r="K77" s="708">
        <v>0</v>
      </c>
      <c r="L77" s="712">
        <v>2668</v>
      </c>
      <c r="M77" s="712"/>
      <c r="N77" s="708">
        <v>0</v>
      </c>
      <c r="O77" s="708">
        <v>0</v>
      </c>
      <c r="P77" s="708">
        <v>0</v>
      </c>
      <c r="Q77" s="712">
        <v>0</v>
      </c>
      <c r="R77" s="712"/>
      <c r="S77" s="708">
        <v>137679</v>
      </c>
      <c r="T77" s="713">
        <v>889</v>
      </c>
      <c r="U77" s="713">
        <v>138568</v>
      </c>
    </row>
    <row r="78" spans="1:21" x14ac:dyDescent="0.25">
      <c r="A78" s="709">
        <v>31005</v>
      </c>
      <c r="B78" s="710" t="s">
        <v>865</v>
      </c>
      <c r="C78" s="711">
        <v>4.0259999999999997E-4</v>
      </c>
      <c r="D78" s="711">
        <v>4.239E-4</v>
      </c>
      <c r="E78" s="708">
        <v>28728</v>
      </c>
      <c r="F78" s="712">
        <v>-26324</v>
      </c>
      <c r="G78" s="712">
        <v>-24607</v>
      </c>
      <c r="H78" s="712"/>
      <c r="I78" s="708">
        <v>6747</v>
      </c>
      <c r="J78" s="708">
        <v>5394</v>
      </c>
      <c r="K78" s="708">
        <v>0</v>
      </c>
      <c r="L78" s="712">
        <v>3923</v>
      </c>
      <c r="M78" s="712"/>
      <c r="N78" s="708">
        <v>0</v>
      </c>
      <c r="O78" s="708">
        <v>0</v>
      </c>
      <c r="P78" s="708">
        <v>0</v>
      </c>
      <c r="Q78" s="712">
        <v>0</v>
      </c>
      <c r="R78" s="712"/>
      <c r="S78" s="708">
        <v>13074</v>
      </c>
      <c r="T78" s="713">
        <v>1308</v>
      </c>
      <c r="U78" s="713">
        <v>14381</v>
      </c>
    </row>
    <row r="79" spans="1:21" x14ac:dyDescent="0.25">
      <c r="A79" s="709">
        <v>31100</v>
      </c>
      <c r="B79" s="710" t="s">
        <v>866</v>
      </c>
      <c r="C79" s="711">
        <v>8.7551999999999994E-3</v>
      </c>
      <c r="D79" s="711">
        <v>8.8377999999999998E-3</v>
      </c>
      <c r="E79" s="708">
        <v>525028</v>
      </c>
      <c r="F79" s="712">
        <v>-548827</v>
      </c>
      <c r="G79" s="712">
        <v>-535118</v>
      </c>
      <c r="H79" s="712"/>
      <c r="I79" s="708">
        <v>146720</v>
      </c>
      <c r="J79" s="708">
        <v>117293</v>
      </c>
      <c r="K79" s="708">
        <v>0</v>
      </c>
      <c r="L79" s="712">
        <v>0</v>
      </c>
      <c r="M79" s="712"/>
      <c r="N79" s="708">
        <v>0</v>
      </c>
      <c r="O79" s="708">
        <v>0</v>
      </c>
      <c r="P79" s="708">
        <v>0</v>
      </c>
      <c r="Q79" s="712">
        <v>7188</v>
      </c>
      <c r="R79" s="712"/>
      <c r="S79" s="708">
        <v>284308</v>
      </c>
      <c r="T79" s="713">
        <v>-2396</v>
      </c>
      <c r="U79" s="713">
        <v>281912</v>
      </c>
    </row>
    <row r="80" spans="1:21" x14ac:dyDescent="0.25">
      <c r="A80" s="709">
        <v>31101</v>
      </c>
      <c r="B80" s="710" t="s">
        <v>867</v>
      </c>
      <c r="C80" s="711">
        <v>5.9700000000000001E-5</v>
      </c>
      <c r="D80" s="711">
        <v>6.0099999999999997E-5</v>
      </c>
      <c r="E80" s="708">
        <v>3222</v>
      </c>
      <c r="F80" s="712">
        <v>-3732</v>
      </c>
      <c r="G80" s="712">
        <v>-3649</v>
      </c>
      <c r="H80" s="712"/>
      <c r="I80" s="708">
        <v>1000</v>
      </c>
      <c r="J80" s="708">
        <v>800</v>
      </c>
      <c r="K80" s="708">
        <v>0</v>
      </c>
      <c r="L80" s="712">
        <v>0</v>
      </c>
      <c r="M80" s="712"/>
      <c r="N80" s="708">
        <v>0</v>
      </c>
      <c r="O80" s="708">
        <v>0</v>
      </c>
      <c r="P80" s="708">
        <v>0</v>
      </c>
      <c r="Q80" s="712">
        <v>326</v>
      </c>
      <c r="R80" s="712"/>
      <c r="S80" s="708">
        <v>1939</v>
      </c>
      <c r="T80" s="713">
        <v>-109</v>
      </c>
      <c r="U80" s="713">
        <v>1830</v>
      </c>
    </row>
    <row r="81" spans="1:21" x14ac:dyDescent="0.25">
      <c r="A81" s="709">
        <v>31102</v>
      </c>
      <c r="B81" s="710" t="s">
        <v>868</v>
      </c>
      <c r="C81" s="711">
        <v>1.46E-4</v>
      </c>
      <c r="D81" s="711">
        <v>1.393E-4</v>
      </c>
      <c r="E81" s="708">
        <v>7586</v>
      </c>
      <c r="F81" s="712">
        <v>-8651</v>
      </c>
      <c r="G81" s="712">
        <v>-8923.52</v>
      </c>
      <c r="H81" s="712"/>
      <c r="I81" s="708">
        <v>2447</v>
      </c>
      <c r="J81" s="708">
        <v>1956</v>
      </c>
      <c r="K81" s="708">
        <v>0</v>
      </c>
      <c r="L81" s="712">
        <v>0</v>
      </c>
      <c r="M81" s="712"/>
      <c r="N81" s="708">
        <v>0</v>
      </c>
      <c r="O81" s="708">
        <v>0</v>
      </c>
      <c r="P81" s="708">
        <v>0</v>
      </c>
      <c r="Q81" s="712">
        <v>1373</v>
      </c>
      <c r="R81" s="712"/>
      <c r="S81" s="708">
        <v>4741</v>
      </c>
      <c r="T81" s="713">
        <v>-458</v>
      </c>
      <c r="U81" s="713">
        <v>4283</v>
      </c>
    </row>
    <row r="82" spans="1:21" x14ac:dyDescent="0.25">
      <c r="A82" s="709">
        <v>31105</v>
      </c>
      <c r="B82" s="710" t="s">
        <v>869</v>
      </c>
      <c r="C82" s="711">
        <v>1.3917999999999999E-3</v>
      </c>
      <c r="D82" s="711">
        <v>1.3611000000000001E-3</v>
      </c>
      <c r="E82" s="708">
        <v>89794</v>
      </c>
      <c r="F82" s="712">
        <v>-84524</v>
      </c>
      <c r="G82" s="712">
        <v>-85067</v>
      </c>
      <c r="H82" s="712"/>
      <c r="I82" s="708">
        <v>23324</v>
      </c>
      <c r="J82" s="708">
        <v>18646</v>
      </c>
      <c r="K82" s="708">
        <v>0</v>
      </c>
      <c r="L82" s="712">
        <v>1564</v>
      </c>
      <c r="M82" s="712"/>
      <c r="N82" s="708">
        <v>0</v>
      </c>
      <c r="O82" s="708">
        <v>0</v>
      </c>
      <c r="P82" s="708">
        <v>0</v>
      </c>
      <c r="Q82" s="712">
        <v>0</v>
      </c>
      <c r="R82" s="712"/>
      <c r="S82" s="708">
        <v>45196</v>
      </c>
      <c r="T82" s="713">
        <v>521</v>
      </c>
      <c r="U82" s="713">
        <v>45717</v>
      </c>
    </row>
    <row r="83" spans="1:21" x14ac:dyDescent="0.25">
      <c r="A83" s="709">
        <v>31110</v>
      </c>
      <c r="B83" s="710" t="s">
        <v>870</v>
      </c>
      <c r="C83" s="711">
        <v>1.9932999999999999E-3</v>
      </c>
      <c r="D83" s="711">
        <v>2.0669E-3</v>
      </c>
      <c r="E83" s="708">
        <v>115075</v>
      </c>
      <c r="F83" s="712">
        <v>-128354</v>
      </c>
      <c r="G83" s="712">
        <v>-121830</v>
      </c>
      <c r="H83" s="712"/>
      <c r="I83" s="708">
        <v>33404</v>
      </c>
      <c r="J83" s="708">
        <v>26704</v>
      </c>
      <c r="K83" s="708">
        <v>0</v>
      </c>
      <c r="L83" s="712">
        <v>0</v>
      </c>
      <c r="M83" s="712"/>
      <c r="N83" s="708">
        <v>0</v>
      </c>
      <c r="O83" s="708">
        <v>0</v>
      </c>
      <c r="P83" s="708">
        <v>0</v>
      </c>
      <c r="Q83" s="712">
        <v>2428</v>
      </c>
      <c r="R83" s="712"/>
      <c r="S83" s="708">
        <v>64728</v>
      </c>
      <c r="T83" s="713">
        <v>-809</v>
      </c>
      <c r="U83" s="713">
        <v>63919</v>
      </c>
    </row>
    <row r="84" spans="1:21" x14ac:dyDescent="0.25">
      <c r="A84" s="709">
        <v>31200</v>
      </c>
      <c r="B84" s="710" t="s">
        <v>871</v>
      </c>
      <c r="C84" s="711">
        <v>3.9153E-3</v>
      </c>
      <c r="D84" s="711">
        <v>4.1901000000000004E-3</v>
      </c>
      <c r="E84" s="708">
        <v>239179</v>
      </c>
      <c r="F84" s="712">
        <v>-260205</v>
      </c>
      <c r="G84" s="712">
        <v>-239303</v>
      </c>
      <c r="H84" s="712"/>
      <c r="I84" s="708">
        <v>65613</v>
      </c>
      <c r="J84" s="708">
        <v>52453</v>
      </c>
      <c r="K84" s="708">
        <v>0</v>
      </c>
      <c r="L84" s="712">
        <v>11156</v>
      </c>
      <c r="M84" s="712"/>
      <c r="N84" s="708">
        <v>0</v>
      </c>
      <c r="O84" s="708">
        <v>0</v>
      </c>
      <c r="P84" s="708">
        <v>0</v>
      </c>
      <c r="Q84" s="712">
        <v>0</v>
      </c>
      <c r="R84" s="712"/>
      <c r="S84" s="708">
        <v>127142</v>
      </c>
      <c r="T84" s="713">
        <v>3719</v>
      </c>
      <c r="U84" s="713">
        <v>130860</v>
      </c>
    </row>
    <row r="85" spans="1:21" x14ac:dyDescent="0.25">
      <c r="A85" s="709">
        <v>31205</v>
      </c>
      <c r="B85" s="710" t="s">
        <v>872</v>
      </c>
      <c r="C85" s="711">
        <v>4.618E-4</v>
      </c>
      <c r="D85" s="711">
        <v>5.0940000000000002E-4</v>
      </c>
      <c r="E85" s="708">
        <v>32314</v>
      </c>
      <c r="F85" s="712">
        <v>-31634</v>
      </c>
      <c r="G85" s="712">
        <v>-28225</v>
      </c>
      <c r="H85" s="712"/>
      <c r="I85" s="708">
        <v>7739</v>
      </c>
      <c r="J85" s="708">
        <v>6187</v>
      </c>
      <c r="K85" s="708">
        <v>0</v>
      </c>
      <c r="L85" s="712">
        <v>5100</v>
      </c>
      <c r="M85" s="712"/>
      <c r="N85" s="708">
        <v>0</v>
      </c>
      <c r="O85" s="708">
        <v>0</v>
      </c>
      <c r="P85" s="708">
        <v>0</v>
      </c>
      <c r="Q85" s="712">
        <v>0</v>
      </c>
      <c r="R85" s="712"/>
      <c r="S85" s="708">
        <v>14996</v>
      </c>
      <c r="T85" s="713">
        <v>1700</v>
      </c>
      <c r="U85" s="713">
        <v>16696</v>
      </c>
    </row>
    <row r="86" spans="1:21" x14ac:dyDescent="0.25">
      <c r="A86" s="709">
        <v>31300</v>
      </c>
      <c r="B86" s="710" t="s">
        <v>873</v>
      </c>
      <c r="C86" s="711">
        <v>1.07221E-2</v>
      </c>
      <c r="D86" s="711">
        <v>1.06321E-2</v>
      </c>
      <c r="E86" s="708">
        <v>599377</v>
      </c>
      <c r="F86" s="712">
        <v>-660253</v>
      </c>
      <c r="G86" s="712">
        <v>-655335</v>
      </c>
      <c r="H86" s="712"/>
      <c r="I86" s="708">
        <v>179681</v>
      </c>
      <c r="J86" s="708">
        <v>143644</v>
      </c>
      <c r="K86" s="708">
        <v>0</v>
      </c>
      <c r="L86" s="712">
        <v>0</v>
      </c>
      <c r="M86" s="712"/>
      <c r="N86" s="708">
        <v>0</v>
      </c>
      <c r="O86" s="708">
        <v>0</v>
      </c>
      <c r="P86" s="708">
        <v>0</v>
      </c>
      <c r="Q86" s="712">
        <v>50406</v>
      </c>
      <c r="R86" s="712"/>
      <c r="S86" s="708">
        <v>348179</v>
      </c>
      <c r="T86" s="713">
        <v>-16802</v>
      </c>
      <c r="U86" s="713">
        <v>331377</v>
      </c>
    </row>
    <row r="87" spans="1:21" x14ac:dyDescent="0.25">
      <c r="A87" s="709">
        <v>31301</v>
      </c>
      <c r="B87" s="710" t="s">
        <v>874</v>
      </c>
      <c r="C87" s="711">
        <v>2.6640000000000002E-4</v>
      </c>
      <c r="D87" s="711">
        <v>2.154E-4</v>
      </c>
      <c r="E87" s="708">
        <v>13094</v>
      </c>
      <c r="F87" s="712">
        <v>-13376</v>
      </c>
      <c r="G87" s="712">
        <v>-16282</v>
      </c>
      <c r="H87" s="712"/>
      <c r="I87" s="708">
        <v>4464</v>
      </c>
      <c r="J87" s="708">
        <v>3569</v>
      </c>
      <c r="K87" s="708">
        <v>0</v>
      </c>
      <c r="L87" s="712">
        <v>0</v>
      </c>
      <c r="M87" s="712"/>
      <c r="N87" s="708">
        <v>0</v>
      </c>
      <c r="O87" s="708">
        <v>0</v>
      </c>
      <c r="P87" s="708">
        <v>0</v>
      </c>
      <c r="Q87" s="712">
        <v>4872</v>
      </c>
      <c r="R87" s="712"/>
      <c r="S87" s="708">
        <v>8651</v>
      </c>
      <c r="T87" s="713">
        <v>-1624</v>
      </c>
      <c r="U87" s="713">
        <v>7027</v>
      </c>
    </row>
    <row r="88" spans="1:21" x14ac:dyDescent="0.25">
      <c r="A88" s="709">
        <v>31320</v>
      </c>
      <c r="B88" s="710" t="s">
        <v>875</v>
      </c>
      <c r="C88" s="711">
        <v>1.9375E-3</v>
      </c>
      <c r="D88" s="711">
        <v>1.9859999999999999E-3</v>
      </c>
      <c r="E88" s="708">
        <v>108245</v>
      </c>
      <c r="F88" s="712">
        <v>-123331</v>
      </c>
      <c r="G88" s="712">
        <v>-118420</v>
      </c>
      <c r="H88" s="712"/>
      <c r="I88" s="708">
        <v>32468.625</v>
      </c>
      <c r="J88" s="708">
        <v>25956.6875</v>
      </c>
      <c r="K88" s="708">
        <v>0</v>
      </c>
      <c r="L88" s="712">
        <v>0</v>
      </c>
      <c r="M88" s="712"/>
      <c r="N88" s="708">
        <v>0</v>
      </c>
      <c r="O88" s="708">
        <v>0</v>
      </c>
      <c r="P88" s="708">
        <v>0</v>
      </c>
      <c r="Q88" s="712">
        <v>6140</v>
      </c>
      <c r="R88" s="712"/>
      <c r="S88" s="708">
        <v>62916</v>
      </c>
      <c r="T88" s="713">
        <v>-2047</v>
      </c>
      <c r="U88" s="713">
        <v>60870</v>
      </c>
    </row>
    <row r="89" spans="1:21" x14ac:dyDescent="0.25">
      <c r="A89" s="709">
        <v>31400</v>
      </c>
      <c r="B89" s="710" t="s">
        <v>876</v>
      </c>
      <c r="C89" s="711">
        <v>4.0455999999999999E-3</v>
      </c>
      <c r="D89" s="711">
        <v>4.1777999999999997E-3</v>
      </c>
      <c r="E89" s="708">
        <v>249258</v>
      </c>
      <c r="F89" s="712">
        <v>-259441</v>
      </c>
      <c r="G89" s="712">
        <v>-247267</v>
      </c>
      <c r="H89" s="712"/>
      <c r="I89" s="708">
        <v>67796</v>
      </c>
      <c r="J89" s="708">
        <v>54199</v>
      </c>
      <c r="K89" s="708">
        <v>0</v>
      </c>
      <c r="L89" s="712">
        <v>6048</v>
      </c>
      <c r="M89" s="712"/>
      <c r="N89" s="708">
        <v>0</v>
      </c>
      <c r="O89" s="708">
        <v>0</v>
      </c>
      <c r="P89" s="708">
        <v>0</v>
      </c>
      <c r="Q89" s="712">
        <v>0</v>
      </c>
      <c r="R89" s="712"/>
      <c r="S89" s="708">
        <v>131373</v>
      </c>
      <c r="T89" s="713">
        <v>2016</v>
      </c>
      <c r="U89" s="713">
        <v>133389</v>
      </c>
    </row>
    <row r="90" spans="1:21" x14ac:dyDescent="0.25">
      <c r="A90" s="709">
        <v>31405</v>
      </c>
      <c r="B90" s="710" t="s">
        <v>877</v>
      </c>
      <c r="C90" s="711">
        <v>7.8370000000000002E-4</v>
      </c>
      <c r="D90" s="711">
        <v>8.1789999999999999E-4</v>
      </c>
      <c r="E90" s="708">
        <v>56872</v>
      </c>
      <c r="F90" s="712">
        <v>-50792</v>
      </c>
      <c r="G90" s="712">
        <v>-47900</v>
      </c>
      <c r="H90" s="712"/>
      <c r="I90" s="708">
        <v>13133</v>
      </c>
      <c r="J90" s="708">
        <v>10499</v>
      </c>
      <c r="K90" s="708">
        <v>0</v>
      </c>
      <c r="L90" s="712">
        <v>8011</v>
      </c>
      <c r="M90" s="712"/>
      <c r="N90" s="708">
        <v>0</v>
      </c>
      <c r="O90" s="708">
        <v>0</v>
      </c>
      <c r="P90" s="708">
        <v>0</v>
      </c>
      <c r="Q90" s="712">
        <v>0</v>
      </c>
      <c r="R90" s="712"/>
      <c r="S90" s="708">
        <v>25449</v>
      </c>
      <c r="T90" s="713">
        <v>2670</v>
      </c>
      <c r="U90" s="713">
        <v>28120</v>
      </c>
    </row>
    <row r="91" spans="1:21" x14ac:dyDescent="0.25">
      <c r="A91" s="709">
        <v>31500</v>
      </c>
      <c r="B91" s="710" t="s">
        <v>878</v>
      </c>
      <c r="C91" s="711">
        <v>6.1010000000000003E-4</v>
      </c>
      <c r="D91" s="711">
        <v>6.3369999999999995E-4</v>
      </c>
      <c r="E91" s="708">
        <v>39747</v>
      </c>
      <c r="F91" s="712">
        <v>-39353</v>
      </c>
      <c r="G91" s="712">
        <v>-37289</v>
      </c>
      <c r="H91" s="712"/>
      <c r="I91" s="708">
        <v>10224</v>
      </c>
      <c r="J91" s="708">
        <v>8174</v>
      </c>
      <c r="K91" s="708">
        <v>0</v>
      </c>
      <c r="L91" s="712">
        <v>2701</v>
      </c>
      <c r="M91" s="712"/>
      <c r="N91" s="708">
        <v>0</v>
      </c>
      <c r="O91" s="708">
        <v>0</v>
      </c>
      <c r="P91" s="708">
        <v>0</v>
      </c>
      <c r="Q91" s="712">
        <v>0</v>
      </c>
      <c r="R91" s="712"/>
      <c r="S91" s="708">
        <v>19812</v>
      </c>
      <c r="T91" s="713">
        <v>900</v>
      </c>
      <c r="U91" s="713">
        <v>20712</v>
      </c>
    </row>
    <row r="92" spans="1:21" x14ac:dyDescent="0.25">
      <c r="A92" s="709">
        <v>31600</v>
      </c>
      <c r="B92" s="710" t="s">
        <v>879</v>
      </c>
      <c r="C92" s="711">
        <v>2.8373999999999999E-3</v>
      </c>
      <c r="D92" s="711">
        <v>2.9166999999999999E-3</v>
      </c>
      <c r="E92" s="708">
        <v>176059</v>
      </c>
      <c r="F92" s="712">
        <v>-181127</v>
      </c>
      <c r="G92" s="712">
        <v>-173422</v>
      </c>
      <c r="H92" s="712"/>
      <c r="I92" s="708">
        <v>47549</v>
      </c>
      <c r="J92" s="708">
        <v>38013</v>
      </c>
      <c r="K92" s="708">
        <v>0</v>
      </c>
      <c r="L92" s="712">
        <v>4548</v>
      </c>
      <c r="M92" s="712"/>
      <c r="N92" s="708">
        <v>0</v>
      </c>
      <c r="O92" s="708">
        <v>0</v>
      </c>
      <c r="P92" s="708">
        <v>0</v>
      </c>
      <c r="Q92" s="712">
        <v>0</v>
      </c>
      <c r="R92" s="712"/>
      <c r="S92" s="708">
        <v>92139</v>
      </c>
      <c r="T92" s="713">
        <v>1516</v>
      </c>
      <c r="U92" s="713">
        <v>93655</v>
      </c>
    </row>
    <row r="93" spans="1:21" x14ac:dyDescent="0.25">
      <c r="A93" s="709">
        <v>31605</v>
      </c>
      <c r="B93" s="710" t="s">
        <v>881</v>
      </c>
      <c r="C93" s="711">
        <v>4.2200000000000001E-4</v>
      </c>
      <c r="D93" s="711">
        <v>4.0969999999999998E-4</v>
      </c>
      <c r="E93" s="708">
        <v>28878</v>
      </c>
      <c r="F93" s="712">
        <v>-25442</v>
      </c>
      <c r="G93" s="712">
        <v>-25792.639999999999</v>
      </c>
      <c r="H93" s="712"/>
      <c r="I93" s="708">
        <v>7072</v>
      </c>
      <c r="J93" s="708">
        <v>5654</v>
      </c>
      <c r="K93" s="708">
        <v>0</v>
      </c>
      <c r="L93" s="712">
        <v>1574</v>
      </c>
      <c r="M93" s="712"/>
      <c r="N93" s="708">
        <v>0</v>
      </c>
      <c r="O93" s="708">
        <v>0</v>
      </c>
      <c r="P93" s="708">
        <v>0</v>
      </c>
      <c r="Q93" s="712">
        <v>0</v>
      </c>
      <c r="R93" s="712"/>
      <c r="S93" s="708">
        <v>13704</v>
      </c>
      <c r="T93" s="713">
        <v>525</v>
      </c>
      <c r="U93" s="713">
        <v>14228</v>
      </c>
    </row>
    <row r="94" spans="1:21" x14ac:dyDescent="0.25">
      <c r="A94" s="709">
        <v>31700</v>
      </c>
      <c r="B94" s="710" t="s">
        <v>882</v>
      </c>
      <c r="C94" s="711">
        <v>8.6319999999999995E-4</v>
      </c>
      <c r="D94" s="711">
        <v>8.7489999999999996E-4</v>
      </c>
      <c r="E94" s="708">
        <v>56152</v>
      </c>
      <c r="F94" s="712">
        <v>-54331</v>
      </c>
      <c r="G94" s="712">
        <v>-52759</v>
      </c>
      <c r="H94" s="712"/>
      <c r="I94" s="708">
        <v>14466</v>
      </c>
      <c r="J94" s="708">
        <v>11564</v>
      </c>
      <c r="K94" s="708">
        <v>0</v>
      </c>
      <c r="L94" s="712">
        <v>2748</v>
      </c>
      <c r="M94" s="712"/>
      <c r="N94" s="708">
        <v>0</v>
      </c>
      <c r="O94" s="708">
        <v>0</v>
      </c>
      <c r="P94" s="708">
        <v>0</v>
      </c>
      <c r="Q94" s="712">
        <v>0</v>
      </c>
      <c r="R94" s="712"/>
      <c r="S94" s="708">
        <v>28031</v>
      </c>
      <c r="T94" s="713">
        <v>916</v>
      </c>
      <c r="U94" s="713">
        <v>28947</v>
      </c>
    </row>
    <row r="95" spans="1:21" x14ac:dyDescent="0.25">
      <c r="A95" s="709">
        <v>31800</v>
      </c>
      <c r="B95" s="710" t="s">
        <v>883</v>
      </c>
      <c r="C95" s="711">
        <v>5.1456000000000002E-3</v>
      </c>
      <c r="D95" s="711">
        <v>5.4010000000000004E-3</v>
      </c>
      <c r="E95" s="708">
        <v>318427</v>
      </c>
      <c r="F95" s="712">
        <v>-335402</v>
      </c>
      <c r="G95" s="712">
        <v>-314499</v>
      </c>
      <c r="H95" s="712"/>
      <c r="I95" s="708">
        <v>86230</v>
      </c>
      <c r="J95" s="708">
        <v>68936</v>
      </c>
      <c r="K95" s="708">
        <v>0</v>
      </c>
      <c r="L95" s="712">
        <v>12803</v>
      </c>
      <c r="M95" s="712"/>
      <c r="N95" s="708">
        <v>0</v>
      </c>
      <c r="O95" s="708">
        <v>0</v>
      </c>
      <c r="P95" s="708">
        <v>0</v>
      </c>
      <c r="Q95" s="712">
        <v>0</v>
      </c>
      <c r="R95" s="712"/>
      <c r="S95" s="708">
        <v>167093</v>
      </c>
      <c r="T95" s="713">
        <v>4268</v>
      </c>
      <c r="U95" s="713">
        <v>171361</v>
      </c>
    </row>
    <row r="96" spans="1:21" x14ac:dyDescent="0.25">
      <c r="A96" s="709">
        <v>31805</v>
      </c>
      <c r="B96" s="710" t="s">
        <v>884</v>
      </c>
      <c r="C96" s="711">
        <v>9.9879999999999999E-4</v>
      </c>
      <c r="D96" s="711">
        <v>1.0135999999999999E-3</v>
      </c>
      <c r="E96" s="708">
        <v>67964</v>
      </c>
      <c r="F96" s="712">
        <v>-62945</v>
      </c>
      <c r="G96" s="712">
        <v>-61047</v>
      </c>
      <c r="H96" s="712"/>
      <c r="I96" s="708">
        <v>16738</v>
      </c>
      <c r="J96" s="708">
        <v>13381</v>
      </c>
      <c r="K96" s="708">
        <v>0</v>
      </c>
      <c r="L96" s="712">
        <v>5482</v>
      </c>
      <c r="M96" s="712"/>
      <c r="N96" s="708">
        <v>0</v>
      </c>
      <c r="O96" s="708">
        <v>0</v>
      </c>
      <c r="P96" s="708">
        <v>0</v>
      </c>
      <c r="Q96" s="712">
        <v>0</v>
      </c>
      <c r="R96" s="712"/>
      <c r="S96" s="708">
        <v>32434</v>
      </c>
      <c r="T96" s="713">
        <v>1827</v>
      </c>
      <c r="U96" s="713">
        <v>34261</v>
      </c>
    </row>
    <row r="97" spans="1:21" x14ac:dyDescent="0.25">
      <c r="A97" s="709">
        <v>31810</v>
      </c>
      <c r="B97" s="710" t="s">
        <v>885</v>
      </c>
      <c r="C97" s="711">
        <v>1.3487E-3</v>
      </c>
      <c r="D97" s="711">
        <v>1.3606E-3</v>
      </c>
      <c r="E97" s="708">
        <v>80788</v>
      </c>
      <c r="F97" s="712">
        <v>-84493</v>
      </c>
      <c r="G97" s="712">
        <v>-82433</v>
      </c>
      <c r="H97" s="712"/>
      <c r="I97" s="708">
        <v>22602</v>
      </c>
      <c r="J97" s="708">
        <v>18069</v>
      </c>
      <c r="K97" s="708">
        <v>0</v>
      </c>
      <c r="L97" s="712">
        <v>0</v>
      </c>
      <c r="M97" s="712"/>
      <c r="N97" s="708">
        <v>0</v>
      </c>
      <c r="O97" s="708">
        <v>0</v>
      </c>
      <c r="P97" s="708">
        <v>0</v>
      </c>
      <c r="Q97" s="712">
        <v>1213</v>
      </c>
      <c r="R97" s="712"/>
      <c r="S97" s="708">
        <v>43796</v>
      </c>
      <c r="T97" s="713">
        <v>-404</v>
      </c>
      <c r="U97" s="713">
        <v>43392</v>
      </c>
    </row>
    <row r="98" spans="1:21" x14ac:dyDescent="0.25">
      <c r="A98" s="709">
        <v>31820</v>
      </c>
      <c r="B98" s="710" t="s">
        <v>886</v>
      </c>
      <c r="C98" s="711">
        <v>1.1471999999999999E-3</v>
      </c>
      <c r="D98" s="711">
        <v>1.2298999999999999E-3</v>
      </c>
      <c r="E98" s="708">
        <v>66391</v>
      </c>
      <c r="F98" s="712">
        <v>-76377</v>
      </c>
      <c r="G98" s="712">
        <v>-70117</v>
      </c>
      <c r="H98" s="712"/>
      <c r="I98" s="708">
        <v>19225</v>
      </c>
      <c r="J98" s="708">
        <v>15369</v>
      </c>
      <c r="K98" s="708">
        <v>0</v>
      </c>
      <c r="L98" s="712">
        <v>603</v>
      </c>
      <c r="M98" s="712"/>
      <c r="N98" s="708">
        <v>0</v>
      </c>
      <c r="O98" s="708">
        <v>0</v>
      </c>
      <c r="P98" s="708">
        <v>0</v>
      </c>
      <c r="Q98" s="712">
        <v>0</v>
      </c>
      <c r="R98" s="712"/>
      <c r="S98" s="708">
        <v>37253</v>
      </c>
      <c r="T98" s="713">
        <v>201</v>
      </c>
      <c r="U98" s="713">
        <v>37454</v>
      </c>
    </row>
    <row r="99" spans="1:21" x14ac:dyDescent="0.25">
      <c r="A99" s="709">
        <v>31900</v>
      </c>
      <c r="B99" s="710" t="s">
        <v>887</v>
      </c>
      <c r="C99" s="711">
        <v>3.2399E-3</v>
      </c>
      <c r="D99" s="711">
        <v>3.137E-3</v>
      </c>
      <c r="E99" s="708">
        <v>189466</v>
      </c>
      <c r="F99" s="712">
        <v>-194808</v>
      </c>
      <c r="G99" s="712">
        <v>-198023</v>
      </c>
      <c r="H99" s="712"/>
      <c r="I99" s="708">
        <v>54294</v>
      </c>
      <c r="J99" s="708">
        <v>43405</v>
      </c>
      <c r="K99" s="708">
        <v>0</v>
      </c>
      <c r="L99" s="712">
        <v>0</v>
      </c>
      <c r="M99" s="712"/>
      <c r="N99" s="708">
        <v>0</v>
      </c>
      <c r="O99" s="708">
        <v>0</v>
      </c>
      <c r="P99" s="708">
        <v>0</v>
      </c>
      <c r="Q99" s="712">
        <v>12493</v>
      </c>
      <c r="R99" s="712"/>
      <c r="S99" s="708">
        <v>105209</v>
      </c>
      <c r="T99" s="713">
        <v>-4164</v>
      </c>
      <c r="U99" s="713">
        <v>101045</v>
      </c>
    </row>
    <row r="100" spans="1:21" x14ac:dyDescent="0.25">
      <c r="A100" s="709">
        <v>32000</v>
      </c>
      <c r="B100" s="710" t="s">
        <v>888</v>
      </c>
      <c r="C100" s="711">
        <v>1.3066E-3</v>
      </c>
      <c r="D100" s="711">
        <v>1.2830999999999999E-3</v>
      </c>
      <c r="E100" s="708">
        <v>77878</v>
      </c>
      <c r="F100" s="712">
        <v>-79681</v>
      </c>
      <c r="G100" s="712">
        <v>-79859</v>
      </c>
      <c r="H100" s="712"/>
      <c r="I100" s="708">
        <v>21896</v>
      </c>
      <c r="J100" s="708">
        <v>17505</v>
      </c>
      <c r="K100" s="708">
        <v>0</v>
      </c>
      <c r="L100" s="712">
        <v>0</v>
      </c>
      <c r="M100" s="712"/>
      <c r="N100" s="708">
        <v>0</v>
      </c>
      <c r="O100" s="708">
        <v>0</v>
      </c>
      <c r="P100" s="708">
        <v>0</v>
      </c>
      <c r="Q100" s="712">
        <v>3098</v>
      </c>
      <c r="R100" s="712"/>
      <c r="S100" s="708">
        <v>42429</v>
      </c>
      <c r="T100" s="713">
        <v>-1033</v>
      </c>
      <c r="U100" s="713">
        <v>41396</v>
      </c>
    </row>
    <row r="101" spans="1:21" x14ac:dyDescent="0.25">
      <c r="A101" s="709">
        <v>32005</v>
      </c>
      <c r="B101" s="710" t="s">
        <v>889</v>
      </c>
      <c r="C101" s="711">
        <v>2.898E-4</v>
      </c>
      <c r="D101" s="711">
        <v>2.8860000000000002E-4</v>
      </c>
      <c r="E101" s="708">
        <v>19425</v>
      </c>
      <c r="F101" s="712">
        <v>-17922</v>
      </c>
      <c r="G101" s="712">
        <v>-17713</v>
      </c>
      <c r="H101" s="712"/>
      <c r="I101" s="708">
        <v>4856</v>
      </c>
      <c r="J101" s="708">
        <v>3882</v>
      </c>
      <c r="K101" s="708">
        <v>0</v>
      </c>
      <c r="L101" s="712">
        <v>1114</v>
      </c>
      <c r="M101" s="712"/>
      <c r="N101" s="708">
        <v>0</v>
      </c>
      <c r="O101" s="708">
        <v>0</v>
      </c>
      <c r="P101" s="708">
        <v>0</v>
      </c>
      <c r="Q101" s="712">
        <v>0</v>
      </c>
      <c r="R101" s="712"/>
      <c r="S101" s="708">
        <v>9411</v>
      </c>
      <c r="T101" s="713">
        <v>371</v>
      </c>
      <c r="U101" s="713">
        <v>9782</v>
      </c>
    </row>
    <row r="102" spans="1:21" x14ac:dyDescent="0.25">
      <c r="A102" s="709">
        <v>32100</v>
      </c>
      <c r="B102" s="710" t="s">
        <v>890</v>
      </c>
      <c r="C102" s="711">
        <v>7.3490000000000003E-4</v>
      </c>
      <c r="D102" s="711">
        <v>7.8859999999999998E-4</v>
      </c>
      <c r="E102" s="708">
        <v>47418</v>
      </c>
      <c r="F102" s="712">
        <v>-48972</v>
      </c>
      <c r="G102" s="712">
        <v>-44917</v>
      </c>
      <c r="H102" s="712"/>
      <c r="I102" s="708">
        <v>12315</v>
      </c>
      <c r="J102" s="708">
        <v>9845</v>
      </c>
      <c r="K102" s="708">
        <v>0</v>
      </c>
      <c r="L102" s="712">
        <v>4086</v>
      </c>
      <c r="M102" s="712"/>
      <c r="N102" s="708">
        <v>0</v>
      </c>
      <c r="O102" s="708">
        <v>0</v>
      </c>
      <c r="P102" s="708">
        <v>0</v>
      </c>
      <c r="Q102" s="712">
        <v>0</v>
      </c>
      <c r="R102" s="712"/>
      <c r="S102" s="708">
        <v>23864</v>
      </c>
      <c r="T102" s="713">
        <v>1362</v>
      </c>
      <c r="U102" s="713">
        <v>25226</v>
      </c>
    </row>
    <row r="103" spans="1:21" x14ac:dyDescent="0.25">
      <c r="A103" s="709">
        <v>32200</v>
      </c>
      <c r="B103" s="710" t="s">
        <v>891</v>
      </c>
      <c r="C103" s="711">
        <v>4.8739999999999998E-4</v>
      </c>
      <c r="D103" s="711">
        <v>4.8809999999999999E-4</v>
      </c>
      <c r="E103" s="708">
        <v>30339</v>
      </c>
      <c r="F103" s="712">
        <v>-30311</v>
      </c>
      <c r="G103" s="712">
        <v>-29790</v>
      </c>
      <c r="H103" s="712"/>
      <c r="I103" s="708">
        <v>8168</v>
      </c>
      <c r="J103" s="708">
        <v>6530</v>
      </c>
      <c r="K103" s="708">
        <v>0</v>
      </c>
      <c r="L103" s="712">
        <v>251</v>
      </c>
      <c r="M103" s="712"/>
      <c r="N103" s="708">
        <v>0</v>
      </c>
      <c r="O103" s="708">
        <v>0</v>
      </c>
      <c r="P103" s="708">
        <v>0</v>
      </c>
      <c r="Q103" s="712">
        <v>0</v>
      </c>
      <c r="R103" s="712"/>
      <c r="S103" s="708">
        <v>15827</v>
      </c>
      <c r="T103" s="713">
        <v>84</v>
      </c>
      <c r="U103" s="713">
        <v>15911</v>
      </c>
    </row>
    <row r="104" spans="1:21" x14ac:dyDescent="0.25">
      <c r="A104" s="709">
        <v>32300</v>
      </c>
      <c r="B104" s="710" t="s">
        <v>892</v>
      </c>
      <c r="C104" s="711">
        <v>5.4824000000000001E-3</v>
      </c>
      <c r="D104" s="711">
        <v>5.5947999999999996E-3</v>
      </c>
      <c r="E104" s="708">
        <v>322943</v>
      </c>
      <c r="F104" s="712">
        <v>-347437</v>
      </c>
      <c r="G104" s="712">
        <v>-335084</v>
      </c>
      <c r="H104" s="712"/>
      <c r="I104" s="708">
        <v>91874</v>
      </c>
      <c r="J104" s="708">
        <v>73448</v>
      </c>
      <c r="K104" s="708">
        <v>0</v>
      </c>
      <c r="L104" s="712">
        <v>0</v>
      </c>
      <c r="M104" s="712"/>
      <c r="N104" s="708">
        <v>0</v>
      </c>
      <c r="O104" s="708">
        <v>0</v>
      </c>
      <c r="P104" s="708">
        <v>0</v>
      </c>
      <c r="Q104" s="712">
        <v>6042</v>
      </c>
      <c r="R104" s="712"/>
      <c r="S104" s="708">
        <v>178030</v>
      </c>
      <c r="T104" s="713">
        <v>-2014</v>
      </c>
      <c r="U104" s="713">
        <v>176016</v>
      </c>
    </row>
    <row r="105" spans="1:21" x14ac:dyDescent="0.25">
      <c r="A105" s="709">
        <v>32305</v>
      </c>
      <c r="B105" s="710" t="s">
        <v>1548</v>
      </c>
      <c r="C105" s="711">
        <v>5.5900000000000004E-4</v>
      </c>
      <c r="D105" s="711">
        <v>5.6249999999999996E-4</v>
      </c>
      <c r="E105" s="708">
        <v>37930</v>
      </c>
      <c r="F105" s="712">
        <v>-34931</v>
      </c>
      <c r="G105" s="712">
        <v>-34166.080000000002</v>
      </c>
      <c r="H105" s="712"/>
      <c r="I105" s="708">
        <v>9368</v>
      </c>
      <c r="J105" s="708">
        <v>7489</v>
      </c>
      <c r="K105" s="708">
        <v>0</v>
      </c>
      <c r="L105" s="712">
        <v>2765</v>
      </c>
      <c r="M105" s="712"/>
      <c r="N105" s="708">
        <v>0</v>
      </c>
      <c r="O105" s="708">
        <v>0</v>
      </c>
      <c r="P105" s="708">
        <v>0</v>
      </c>
      <c r="Q105" s="712">
        <v>0</v>
      </c>
      <c r="R105" s="712"/>
      <c r="S105" s="708">
        <v>18152</v>
      </c>
      <c r="T105" s="713">
        <v>922</v>
      </c>
      <c r="U105" s="713">
        <v>19074</v>
      </c>
    </row>
    <row r="106" spans="1:21" x14ac:dyDescent="0.25">
      <c r="A106" s="709">
        <v>32400</v>
      </c>
      <c r="B106" s="710" t="s">
        <v>894</v>
      </c>
      <c r="C106" s="711">
        <v>1.9689999999999998E-3</v>
      </c>
      <c r="D106" s="711">
        <v>2.0022999999999998E-3</v>
      </c>
      <c r="E106" s="708">
        <v>125396</v>
      </c>
      <c r="F106" s="712">
        <v>-124343</v>
      </c>
      <c r="G106" s="712">
        <v>-120345</v>
      </c>
      <c r="H106" s="712"/>
      <c r="I106" s="708">
        <v>32997</v>
      </c>
      <c r="J106" s="708">
        <v>26379</v>
      </c>
      <c r="K106" s="708">
        <v>0</v>
      </c>
      <c r="L106" s="712">
        <v>4559</v>
      </c>
      <c r="M106" s="712"/>
      <c r="N106" s="708">
        <v>0</v>
      </c>
      <c r="O106" s="708">
        <v>0</v>
      </c>
      <c r="P106" s="708">
        <v>0</v>
      </c>
      <c r="Q106" s="712">
        <v>0</v>
      </c>
      <c r="R106" s="712"/>
      <c r="S106" s="708">
        <v>63939</v>
      </c>
      <c r="T106" s="713">
        <v>1520</v>
      </c>
      <c r="U106" s="713">
        <v>65459</v>
      </c>
    </row>
    <row r="107" spans="1:21" x14ac:dyDescent="0.25">
      <c r="A107" s="709">
        <v>32405</v>
      </c>
      <c r="B107" s="710" t="s">
        <v>895</v>
      </c>
      <c r="C107" s="711">
        <v>4.9830000000000002E-4</v>
      </c>
      <c r="D107" s="711">
        <v>4.8999999999999998E-4</v>
      </c>
      <c r="E107" s="708">
        <v>33896</v>
      </c>
      <c r="F107" s="712">
        <v>-30429</v>
      </c>
      <c r="G107" s="712">
        <v>-30456</v>
      </c>
      <c r="H107" s="712"/>
      <c r="I107" s="708">
        <v>8351</v>
      </c>
      <c r="J107" s="708">
        <v>6676</v>
      </c>
      <c r="K107" s="708">
        <v>0</v>
      </c>
      <c r="L107" s="712">
        <v>1996</v>
      </c>
      <c r="M107" s="712"/>
      <c r="N107" s="708">
        <v>0</v>
      </c>
      <c r="O107" s="708">
        <v>0</v>
      </c>
      <c r="P107" s="708">
        <v>0</v>
      </c>
      <c r="Q107" s="712">
        <v>0</v>
      </c>
      <c r="R107" s="712"/>
      <c r="S107" s="708">
        <v>16181</v>
      </c>
      <c r="T107" s="713">
        <v>665</v>
      </c>
      <c r="U107" s="713">
        <v>16847</v>
      </c>
    </row>
    <row r="108" spans="1:21" x14ac:dyDescent="0.25">
      <c r="A108" s="709">
        <v>32410</v>
      </c>
      <c r="B108" s="710" t="s">
        <v>896</v>
      </c>
      <c r="C108" s="711">
        <v>7.3450000000000002E-4</v>
      </c>
      <c r="D108" s="711">
        <v>7.8669999999999999E-4</v>
      </c>
      <c r="E108" s="708">
        <v>49497</v>
      </c>
      <c r="F108" s="712">
        <v>-48854</v>
      </c>
      <c r="G108" s="712">
        <v>-44892.639999999999</v>
      </c>
      <c r="H108" s="712"/>
      <c r="I108" s="708">
        <v>12309</v>
      </c>
      <c r="J108" s="708">
        <v>9840</v>
      </c>
      <c r="K108" s="708">
        <v>0</v>
      </c>
      <c r="L108" s="712">
        <v>5594</v>
      </c>
      <c r="M108" s="712"/>
      <c r="N108" s="708">
        <v>0</v>
      </c>
      <c r="O108" s="708">
        <v>0</v>
      </c>
      <c r="P108" s="708">
        <v>0</v>
      </c>
      <c r="Q108" s="712">
        <v>0</v>
      </c>
      <c r="R108" s="712"/>
      <c r="S108" s="708">
        <v>23851</v>
      </c>
      <c r="T108" s="713">
        <v>1865</v>
      </c>
      <c r="U108" s="713">
        <v>25716</v>
      </c>
    </row>
    <row r="109" spans="1:21" s="731" customFormat="1" x14ac:dyDescent="0.25">
      <c r="A109" s="725">
        <v>32420</v>
      </c>
      <c r="B109" s="726" t="s">
        <v>897</v>
      </c>
      <c r="C109" s="727">
        <v>0</v>
      </c>
      <c r="D109" s="727">
        <v>0</v>
      </c>
      <c r="E109" s="728" t="e">
        <v>#N/A</v>
      </c>
      <c r="F109" s="729">
        <v>0</v>
      </c>
      <c r="G109" s="729">
        <v>0</v>
      </c>
      <c r="H109" s="729"/>
      <c r="I109" s="728">
        <v>0</v>
      </c>
      <c r="J109" s="728">
        <v>0</v>
      </c>
      <c r="K109" s="728">
        <v>0</v>
      </c>
      <c r="L109" s="729">
        <v>0</v>
      </c>
      <c r="M109" s="729"/>
      <c r="N109" s="728">
        <v>0</v>
      </c>
      <c r="O109" s="728">
        <v>0</v>
      </c>
      <c r="P109" s="728">
        <v>0</v>
      </c>
      <c r="Q109" s="729">
        <v>0</v>
      </c>
      <c r="R109" s="729"/>
      <c r="S109" s="728">
        <v>0</v>
      </c>
      <c r="T109" s="730">
        <v>0</v>
      </c>
      <c r="U109" s="730">
        <v>0</v>
      </c>
    </row>
    <row r="110" spans="1:21" x14ac:dyDescent="0.25">
      <c r="A110" s="709">
        <v>32500</v>
      </c>
      <c r="B110" s="710" t="s">
        <v>1549</v>
      </c>
      <c r="C110" s="711">
        <v>4.2446999999999997E-3</v>
      </c>
      <c r="D110" s="711">
        <v>4.5309E-3</v>
      </c>
      <c r="E110" s="708">
        <v>256876</v>
      </c>
      <c r="F110" s="712">
        <v>-281369</v>
      </c>
      <c r="G110" s="712">
        <v>-259436</v>
      </c>
      <c r="H110" s="712"/>
      <c r="I110" s="708">
        <v>71133</v>
      </c>
      <c r="J110" s="708">
        <v>56866</v>
      </c>
      <c r="K110" s="708">
        <v>0</v>
      </c>
      <c r="L110" s="712">
        <v>9729</v>
      </c>
      <c r="M110" s="712"/>
      <c r="N110" s="708">
        <v>0</v>
      </c>
      <c r="O110" s="708">
        <v>0</v>
      </c>
      <c r="P110" s="708">
        <v>0</v>
      </c>
      <c r="Q110" s="712">
        <v>0</v>
      </c>
      <c r="R110" s="712"/>
      <c r="S110" s="708">
        <v>137838</v>
      </c>
      <c r="T110" s="713">
        <v>3243</v>
      </c>
      <c r="U110" s="713">
        <v>141081</v>
      </c>
    </row>
    <row r="111" spans="1:21" x14ac:dyDescent="0.25">
      <c r="A111" s="709">
        <v>32505</v>
      </c>
      <c r="B111" s="710" t="s">
        <v>899</v>
      </c>
      <c r="C111" s="711">
        <v>6.581E-4</v>
      </c>
      <c r="D111" s="711">
        <v>6.3960000000000004E-4</v>
      </c>
      <c r="E111" s="708">
        <v>42186</v>
      </c>
      <c r="F111" s="712">
        <v>-39719</v>
      </c>
      <c r="G111" s="712">
        <v>-40223</v>
      </c>
      <c r="H111" s="712"/>
      <c r="I111" s="708">
        <v>11028</v>
      </c>
      <c r="J111" s="708">
        <v>8817</v>
      </c>
      <c r="K111" s="708">
        <v>0</v>
      </c>
      <c r="L111" s="712">
        <v>350</v>
      </c>
      <c r="M111" s="712"/>
      <c r="N111" s="708">
        <v>0</v>
      </c>
      <c r="O111" s="708">
        <v>0</v>
      </c>
      <c r="P111" s="708">
        <v>0</v>
      </c>
      <c r="Q111" s="712">
        <v>0</v>
      </c>
      <c r="R111" s="712"/>
      <c r="S111" s="708">
        <v>21370</v>
      </c>
      <c r="T111" s="713">
        <v>117</v>
      </c>
      <c r="U111" s="713">
        <v>21487</v>
      </c>
    </row>
    <row r="112" spans="1:21" x14ac:dyDescent="0.25">
      <c r="A112" s="709">
        <v>32600</v>
      </c>
      <c r="B112" s="710" t="s">
        <v>900</v>
      </c>
      <c r="C112" s="711">
        <v>1.5234899999999999E-2</v>
      </c>
      <c r="D112" s="711">
        <v>1.584E-2</v>
      </c>
      <c r="E112" s="708">
        <v>928130</v>
      </c>
      <c r="F112" s="712">
        <v>-983664</v>
      </c>
      <c r="G112" s="712">
        <v>-931157</v>
      </c>
      <c r="H112" s="712"/>
      <c r="I112" s="708">
        <v>255306</v>
      </c>
      <c r="J112" s="708">
        <v>204102</v>
      </c>
      <c r="K112" s="708">
        <v>0</v>
      </c>
      <c r="L112" s="712">
        <v>19879</v>
      </c>
      <c r="M112" s="712"/>
      <c r="N112" s="708">
        <v>0</v>
      </c>
      <c r="O112" s="708">
        <v>0</v>
      </c>
      <c r="P112" s="708">
        <v>0</v>
      </c>
      <c r="Q112" s="712">
        <v>0</v>
      </c>
      <c r="R112" s="712"/>
      <c r="S112" s="708">
        <v>494723</v>
      </c>
      <c r="T112" s="713">
        <v>6626</v>
      </c>
      <c r="U112" s="713">
        <v>501349</v>
      </c>
    </row>
    <row r="113" spans="1:21" x14ac:dyDescent="0.25">
      <c r="A113" s="709">
        <v>32605</v>
      </c>
      <c r="B113" s="710" t="s">
        <v>901</v>
      </c>
      <c r="C113" s="711">
        <v>2.2406000000000001E-3</v>
      </c>
      <c r="D113" s="711">
        <v>2.2585000000000001E-3</v>
      </c>
      <c r="E113" s="708">
        <v>148756</v>
      </c>
      <c r="F113" s="712">
        <v>-140253</v>
      </c>
      <c r="G113" s="712">
        <v>-136945</v>
      </c>
      <c r="H113" s="712"/>
      <c r="I113" s="708">
        <v>37548</v>
      </c>
      <c r="J113" s="708">
        <v>30017</v>
      </c>
      <c r="K113" s="708">
        <v>0</v>
      </c>
      <c r="L113" s="712">
        <v>8804</v>
      </c>
      <c r="M113" s="712"/>
      <c r="N113" s="708">
        <v>0</v>
      </c>
      <c r="O113" s="708">
        <v>0</v>
      </c>
      <c r="P113" s="708">
        <v>0</v>
      </c>
      <c r="Q113" s="712">
        <v>0</v>
      </c>
      <c r="R113" s="712"/>
      <c r="S113" s="708">
        <v>72759</v>
      </c>
      <c r="T113" s="713">
        <v>2935</v>
      </c>
      <c r="U113" s="713">
        <v>75694</v>
      </c>
    </row>
    <row r="114" spans="1:21" x14ac:dyDescent="0.25">
      <c r="A114" s="709">
        <v>32700</v>
      </c>
      <c r="B114" s="710" t="s">
        <v>902</v>
      </c>
      <c r="C114" s="711">
        <v>1.4205999999999999E-3</v>
      </c>
      <c r="D114" s="711">
        <v>1.3795999999999999E-3</v>
      </c>
      <c r="E114" s="708">
        <v>86229</v>
      </c>
      <c r="F114" s="712">
        <v>-85673</v>
      </c>
      <c r="G114" s="712">
        <v>-86827</v>
      </c>
      <c r="H114" s="712"/>
      <c r="I114" s="708">
        <v>23806</v>
      </c>
      <c r="J114" s="708">
        <v>19032</v>
      </c>
      <c r="K114" s="708">
        <v>0</v>
      </c>
      <c r="L114" s="712">
        <v>0</v>
      </c>
      <c r="M114" s="712"/>
      <c r="N114" s="708">
        <v>0</v>
      </c>
      <c r="O114" s="708">
        <v>0</v>
      </c>
      <c r="P114" s="708">
        <v>0</v>
      </c>
      <c r="Q114" s="712">
        <v>2921</v>
      </c>
      <c r="R114" s="712"/>
      <c r="S114" s="708">
        <v>46131</v>
      </c>
      <c r="T114" s="713">
        <v>-974</v>
      </c>
      <c r="U114" s="713">
        <v>45158</v>
      </c>
    </row>
    <row r="115" spans="1:21" x14ac:dyDescent="0.25">
      <c r="A115" s="709">
        <v>32800</v>
      </c>
      <c r="B115" s="710" t="s">
        <v>903</v>
      </c>
      <c r="C115" s="711">
        <v>1.9001999999999999E-3</v>
      </c>
      <c r="D115" s="711">
        <v>1.8781E-3</v>
      </c>
      <c r="E115" s="708">
        <v>126900</v>
      </c>
      <c r="F115" s="712">
        <v>-116630</v>
      </c>
      <c r="G115" s="712">
        <v>-116140</v>
      </c>
      <c r="H115" s="712"/>
      <c r="I115" s="708">
        <v>31844</v>
      </c>
      <c r="J115" s="708">
        <v>25457</v>
      </c>
      <c r="K115" s="708">
        <v>0</v>
      </c>
      <c r="L115" s="712">
        <v>6288</v>
      </c>
      <c r="M115" s="712"/>
      <c r="N115" s="708">
        <v>0</v>
      </c>
      <c r="O115" s="708">
        <v>0</v>
      </c>
      <c r="P115" s="708">
        <v>0</v>
      </c>
      <c r="Q115" s="712">
        <v>0</v>
      </c>
      <c r="R115" s="712"/>
      <c r="S115" s="708">
        <v>61705</v>
      </c>
      <c r="T115" s="713">
        <v>2096</v>
      </c>
      <c r="U115" s="713">
        <v>63801</v>
      </c>
    </row>
    <row r="116" spans="1:21" x14ac:dyDescent="0.25">
      <c r="A116" s="709">
        <v>32900</v>
      </c>
      <c r="B116" s="710" t="s">
        <v>904</v>
      </c>
      <c r="C116" s="711">
        <v>5.7412000000000001E-3</v>
      </c>
      <c r="D116" s="711">
        <v>5.8910999999999998E-3</v>
      </c>
      <c r="E116" s="708">
        <v>347008</v>
      </c>
      <c r="F116" s="712">
        <v>-365837</v>
      </c>
      <c r="G116" s="712">
        <v>-350902</v>
      </c>
      <c r="H116" s="712"/>
      <c r="I116" s="708">
        <v>96211</v>
      </c>
      <c r="J116" s="708">
        <v>76915</v>
      </c>
      <c r="K116" s="708">
        <v>0</v>
      </c>
      <c r="L116" s="712">
        <v>1787</v>
      </c>
      <c r="M116" s="712"/>
      <c r="N116" s="708">
        <v>0</v>
      </c>
      <c r="O116" s="708">
        <v>0</v>
      </c>
      <c r="P116" s="708">
        <v>0</v>
      </c>
      <c r="Q116" s="712">
        <v>0</v>
      </c>
      <c r="R116" s="712"/>
      <c r="S116" s="708">
        <v>186434</v>
      </c>
      <c r="T116" s="713">
        <v>596</v>
      </c>
      <c r="U116" s="713">
        <v>187030</v>
      </c>
    </row>
    <row r="117" spans="1:21" x14ac:dyDescent="0.25">
      <c r="A117" s="709">
        <v>32901</v>
      </c>
      <c r="B117" s="710" t="s">
        <v>1550</v>
      </c>
      <c r="C117" s="711">
        <v>1.329E-4</v>
      </c>
      <c r="D117" s="711">
        <v>1.8709999999999999E-4</v>
      </c>
      <c r="E117" s="708">
        <v>7446</v>
      </c>
      <c r="F117" s="712">
        <v>-11619</v>
      </c>
      <c r="G117" s="712">
        <v>-8123</v>
      </c>
      <c r="H117" s="712"/>
      <c r="I117" s="708">
        <v>2227</v>
      </c>
      <c r="J117" s="708">
        <v>1780</v>
      </c>
      <c r="K117" s="708">
        <v>0</v>
      </c>
      <c r="L117" s="712">
        <v>1964</v>
      </c>
      <c r="M117" s="712"/>
      <c r="N117" s="708">
        <v>0</v>
      </c>
      <c r="O117" s="708">
        <v>0</v>
      </c>
      <c r="P117" s="708">
        <v>0</v>
      </c>
      <c r="Q117" s="712">
        <v>0</v>
      </c>
      <c r="R117" s="712"/>
      <c r="S117" s="708">
        <v>4316</v>
      </c>
      <c r="T117" s="713">
        <v>655</v>
      </c>
      <c r="U117" s="713">
        <v>4970</v>
      </c>
    </row>
    <row r="118" spans="1:21" x14ac:dyDescent="0.25">
      <c r="A118" s="709">
        <v>32905</v>
      </c>
      <c r="B118" s="710" t="s">
        <v>906</v>
      </c>
      <c r="C118" s="711">
        <v>8.4650000000000003E-4</v>
      </c>
      <c r="D118" s="711">
        <v>8.3339999999999998E-4</v>
      </c>
      <c r="E118" s="708">
        <v>55441</v>
      </c>
      <c r="F118" s="712">
        <v>-51754</v>
      </c>
      <c r="G118" s="712">
        <v>-51738.080000000002</v>
      </c>
      <c r="H118" s="712"/>
      <c r="I118" s="708">
        <v>14186</v>
      </c>
      <c r="J118" s="708">
        <v>11341</v>
      </c>
      <c r="K118" s="708">
        <v>0</v>
      </c>
      <c r="L118" s="712">
        <v>1832</v>
      </c>
      <c r="M118" s="712"/>
      <c r="N118" s="708">
        <v>0</v>
      </c>
      <c r="O118" s="708">
        <v>0</v>
      </c>
      <c r="P118" s="708">
        <v>0</v>
      </c>
      <c r="Q118" s="712">
        <v>0</v>
      </c>
      <c r="R118" s="712"/>
      <c r="S118" s="708">
        <v>27488</v>
      </c>
      <c r="T118" s="713">
        <v>611</v>
      </c>
      <c r="U118" s="713">
        <v>28099</v>
      </c>
    </row>
    <row r="119" spans="1:21" x14ac:dyDescent="0.25">
      <c r="A119" s="709">
        <v>32910</v>
      </c>
      <c r="B119" s="710" t="s">
        <v>907</v>
      </c>
      <c r="C119" s="711">
        <v>1.0832999999999999E-3</v>
      </c>
      <c r="D119" s="711">
        <v>1.088E-3</v>
      </c>
      <c r="E119" s="708">
        <v>67672</v>
      </c>
      <c r="F119" s="712">
        <v>-67565</v>
      </c>
      <c r="G119" s="712">
        <v>-66211</v>
      </c>
      <c r="H119" s="712"/>
      <c r="I119" s="708">
        <v>18154</v>
      </c>
      <c r="J119" s="708">
        <v>14513</v>
      </c>
      <c r="K119" s="708">
        <v>0</v>
      </c>
      <c r="L119" s="712">
        <v>885</v>
      </c>
      <c r="M119" s="712"/>
      <c r="N119" s="708">
        <v>0</v>
      </c>
      <c r="O119" s="708">
        <v>0</v>
      </c>
      <c r="P119" s="708">
        <v>0</v>
      </c>
      <c r="Q119" s="712">
        <v>0</v>
      </c>
      <c r="R119" s="712"/>
      <c r="S119" s="708">
        <v>35178</v>
      </c>
      <c r="T119" s="713">
        <v>295</v>
      </c>
      <c r="U119" s="713">
        <v>35473</v>
      </c>
    </row>
    <row r="120" spans="1:21" x14ac:dyDescent="0.25">
      <c r="A120" s="709">
        <v>32920</v>
      </c>
      <c r="B120" s="710" t="s">
        <v>908</v>
      </c>
      <c r="C120" s="711">
        <v>9.0410000000000002E-4</v>
      </c>
      <c r="D120" s="711">
        <v>9.0510000000000005E-4</v>
      </c>
      <c r="E120" s="708">
        <v>53481</v>
      </c>
      <c r="F120" s="712">
        <v>-56207</v>
      </c>
      <c r="G120" s="712">
        <v>-55259</v>
      </c>
      <c r="H120" s="712"/>
      <c r="I120" s="708">
        <v>15151</v>
      </c>
      <c r="J120" s="708">
        <v>12112</v>
      </c>
      <c r="K120" s="708">
        <v>0</v>
      </c>
      <c r="L120" s="712">
        <v>0</v>
      </c>
      <c r="M120" s="712"/>
      <c r="N120" s="708">
        <v>0</v>
      </c>
      <c r="O120" s="708">
        <v>0</v>
      </c>
      <c r="P120" s="708">
        <v>0</v>
      </c>
      <c r="Q120" s="712">
        <v>1644</v>
      </c>
      <c r="R120" s="712"/>
      <c r="S120" s="708">
        <v>29359</v>
      </c>
      <c r="T120" s="713">
        <v>-548</v>
      </c>
      <c r="U120" s="713">
        <v>28811</v>
      </c>
    </row>
    <row r="121" spans="1:21" x14ac:dyDescent="0.25">
      <c r="A121" s="709">
        <v>33000</v>
      </c>
      <c r="B121" s="710" t="s">
        <v>909</v>
      </c>
      <c r="C121" s="711">
        <v>2.1795E-3</v>
      </c>
      <c r="D121" s="711">
        <v>2.2732999999999998E-3</v>
      </c>
      <c r="E121" s="708">
        <v>127550</v>
      </c>
      <c r="F121" s="712">
        <v>-141172</v>
      </c>
      <c r="G121" s="712">
        <v>-133211.04</v>
      </c>
      <c r="H121" s="712"/>
      <c r="I121" s="708">
        <v>36524</v>
      </c>
      <c r="J121" s="708">
        <v>29199</v>
      </c>
      <c r="K121" s="708">
        <v>0</v>
      </c>
      <c r="L121" s="712">
        <v>0</v>
      </c>
      <c r="M121" s="712"/>
      <c r="N121" s="708">
        <v>0</v>
      </c>
      <c r="O121" s="708">
        <v>0</v>
      </c>
      <c r="P121" s="708">
        <v>0</v>
      </c>
      <c r="Q121" s="712">
        <v>740</v>
      </c>
      <c r="R121" s="712"/>
      <c r="S121" s="708">
        <v>70775</v>
      </c>
      <c r="T121" s="713">
        <v>-247</v>
      </c>
      <c r="U121" s="713">
        <v>70528</v>
      </c>
    </row>
    <row r="122" spans="1:21" x14ac:dyDescent="0.25">
      <c r="A122" s="709">
        <v>33001</v>
      </c>
      <c r="B122" s="710" t="s">
        <v>910</v>
      </c>
      <c r="C122" s="711">
        <v>7.5599999999999994E-5</v>
      </c>
      <c r="D122" s="711">
        <v>6.6299999999999999E-5</v>
      </c>
      <c r="E122" s="708">
        <v>3807</v>
      </c>
      <c r="F122" s="712">
        <v>-4117</v>
      </c>
      <c r="G122" s="712">
        <v>-4621</v>
      </c>
      <c r="H122" s="712"/>
      <c r="I122" s="708">
        <v>1267</v>
      </c>
      <c r="J122" s="708">
        <v>1013</v>
      </c>
      <c r="K122" s="708">
        <v>0</v>
      </c>
      <c r="L122" s="712">
        <v>0</v>
      </c>
      <c r="M122" s="712"/>
      <c r="N122" s="708">
        <v>0</v>
      </c>
      <c r="O122" s="708">
        <v>0</v>
      </c>
      <c r="P122" s="708">
        <v>0</v>
      </c>
      <c r="Q122" s="712">
        <v>1074</v>
      </c>
      <c r="R122" s="712"/>
      <c r="S122" s="708">
        <v>2455</v>
      </c>
      <c r="T122" s="713">
        <v>-358</v>
      </c>
      <c r="U122" s="713">
        <v>2097</v>
      </c>
    </row>
    <row r="123" spans="1:21" x14ac:dyDescent="0.25">
      <c r="A123" s="709">
        <v>33027</v>
      </c>
      <c r="B123" s="710" t="s">
        <v>911</v>
      </c>
      <c r="C123" s="711">
        <v>2.5589999999999999E-4</v>
      </c>
      <c r="D123" s="711">
        <v>2.1880000000000001E-4</v>
      </c>
      <c r="E123" s="708">
        <v>12266</v>
      </c>
      <c r="F123" s="712">
        <v>-13587</v>
      </c>
      <c r="G123" s="712">
        <v>-15641</v>
      </c>
      <c r="H123" s="712"/>
      <c r="I123" s="708">
        <v>4288</v>
      </c>
      <c r="J123" s="708">
        <v>3428</v>
      </c>
      <c r="K123" s="708">
        <v>0</v>
      </c>
      <c r="L123" s="712">
        <v>0</v>
      </c>
      <c r="M123" s="712"/>
      <c r="N123" s="708">
        <v>0</v>
      </c>
      <c r="O123" s="708">
        <v>0</v>
      </c>
      <c r="P123" s="708">
        <v>0</v>
      </c>
      <c r="Q123" s="712">
        <v>4360</v>
      </c>
      <c r="R123" s="712"/>
      <c r="S123" s="708">
        <v>8310</v>
      </c>
      <c r="T123" s="713">
        <v>-1453</v>
      </c>
      <c r="U123" s="713">
        <v>6856</v>
      </c>
    </row>
    <row r="124" spans="1:21" x14ac:dyDescent="0.25">
      <c r="A124" s="709">
        <v>33100</v>
      </c>
      <c r="B124" s="710" t="s">
        <v>912</v>
      </c>
      <c r="C124" s="711">
        <v>3.1421999999999999E-3</v>
      </c>
      <c r="D124" s="711">
        <v>3.2885000000000002E-3</v>
      </c>
      <c r="E124" s="708">
        <v>190615</v>
      </c>
      <c r="F124" s="712">
        <v>-204216</v>
      </c>
      <c r="G124" s="712">
        <v>-192051</v>
      </c>
      <c r="H124" s="712"/>
      <c r="I124" s="708">
        <v>52657</v>
      </c>
      <c r="J124" s="708">
        <v>42096</v>
      </c>
      <c r="K124" s="708">
        <v>0</v>
      </c>
      <c r="L124" s="712">
        <v>4493</v>
      </c>
      <c r="M124" s="712"/>
      <c r="N124" s="708">
        <v>0</v>
      </c>
      <c r="O124" s="708">
        <v>0</v>
      </c>
      <c r="P124" s="708">
        <v>0</v>
      </c>
      <c r="Q124" s="712">
        <v>0</v>
      </c>
      <c r="R124" s="712"/>
      <c r="S124" s="708">
        <v>102037</v>
      </c>
      <c r="T124" s="713">
        <v>1498</v>
      </c>
      <c r="U124" s="713">
        <v>103534</v>
      </c>
    </row>
    <row r="125" spans="1:21" x14ac:dyDescent="0.25">
      <c r="A125" s="709">
        <v>33105</v>
      </c>
      <c r="B125" s="710" t="s">
        <v>913</v>
      </c>
      <c r="C125" s="711">
        <v>3.4890000000000002E-4</v>
      </c>
      <c r="D125" s="711">
        <v>3.4590000000000001E-4</v>
      </c>
      <c r="E125" s="708">
        <v>22846</v>
      </c>
      <c r="F125" s="712">
        <v>-21480</v>
      </c>
      <c r="G125" s="712">
        <v>-21325</v>
      </c>
      <c r="H125" s="712"/>
      <c r="I125" s="708">
        <v>5847</v>
      </c>
      <c r="J125" s="708">
        <v>4674</v>
      </c>
      <c r="K125" s="708">
        <v>0</v>
      </c>
      <c r="L125" s="712">
        <v>863</v>
      </c>
      <c r="M125" s="712"/>
      <c r="N125" s="708">
        <v>0</v>
      </c>
      <c r="O125" s="708">
        <v>0</v>
      </c>
      <c r="P125" s="708">
        <v>0</v>
      </c>
      <c r="Q125" s="712">
        <v>0</v>
      </c>
      <c r="R125" s="712"/>
      <c r="S125" s="708">
        <v>11330</v>
      </c>
      <c r="T125" s="713">
        <v>288</v>
      </c>
      <c r="U125" s="713">
        <v>11618</v>
      </c>
    </row>
    <row r="126" spans="1:21" x14ac:dyDescent="0.25">
      <c r="A126" s="709">
        <v>33200</v>
      </c>
      <c r="B126" s="710" t="s">
        <v>914</v>
      </c>
      <c r="C126" s="711">
        <v>1.38841E-2</v>
      </c>
      <c r="D126" s="711">
        <v>1.42872E-2</v>
      </c>
      <c r="E126" s="708">
        <v>794163</v>
      </c>
      <c r="F126" s="712">
        <v>-887235</v>
      </c>
      <c r="G126" s="712">
        <v>-848596</v>
      </c>
      <c r="H126" s="712"/>
      <c r="I126" s="708">
        <v>232670</v>
      </c>
      <c r="J126" s="708">
        <v>186005</v>
      </c>
      <c r="K126" s="708">
        <v>0</v>
      </c>
      <c r="L126" s="712">
        <v>0</v>
      </c>
      <c r="M126" s="712"/>
      <c r="N126" s="708">
        <v>0</v>
      </c>
      <c r="O126" s="708">
        <v>0</v>
      </c>
      <c r="P126" s="708">
        <v>0</v>
      </c>
      <c r="Q126" s="712">
        <v>27549</v>
      </c>
      <c r="R126" s="712"/>
      <c r="S126" s="708">
        <v>450858</v>
      </c>
      <c r="T126" s="713">
        <v>-9183</v>
      </c>
      <c r="U126" s="713">
        <v>441676</v>
      </c>
    </row>
    <row r="127" spans="1:21" x14ac:dyDescent="0.25">
      <c r="A127" s="709">
        <v>33202</v>
      </c>
      <c r="B127" s="710" t="s">
        <v>915</v>
      </c>
      <c r="C127" s="711">
        <v>2.05E-4</v>
      </c>
      <c r="D127" s="711">
        <v>1.6670000000000001E-4</v>
      </c>
      <c r="E127" s="708">
        <v>10328</v>
      </c>
      <c r="F127" s="712">
        <v>-10352</v>
      </c>
      <c r="G127" s="712">
        <v>-12529.6</v>
      </c>
      <c r="H127" s="712"/>
      <c r="I127" s="708">
        <v>3435.39</v>
      </c>
      <c r="J127" s="708">
        <v>2746</v>
      </c>
      <c r="K127" s="708">
        <v>0</v>
      </c>
      <c r="L127" s="712">
        <v>0</v>
      </c>
      <c r="M127" s="712"/>
      <c r="N127" s="708">
        <v>0</v>
      </c>
      <c r="O127" s="708">
        <v>0</v>
      </c>
      <c r="P127" s="708">
        <v>0</v>
      </c>
      <c r="Q127" s="712">
        <v>3516</v>
      </c>
      <c r="R127" s="712"/>
      <c r="S127" s="708">
        <v>6657</v>
      </c>
      <c r="T127" s="713">
        <v>-1172</v>
      </c>
      <c r="U127" s="713">
        <v>5484.85</v>
      </c>
    </row>
    <row r="128" spans="1:21" x14ac:dyDescent="0.25">
      <c r="A128" s="709">
        <v>33203</v>
      </c>
      <c r="B128" s="710" t="s">
        <v>916</v>
      </c>
      <c r="C128" s="711">
        <v>1.283E-4</v>
      </c>
      <c r="D128" s="711">
        <v>1.2510000000000001E-4</v>
      </c>
      <c r="E128" s="708">
        <v>6017</v>
      </c>
      <c r="F128" s="712">
        <v>-7769</v>
      </c>
      <c r="G128" s="712">
        <v>-7842</v>
      </c>
      <c r="H128" s="712"/>
      <c r="I128" s="708">
        <v>2150</v>
      </c>
      <c r="J128" s="708">
        <v>1719</v>
      </c>
      <c r="K128" s="708">
        <v>0</v>
      </c>
      <c r="L128" s="712">
        <v>0</v>
      </c>
      <c r="M128" s="712"/>
      <c r="N128" s="708">
        <v>0</v>
      </c>
      <c r="O128" s="708">
        <v>0</v>
      </c>
      <c r="P128" s="708">
        <v>0</v>
      </c>
      <c r="Q128" s="712">
        <v>1569</v>
      </c>
      <c r="R128" s="712"/>
      <c r="S128" s="708">
        <v>4166</v>
      </c>
      <c r="T128" s="713">
        <v>-523</v>
      </c>
      <c r="U128" s="713">
        <v>3643</v>
      </c>
    </row>
    <row r="129" spans="1:21" x14ac:dyDescent="0.25">
      <c r="A129" s="709">
        <v>33204</v>
      </c>
      <c r="B129" s="710" t="s">
        <v>917</v>
      </c>
      <c r="C129" s="711">
        <v>4.215E-4</v>
      </c>
      <c r="D129" s="711">
        <v>4.1169999999999998E-4</v>
      </c>
      <c r="E129" s="708">
        <v>20427</v>
      </c>
      <c r="F129" s="712">
        <v>-25567</v>
      </c>
      <c r="G129" s="712">
        <v>-25762.080000000002</v>
      </c>
      <c r="H129" s="712"/>
      <c r="I129" s="708">
        <v>7063</v>
      </c>
      <c r="J129" s="708">
        <v>5647</v>
      </c>
      <c r="K129" s="708">
        <v>0</v>
      </c>
      <c r="L129" s="712">
        <v>0</v>
      </c>
      <c r="M129" s="712"/>
      <c r="N129" s="708">
        <v>0</v>
      </c>
      <c r="O129" s="708">
        <v>0</v>
      </c>
      <c r="P129" s="708">
        <v>0</v>
      </c>
      <c r="Q129" s="712">
        <v>4625</v>
      </c>
      <c r="R129" s="712"/>
      <c r="S129" s="708">
        <v>13687</v>
      </c>
      <c r="T129" s="713">
        <v>-1542</v>
      </c>
      <c r="U129" s="713">
        <v>12146</v>
      </c>
    </row>
    <row r="130" spans="1:21" x14ac:dyDescent="0.25">
      <c r="A130" s="709">
        <v>33205</v>
      </c>
      <c r="B130" s="710" t="s">
        <v>918</v>
      </c>
      <c r="C130" s="711">
        <v>1.1609999999999999E-3</v>
      </c>
      <c r="D130" s="711">
        <v>1.1393E-3</v>
      </c>
      <c r="E130" s="708">
        <v>73872</v>
      </c>
      <c r="F130" s="712">
        <v>-70751</v>
      </c>
      <c r="G130" s="712">
        <v>-70960</v>
      </c>
      <c r="H130" s="712"/>
      <c r="I130" s="708">
        <v>19456</v>
      </c>
      <c r="J130" s="708">
        <v>15554</v>
      </c>
      <c r="K130" s="708">
        <v>0</v>
      </c>
      <c r="L130" s="712">
        <v>714</v>
      </c>
      <c r="M130" s="712"/>
      <c r="N130" s="708">
        <v>0</v>
      </c>
      <c r="O130" s="708">
        <v>0</v>
      </c>
      <c r="P130" s="708">
        <v>0</v>
      </c>
      <c r="Q130" s="712">
        <v>0</v>
      </c>
      <c r="R130" s="712"/>
      <c r="S130" s="708">
        <v>37701</v>
      </c>
      <c r="T130" s="713">
        <v>238</v>
      </c>
      <c r="U130" s="713">
        <v>37939</v>
      </c>
    </row>
    <row r="131" spans="1:21" x14ac:dyDescent="0.25">
      <c r="A131" s="709">
        <v>33206</v>
      </c>
      <c r="B131" s="710" t="s">
        <v>919</v>
      </c>
      <c r="C131" s="711">
        <v>9.8999999999999994E-5</v>
      </c>
      <c r="D131" s="711">
        <v>9.2200000000000005E-5</v>
      </c>
      <c r="E131" s="708">
        <v>5925</v>
      </c>
      <c r="F131" s="712">
        <v>-5726</v>
      </c>
      <c r="G131" s="712">
        <v>-6051</v>
      </c>
      <c r="H131" s="712"/>
      <c r="I131" s="708">
        <v>1659</v>
      </c>
      <c r="J131" s="708">
        <v>1326</v>
      </c>
      <c r="K131" s="708">
        <v>0</v>
      </c>
      <c r="L131" s="712">
        <v>0</v>
      </c>
      <c r="M131" s="712"/>
      <c r="N131" s="708">
        <v>0</v>
      </c>
      <c r="O131" s="708">
        <v>0</v>
      </c>
      <c r="P131" s="708">
        <v>0</v>
      </c>
      <c r="Q131" s="712">
        <v>451</v>
      </c>
      <c r="R131" s="712"/>
      <c r="S131" s="708">
        <v>3215</v>
      </c>
      <c r="T131" s="713">
        <v>-150</v>
      </c>
      <c r="U131" s="713">
        <v>3065</v>
      </c>
    </row>
    <row r="132" spans="1:21" x14ac:dyDescent="0.25">
      <c r="A132" s="709">
        <v>33207</v>
      </c>
      <c r="B132" s="710" t="s">
        <v>1134</v>
      </c>
      <c r="C132" s="711">
        <v>2.8380000000000001E-4</v>
      </c>
      <c r="D132" s="711">
        <v>2.1259999999999999E-4</v>
      </c>
      <c r="E132" s="708">
        <v>11833</v>
      </c>
      <c r="F132" s="712">
        <v>-13202</v>
      </c>
      <c r="G132" s="712">
        <v>-17346</v>
      </c>
      <c r="H132" s="712"/>
      <c r="I132" s="708">
        <v>4756</v>
      </c>
      <c r="J132" s="708">
        <v>3802</v>
      </c>
      <c r="K132" s="708">
        <v>0</v>
      </c>
      <c r="L132" s="712">
        <v>0</v>
      </c>
      <c r="M132" s="712"/>
      <c r="N132" s="708">
        <v>0</v>
      </c>
      <c r="O132" s="708">
        <v>0</v>
      </c>
      <c r="P132" s="708">
        <v>0</v>
      </c>
      <c r="Q132" s="712">
        <v>7563</v>
      </c>
      <c r="R132" s="712"/>
      <c r="S132" s="708">
        <v>9216</v>
      </c>
      <c r="T132" s="713">
        <v>-2521</v>
      </c>
      <c r="U132" s="713">
        <v>6695</v>
      </c>
    </row>
    <row r="133" spans="1:21" x14ac:dyDescent="0.25">
      <c r="A133" s="709">
        <v>33208</v>
      </c>
      <c r="B133" s="710" t="s">
        <v>1135</v>
      </c>
      <c r="C133" s="711">
        <v>0</v>
      </c>
      <c r="D133" s="711">
        <v>3.6199999999999999E-5</v>
      </c>
      <c r="E133" s="708">
        <v>428</v>
      </c>
      <c r="F133" s="712">
        <v>-2248</v>
      </c>
      <c r="G133" s="712">
        <v>0</v>
      </c>
      <c r="H133" s="712"/>
      <c r="I133" s="708">
        <v>0</v>
      </c>
      <c r="J133" s="708">
        <v>0</v>
      </c>
      <c r="K133" s="708">
        <v>0</v>
      </c>
      <c r="L133" s="712">
        <v>2007</v>
      </c>
      <c r="M133" s="712"/>
      <c r="N133" s="708">
        <v>0</v>
      </c>
      <c r="O133" s="708">
        <v>0</v>
      </c>
      <c r="P133" s="708">
        <v>0</v>
      </c>
      <c r="Q133" s="712">
        <v>0</v>
      </c>
      <c r="R133" s="712"/>
      <c r="S133" s="708">
        <v>0</v>
      </c>
      <c r="T133" s="713">
        <v>668.95749999999998</v>
      </c>
      <c r="U133" s="713">
        <v>668.95749999999998</v>
      </c>
    </row>
    <row r="134" spans="1:21" x14ac:dyDescent="0.25">
      <c r="A134" s="709">
        <v>33209</v>
      </c>
      <c r="B134" s="710" t="s">
        <v>1136</v>
      </c>
      <c r="C134" s="711">
        <v>6.9300000000000004E-5</v>
      </c>
      <c r="D134" s="711">
        <v>6.0699999999999998E-5</v>
      </c>
      <c r="E134" s="708">
        <v>3710</v>
      </c>
      <c r="F134" s="712">
        <v>-3769</v>
      </c>
      <c r="G134" s="712">
        <v>-4236</v>
      </c>
      <c r="H134" s="712"/>
      <c r="I134" s="708">
        <v>1161</v>
      </c>
      <c r="J134" s="708">
        <v>928</v>
      </c>
      <c r="K134" s="708">
        <v>0</v>
      </c>
      <c r="L134" s="712">
        <v>0</v>
      </c>
      <c r="M134" s="712"/>
      <c r="N134" s="708">
        <v>0</v>
      </c>
      <c r="O134" s="708">
        <v>0</v>
      </c>
      <c r="P134" s="708">
        <v>0</v>
      </c>
      <c r="Q134" s="712">
        <v>822</v>
      </c>
      <c r="R134" s="712"/>
      <c r="S134" s="708">
        <v>2250</v>
      </c>
      <c r="T134" s="713">
        <v>-274</v>
      </c>
      <c r="U134" s="713">
        <v>1976</v>
      </c>
    </row>
    <row r="135" spans="1:21" x14ac:dyDescent="0.25">
      <c r="A135" s="709">
        <v>33300</v>
      </c>
      <c r="B135" s="710" t="s">
        <v>920</v>
      </c>
      <c r="C135" s="711">
        <v>2.0338000000000001E-3</v>
      </c>
      <c r="D135" s="711">
        <v>2.0419000000000001E-3</v>
      </c>
      <c r="E135" s="708">
        <v>123857</v>
      </c>
      <c r="F135" s="712">
        <v>-126802</v>
      </c>
      <c r="G135" s="712">
        <v>-124306</v>
      </c>
      <c r="H135" s="712"/>
      <c r="I135" s="708">
        <v>34082</v>
      </c>
      <c r="J135" s="708">
        <v>27247</v>
      </c>
      <c r="K135" s="708">
        <v>0</v>
      </c>
      <c r="L135" s="712">
        <v>0</v>
      </c>
      <c r="M135" s="712"/>
      <c r="N135" s="708">
        <v>0</v>
      </c>
      <c r="O135" s="708">
        <v>0</v>
      </c>
      <c r="P135" s="708">
        <v>0</v>
      </c>
      <c r="Q135" s="712">
        <v>765</v>
      </c>
      <c r="R135" s="712"/>
      <c r="S135" s="708">
        <v>66044</v>
      </c>
      <c r="T135" s="713">
        <v>-255</v>
      </c>
      <c r="U135" s="713">
        <v>65789</v>
      </c>
    </row>
    <row r="136" spans="1:21" x14ac:dyDescent="0.25">
      <c r="A136" s="709">
        <v>33305</v>
      </c>
      <c r="B136" s="710" t="s">
        <v>921</v>
      </c>
      <c r="C136" s="711">
        <v>4.8710000000000002E-4</v>
      </c>
      <c r="D136" s="711">
        <v>5.2660000000000001E-4</v>
      </c>
      <c r="E136" s="708">
        <v>36425</v>
      </c>
      <c r="F136" s="712">
        <v>-32702</v>
      </c>
      <c r="G136" s="712">
        <v>-29772</v>
      </c>
      <c r="H136" s="712"/>
      <c r="I136" s="708">
        <v>8163</v>
      </c>
      <c r="J136" s="708">
        <v>6526</v>
      </c>
      <c r="K136" s="708">
        <v>0</v>
      </c>
      <c r="L136" s="712">
        <v>6637</v>
      </c>
      <c r="M136" s="712"/>
      <c r="N136" s="708">
        <v>0</v>
      </c>
      <c r="O136" s="708">
        <v>0</v>
      </c>
      <c r="P136" s="708">
        <v>0</v>
      </c>
      <c r="Q136" s="712">
        <v>0</v>
      </c>
      <c r="R136" s="712"/>
      <c r="S136" s="708">
        <v>15818</v>
      </c>
      <c r="T136" s="713">
        <v>2212</v>
      </c>
      <c r="U136" s="713">
        <v>18030</v>
      </c>
    </row>
    <row r="137" spans="1:21" x14ac:dyDescent="0.25">
      <c r="A137" s="709">
        <v>33400</v>
      </c>
      <c r="B137" s="710" t="s">
        <v>922</v>
      </c>
      <c r="C137" s="711">
        <v>1.80564E-2</v>
      </c>
      <c r="D137" s="711">
        <v>1.8232499999999999E-2</v>
      </c>
      <c r="E137" s="708">
        <v>1108218</v>
      </c>
      <c r="F137" s="712">
        <v>-1132238</v>
      </c>
      <c r="G137" s="712">
        <v>-1103607</v>
      </c>
      <c r="H137" s="712"/>
      <c r="I137" s="708">
        <v>302589</v>
      </c>
      <c r="J137" s="708">
        <v>241902</v>
      </c>
      <c r="K137" s="708">
        <v>0</v>
      </c>
      <c r="L137" s="712">
        <v>4510</v>
      </c>
      <c r="M137" s="712"/>
      <c r="N137" s="708">
        <v>0</v>
      </c>
      <c r="O137" s="708">
        <v>0</v>
      </c>
      <c r="P137" s="708">
        <v>0</v>
      </c>
      <c r="Q137" s="712">
        <v>0</v>
      </c>
      <c r="R137" s="712"/>
      <c r="S137" s="708">
        <v>586345</v>
      </c>
      <c r="T137" s="713">
        <v>1503</v>
      </c>
      <c r="U137" s="713">
        <v>587849</v>
      </c>
    </row>
    <row r="138" spans="1:21" x14ac:dyDescent="0.25">
      <c r="A138" s="709">
        <v>33402</v>
      </c>
      <c r="B138" s="710" t="s">
        <v>923</v>
      </c>
      <c r="C138" s="711">
        <v>1.4579999999999999E-4</v>
      </c>
      <c r="D138" s="711">
        <v>1.428E-4</v>
      </c>
      <c r="E138" s="708">
        <v>7940</v>
      </c>
      <c r="F138" s="712">
        <v>-8868</v>
      </c>
      <c r="G138" s="712">
        <v>-8911</v>
      </c>
      <c r="H138" s="712"/>
      <c r="I138" s="708">
        <v>2443</v>
      </c>
      <c r="J138" s="708">
        <v>1953</v>
      </c>
      <c r="K138" s="708">
        <v>0</v>
      </c>
      <c r="L138" s="712">
        <v>0</v>
      </c>
      <c r="M138" s="712"/>
      <c r="N138" s="708">
        <v>0</v>
      </c>
      <c r="O138" s="708">
        <v>0</v>
      </c>
      <c r="P138" s="708">
        <v>0</v>
      </c>
      <c r="Q138" s="712">
        <v>926</v>
      </c>
      <c r="R138" s="712"/>
      <c r="S138" s="708">
        <v>4735</v>
      </c>
      <c r="T138" s="713">
        <v>-309</v>
      </c>
      <c r="U138" s="713">
        <v>4426</v>
      </c>
    </row>
    <row r="139" spans="1:21" x14ac:dyDescent="0.25">
      <c r="A139" s="709">
        <v>33405</v>
      </c>
      <c r="B139" s="710" t="s">
        <v>925</v>
      </c>
      <c r="C139" s="711">
        <v>1.7166E-3</v>
      </c>
      <c r="D139" s="711">
        <v>1.794E-3</v>
      </c>
      <c r="E139" s="708">
        <v>115509</v>
      </c>
      <c r="F139" s="712">
        <v>-111407</v>
      </c>
      <c r="G139" s="712">
        <v>-104919</v>
      </c>
      <c r="H139" s="712"/>
      <c r="I139" s="708">
        <v>28767</v>
      </c>
      <c r="J139" s="708">
        <v>22997</v>
      </c>
      <c r="K139" s="708">
        <v>0</v>
      </c>
      <c r="L139" s="712">
        <v>10868</v>
      </c>
      <c r="M139" s="712"/>
      <c r="N139" s="708">
        <v>0</v>
      </c>
      <c r="O139" s="708">
        <v>0</v>
      </c>
      <c r="P139" s="708">
        <v>0</v>
      </c>
      <c r="Q139" s="712">
        <v>0</v>
      </c>
      <c r="R139" s="712"/>
      <c r="S139" s="708">
        <v>55743</v>
      </c>
      <c r="T139" s="713">
        <v>3623</v>
      </c>
      <c r="U139" s="713">
        <v>59366</v>
      </c>
    </row>
    <row r="140" spans="1:21" x14ac:dyDescent="0.25">
      <c r="A140" s="709">
        <v>33500</v>
      </c>
      <c r="B140" s="710" t="s">
        <v>926</v>
      </c>
      <c r="C140" s="711">
        <v>2.8739E-3</v>
      </c>
      <c r="D140" s="711">
        <v>3.0427000000000002E-3</v>
      </c>
      <c r="E140" s="708">
        <v>165051</v>
      </c>
      <c r="F140" s="712">
        <v>-188952</v>
      </c>
      <c r="G140" s="712">
        <v>-175653</v>
      </c>
      <c r="H140" s="712"/>
      <c r="I140" s="708">
        <v>48161</v>
      </c>
      <c r="J140" s="708">
        <v>38502</v>
      </c>
      <c r="K140" s="708">
        <v>0</v>
      </c>
      <c r="L140" s="712">
        <v>0</v>
      </c>
      <c r="M140" s="712"/>
      <c r="N140" s="708">
        <v>0</v>
      </c>
      <c r="O140" s="708">
        <v>0</v>
      </c>
      <c r="P140" s="708">
        <v>0</v>
      </c>
      <c r="Q140" s="712">
        <v>1227</v>
      </c>
      <c r="R140" s="712"/>
      <c r="S140" s="708">
        <v>93324</v>
      </c>
      <c r="T140" s="713">
        <v>-409</v>
      </c>
      <c r="U140" s="713">
        <v>92915</v>
      </c>
    </row>
    <row r="141" spans="1:21" x14ac:dyDescent="0.25">
      <c r="A141" s="709">
        <v>33501</v>
      </c>
      <c r="B141" s="710" t="s">
        <v>927</v>
      </c>
      <c r="C141" s="711">
        <v>6.7899999999999997E-5</v>
      </c>
      <c r="D141" s="711">
        <v>6.3100000000000002E-5</v>
      </c>
      <c r="E141" s="708">
        <v>3661</v>
      </c>
      <c r="F141" s="712">
        <v>-3919</v>
      </c>
      <c r="G141" s="712">
        <v>-4150</v>
      </c>
      <c r="H141" s="712"/>
      <c r="I141" s="708">
        <v>1138</v>
      </c>
      <c r="J141" s="708">
        <v>910</v>
      </c>
      <c r="K141" s="708">
        <v>0</v>
      </c>
      <c r="L141" s="712">
        <v>0</v>
      </c>
      <c r="M141" s="712"/>
      <c r="N141" s="708">
        <v>0</v>
      </c>
      <c r="O141" s="708">
        <v>0</v>
      </c>
      <c r="P141" s="708">
        <v>0</v>
      </c>
      <c r="Q141" s="712">
        <v>617</v>
      </c>
      <c r="R141" s="712"/>
      <c r="S141" s="708">
        <v>2205</v>
      </c>
      <c r="T141" s="713">
        <v>-206</v>
      </c>
      <c r="U141" s="713">
        <v>1999</v>
      </c>
    </row>
    <row r="142" spans="1:21" x14ac:dyDescent="0.25">
      <c r="A142" s="709">
        <v>33600</v>
      </c>
      <c r="B142" s="710" t="s">
        <v>928</v>
      </c>
      <c r="C142" s="711">
        <v>9.7339999999999996E-3</v>
      </c>
      <c r="D142" s="711">
        <v>9.7438999999999998E-3</v>
      </c>
      <c r="E142" s="708">
        <v>570399</v>
      </c>
      <c r="F142" s="712">
        <v>-605096</v>
      </c>
      <c r="G142" s="712">
        <v>-594942</v>
      </c>
      <c r="H142" s="712"/>
      <c r="I142" s="708">
        <v>163122</v>
      </c>
      <c r="J142" s="708">
        <v>130406</v>
      </c>
      <c r="K142" s="708">
        <v>0</v>
      </c>
      <c r="L142" s="712">
        <v>0</v>
      </c>
      <c r="M142" s="712"/>
      <c r="N142" s="708">
        <v>0</v>
      </c>
      <c r="O142" s="708">
        <v>0</v>
      </c>
      <c r="P142" s="708">
        <v>0</v>
      </c>
      <c r="Q142" s="712">
        <v>21801</v>
      </c>
      <c r="R142" s="712"/>
      <c r="S142" s="708">
        <v>316092</v>
      </c>
      <c r="T142" s="713">
        <v>-7267</v>
      </c>
      <c r="U142" s="713">
        <v>308825</v>
      </c>
    </row>
    <row r="143" spans="1:21" x14ac:dyDescent="0.25">
      <c r="A143" s="709">
        <v>33605</v>
      </c>
      <c r="B143" s="710" t="s">
        <v>929</v>
      </c>
      <c r="C143" s="711">
        <v>1.2463999999999999E-3</v>
      </c>
      <c r="D143" s="711">
        <v>1.3012E-3</v>
      </c>
      <c r="E143" s="708">
        <v>87643</v>
      </c>
      <c r="F143" s="712">
        <v>-80805</v>
      </c>
      <c r="G143" s="712">
        <v>-76180</v>
      </c>
      <c r="H143" s="712"/>
      <c r="I143" s="708">
        <v>20887</v>
      </c>
      <c r="J143" s="708">
        <v>16698</v>
      </c>
      <c r="K143" s="708">
        <v>0</v>
      </c>
      <c r="L143" s="712">
        <v>10656</v>
      </c>
      <c r="M143" s="712"/>
      <c r="N143" s="708">
        <v>0</v>
      </c>
      <c r="O143" s="708">
        <v>0</v>
      </c>
      <c r="P143" s="708">
        <v>0</v>
      </c>
      <c r="Q143" s="712">
        <v>0</v>
      </c>
      <c r="R143" s="712"/>
      <c r="S143" s="708">
        <v>40474</v>
      </c>
      <c r="T143" s="713">
        <v>3552</v>
      </c>
      <c r="U143" s="713">
        <v>44026</v>
      </c>
    </row>
    <row r="144" spans="1:21" x14ac:dyDescent="0.25">
      <c r="A144" s="709">
        <v>33700</v>
      </c>
      <c r="B144" s="710" t="s">
        <v>930</v>
      </c>
      <c r="C144" s="711">
        <v>6.6239999999999995E-4</v>
      </c>
      <c r="D144" s="711">
        <v>6.9439999999999997E-4</v>
      </c>
      <c r="E144" s="708">
        <v>41193</v>
      </c>
      <c r="F144" s="712">
        <v>-43122</v>
      </c>
      <c r="G144" s="712">
        <v>-40486</v>
      </c>
      <c r="H144" s="712"/>
      <c r="I144" s="708">
        <v>11100</v>
      </c>
      <c r="J144" s="708">
        <v>8874</v>
      </c>
      <c r="K144" s="708">
        <v>0</v>
      </c>
      <c r="L144" s="712">
        <v>1758</v>
      </c>
      <c r="M144" s="712"/>
      <c r="N144" s="708">
        <v>0</v>
      </c>
      <c r="O144" s="708">
        <v>0</v>
      </c>
      <c r="P144" s="708">
        <v>0</v>
      </c>
      <c r="Q144" s="712">
        <v>0</v>
      </c>
      <c r="R144" s="712"/>
      <c r="S144" s="708">
        <v>21510</v>
      </c>
      <c r="T144" s="713">
        <v>586</v>
      </c>
      <c r="U144" s="713">
        <v>22096</v>
      </c>
    </row>
    <row r="145" spans="1:21" x14ac:dyDescent="0.25">
      <c r="A145" s="709">
        <v>33800</v>
      </c>
      <c r="B145" s="710" t="s">
        <v>931</v>
      </c>
      <c r="C145" s="711">
        <v>5.1219999999999998E-4</v>
      </c>
      <c r="D145" s="711">
        <v>5.1650000000000003E-4</v>
      </c>
      <c r="E145" s="708">
        <v>31137</v>
      </c>
      <c r="F145" s="712">
        <v>-32075</v>
      </c>
      <c r="G145" s="712">
        <v>-31306</v>
      </c>
      <c r="H145" s="712"/>
      <c r="I145" s="708">
        <v>8583</v>
      </c>
      <c r="J145" s="708">
        <v>6862</v>
      </c>
      <c r="K145" s="708">
        <v>0</v>
      </c>
      <c r="L145" s="712">
        <v>0</v>
      </c>
      <c r="M145" s="712"/>
      <c r="N145" s="708">
        <v>0</v>
      </c>
      <c r="O145" s="708">
        <v>0</v>
      </c>
      <c r="P145" s="708">
        <v>0</v>
      </c>
      <c r="Q145" s="712">
        <v>129</v>
      </c>
      <c r="R145" s="712"/>
      <c r="S145" s="708">
        <v>16633</v>
      </c>
      <c r="T145" s="713">
        <v>-43</v>
      </c>
      <c r="U145" s="713">
        <v>16590</v>
      </c>
    </row>
    <row r="146" spans="1:21" x14ac:dyDescent="0.25">
      <c r="A146" s="709">
        <v>33900</v>
      </c>
      <c r="B146" s="710" t="s">
        <v>932</v>
      </c>
      <c r="C146" s="711">
        <v>2.5641000000000001E-3</v>
      </c>
      <c r="D146" s="711">
        <v>2.7112999999999998E-3</v>
      </c>
      <c r="E146" s="708">
        <v>160658</v>
      </c>
      <c r="F146" s="712">
        <v>-168372</v>
      </c>
      <c r="G146" s="712">
        <v>-156718</v>
      </c>
      <c r="H146" s="712"/>
      <c r="I146" s="708">
        <v>42969</v>
      </c>
      <c r="J146" s="708">
        <v>34351</v>
      </c>
      <c r="K146" s="708">
        <v>0</v>
      </c>
      <c r="L146" s="712">
        <v>8796</v>
      </c>
      <c r="M146" s="712"/>
      <c r="N146" s="708">
        <v>0</v>
      </c>
      <c r="O146" s="708">
        <v>0</v>
      </c>
      <c r="P146" s="708">
        <v>0</v>
      </c>
      <c r="Q146" s="712">
        <v>0</v>
      </c>
      <c r="R146" s="712"/>
      <c r="S146" s="708">
        <v>83264</v>
      </c>
      <c r="T146" s="713">
        <v>2932</v>
      </c>
      <c r="U146" s="713">
        <v>86196</v>
      </c>
    </row>
    <row r="147" spans="1:21" x14ac:dyDescent="0.25">
      <c r="A147" s="709">
        <v>34000</v>
      </c>
      <c r="B147" s="710" t="s">
        <v>933</v>
      </c>
      <c r="C147" s="711">
        <v>1.1677E-3</v>
      </c>
      <c r="D147" s="711">
        <v>1.1693000000000001E-3</v>
      </c>
      <c r="E147" s="708">
        <v>67652</v>
      </c>
      <c r="F147" s="712">
        <v>-72614</v>
      </c>
      <c r="G147" s="712">
        <v>-71370</v>
      </c>
      <c r="H147" s="712"/>
      <c r="I147" s="708">
        <v>19568</v>
      </c>
      <c r="J147" s="708">
        <v>15644</v>
      </c>
      <c r="K147" s="708">
        <v>0</v>
      </c>
      <c r="L147" s="712">
        <v>0</v>
      </c>
      <c r="M147" s="712"/>
      <c r="N147" s="708">
        <v>0</v>
      </c>
      <c r="O147" s="708">
        <v>0</v>
      </c>
      <c r="P147" s="708">
        <v>0</v>
      </c>
      <c r="Q147" s="712">
        <v>3176</v>
      </c>
      <c r="R147" s="712"/>
      <c r="S147" s="708">
        <v>37919</v>
      </c>
      <c r="T147" s="713">
        <v>-1059</v>
      </c>
      <c r="U147" s="713">
        <v>36860</v>
      </c>
    </row>
    <row r="148" spans="1:21" x14ac:dyDescent="0.25">
      <c r="A148" s="714">
        <v>34100</v>
      </c>
      <c r="B148" s="710" t="s">
        <v>934</v>
      </c>
      <c r="C148" s="711">
        <v>2.61458E-2</v>
      </c>
      <c r="D148" s="711">
        <v>2.67586E-2</v>
      </c>
      <c r="E148" s="708">
        <v>1513304</v>
      </c>
      <c r="F148" s="712">
        <v>-1661709</v>
      </c>
      <c r="G148" s="712">
        <v>-1598031</v>
      </c>
      <c r="H148" s="712"/>
      <c r="I148" s="708">
        <v>438151</v>
      </c>
      <c r="J148" s="708">
        <v>350275</v>
      </c>
      <c r="K148" s="708">
        <v>0</v>
      </c>
      <c r="L148" s="712">
        <v>0</v>
      </c>
      <c r="M148" s="712"/>
      <c r="N148" s="708">
        <v>0</v>
      </c>
      <c r="O148" s="708">
        <v>0</v>
      </c>
      <c r="P148" s="708">
        <v>0</v>
      </c>
      <c r="Q148" s="712">
        <v>45358</v>
      </c>
      <c r="R148" s="712"/>
      <c r="S148" s="708">
        <v>849033</v>
      </c>
      <c r="T148" s="713">
        <v>-15119</v>
      </c>
      <c r="U148" s="713">
        <v>833913</v>
      </c>
    </row>
    <row r="149" spans="1:21" x14ac:dyDescent="0.25">
      <c r="A149" s="714">
        <v>34105</v>
      </c>
      <c r="B149" s="710" t="s">
        <v>935</v>
      </c>
      <c r="C149" s="711">
        <v>2.2208000000000002E-3</v>
      </c>
      <c r="D149" s="711">
        <v>2.2068000000000001E-3</v>
      </c>
      <c r="E149" s="708">
        <v>147116</v>
      </c>
      <c r="F149" s="712">
        <v>-137042</v>
      </c>
      <c r="G149" s="712">
        <v>-135735</v>
      </c>
      <c r="H149" s="712"/>
      <c r="I149" s="708">
        <v>37216</v>
      </c>
      <c r="J149" s="708">
        <v>29752</v>
      </c>
      <c r="K149" s="708">
        <v>0</v>
      </c>
      <c r="L149" s="712">
        <v>7004</v>
      </c>
      <c r="M149" s="712"/>
      <c r="N149" s="708">
        <v>0</v>
      </c>
      <c r="O149" s="708">
        <v>0</v>
      </c>
      <c r="P149" s="708">
        <v>0</v>
      </c>
      <c r="Q149" s="712">
        <v>0</v>
      </c>
      <c r="R149" s="712"/>
      <c r="S149" s="708">
        <v>72116</v>
      </c>
      <c r="T149" s="713">
        <v>2335</v>
      </c>
      <c r="U149" s="713">
        <v>74451</v>
      </c>
    </row>
    <row r="150" spans="1:21" x14ac:dyDescent="0.25">
      <c r="A150" s="714">
        <v>34200</v>
      </c>
      <c r="B150" s="710" t="s">
        <v>936</v>
      </c>
      <c r="C150" s="711">
        <v>8.3549999999999998E-4</v>
      </c>
      <c r="D150" s="711">
        <v>9.7099999999999997E-4</v>
      </c>
      <c r="E150" s="708">
        <v>56491</v>
      </c>
      <c r="F150" s="712">
        <v>-60299</v>
      </c>
      <c r="G150" s="712">
        <v>-51065.760000000002</v>
      </c>
      <c r="H150" s="712"/>
      <c r="I150" s="708">
        <v>14001</v>
      </c>
      <c r="J150" s="708">
        <v>11193</v>
      </c>
      <c r="K150" s="708">
        <v>0</v>
      </c>
      <c r="L150" s="712">
        <v>10049</v>
      </c>
      <c r="M150" s="712"/>
      <c r="N150" s="708">
        <v>0</v>
      </c>
      <c r="O150" s="708">
        <v>0</v>
      </c>
      <c r="P150" s="708">
        <v>0</v>
      </c>
      <c r="Q150" s="712">
        <v>0</v>
      </c>
      <c r="R150" s="712"/>
      <c r="S150" s="708">
        <v>27131</v>
      </c>
      <c r="T150" s="713">
        <v>3350</v>
      </c>
      <c r="U150" s="713">
        <v>30481</v>
      </c>
    </row>
    <row r="151" spans="1:21" x14ac:dyDescent="0.25">
      <c r="A151" s="709">
        <v>34205</v>
      </c>
      <c r="B151" s="710" t="s">
        <v>937</v>
      </c>
      <c r="C151" s="711">
        <v>4.0170000000000001E-4</v>
      </c>
      <c r="D151" s="711">
        <v>3.9360000000000003E-4</v>
      </c>
      <c r="E151" s="708">
        <v>27731</v>
      </c>
      <c r="F151" s="712">
        <v>-24443</v>
      </c>
      <c r="G151" s="712">
        <v>-24552</v>
      </c>
      <c r="H151" s="712"/>
      <c r="I151" s="708">
        <v>6732</v>
      </c>
      <c r="J151" s="708">
        <v>5382</v>
      </c>
      <c r="K151" s="708">
        <v>0</v>
      </c>
      <c r="L151" s="712">
        <v>1848</v>
      </c>
      <c r="M151" s="712"/>
      <c r="N151" s="708">
        <v>0</v>
      </c>
      <c r="O151" s="708">
        <v>0</v>
      </c>
      <c r="P151" s="708">
        <v>0</v>
      </c>
      <c r="Q151" s="712">
        <v>0</v>
      </c>
      <c r="R151" s="712"/>
      <c r="S151" s="708">
        <v>13044</v>
      </c>
      <c r="T151" s="713">
        <v>616</v>
      </c>
      <c r="U151" s="713">
        <v>13660</v>
      </c>
    </row>
    <row r="152" spans="1:21" x14ac:dyDescent="0.25">
      <c r="A152" s="709">
        <v>34220</v>
      </c>
      <c r="B152" s="710" t="s">
        <v>938</v>
      </c>
      <c r="C152" s="711">
        <v>9.4919999999999998E-4</v>
      </c>
      <c r="D152" s="711">
        <v>9.3530000000000002E-4</v>
      </c>
      <c r="E152" s="708">
        <v>61558</v>
      </c>
      <c r="F152" s="712">
        <v>-58082</v>
      </c>
      <c r="G152" s="712">
        <v>-58015</v>
      </c>
      <c r="H152" s="712"/>
      <c r="I152" s="708">
        <v>15907</v>
      </c>
      <c r="J152" s="708">
        <v>12716</v>
      </c>
      <c r="K152" s="708">
        <v>0</v>
      </c>
      <c r="L152" s="712">
        <v>1634</v>
      </c>
      <c r="M152" s="712"/>
      <c r="N152" s="708">
        <v>0</v>
      </c>
      <c r="O152" s="708">
        <v>0</v>
      </c>
      <c r="P152" s="708">
        <v>0</v>
      </c>
      <c r="Q152" s="712">
        <v>0</v>
      </c>
      <c r="R152" s="712"/>
      <c r="S152" s="708">
        <v>30823</v>
      </c>
      <c r="T152" s="713">
        <v>545</v>
      </c>
      <c r="U152" s="713">
        <v>31368</v>
      </c>
    </row>
    <row r="153" spans="1:21" x14ac:dyDescent="0.25">
      <c r="A153" s="709">
        <v>34230</v>
      </c>
      <c r="B153" s="710" t="s">
        <v>939</v>
      </c>
      <c r="C153" s="711">
        <v>3.8259999999999998E-4</v>
      </c>
      <c r="D153" s="711">
        <v>4.3590000000000002E-4</v>
      </c>
      <c r="E153" s="708">
        <v>24011</v>
      </c>
      <c r="F153" s="712">
        <v>-27069</v>
      </c>
      <c r="G153" s="712">
        <v>-23385</v>
      </c>
      <c r="H153" s="712"/>
      <c r="I153" s="708">
        <v>6412</v>
      </c>
      <c r="J153" s="708">
        <v>5126</v>
      </c>
      <c r="K153" s="708">
        <v>0</v>
      </c>
      <c r="L153" s="712">
        <v>2801</v>
      </c>
      <c r="M153" s="712"/>
      <c r="N153" s="708">
        <v>0</v>
      </c>
      <c r="O153" s="708">
        <v>0</v>
      </c>
      <c r="P153" s="708">
        <v>0</v>
      </c>
      <c r="Q153" s="712">
        <v>0</v>
      </c>
      <c r="R153" s="712"/>
      <c r="S153" s="708">
        <v>12424</v>
      </c>
      <c r="T153" s="713">
        <v>934</v>
      </c>
      <c r="U153" s="713">
        <v>13358</v>
      </c>
    </row>
    <row r="154" spans="1:21" x14ac:dyDescent="0.25">
      <c r="A154" s="709">
        <v>34300</v>
      </c>
      <c r="B154" s="710" t="s">
        <v>940</v>
      </c>
      <c r="C154" s="711">
        <v>6.3657000000000002E-3</v>
      </c>
      <c r="D154" s="711">
        <v>6.3845999999999998E-3</v>
      </c>
      <c r="E154" s="708">
        <v>363947</v>
      </c>
      <c r="F154" s="712">
        <v>-396484</v>
      </c>
      <c r="G154" s="712">
        <v>-389072</v>
      </c>
      <c r="H154" s="712"/>
      <c r="I154" s="708">
        <v>106676</v>
      </c>
      <c r="J154" s="708">
        <v>85281</v>
      </c>
      <c r="K154" s="708">
        <v>0</v>
      </c>
      <c r="L154" s="712">
        <v>0</v>
      </c>
      <c r="M154" s="712"/>
      <c r="N154" s="708">
        <v>0</v>
      </c>
      <c r="O154" s="708">
        <v>0</v>
      </c>
      <c r="P154" s="708">
        <v>0</v>
      </c>
      <c r="Q154" s="712">
        <v>20484</v>
      </c>
      <c r="R154" s="712"/>
      <c r="S154" s="708">
        <v>206713</v>
      </c>
      <c r="T154" s="713">
        <v>-6828</v>
      </c>
      <c r="U154" s="713">
        <v>199885</v>
      </c>
    </row>
    <row r="155" spans="1:21" x14ac:dyDescent="0.25">
      <c r="A155" s="709">
        <v>34400</v>
      </c>
      <c r="B155" s="710" t="s">
        <v>941</v>
      </c>
      <c r="C155" s="711">
        <v>2.4949E-3</v>
      </c>
      <c r="D155" s="711">
        <v>2.6771999999999998E-3</v>
      </c>
      <c r="E155" s="708">
        <v>147297</v>
      </c>
      <c r="F155" s="712">
        <v>-166254</v>
      </c>
      <c r="G155" s="712">
        <v>-152488</v>
      </c>
      <c r="H155" s="712"/>
      <c r="I155" s="708">
        <v>41810</v>
      </c>
      <c r="J155" s="708">
        <v>33424</v>
      </c>
      <c r="K155" s="708">
        <v>0</v>
      </c>
      <c r="L155" s="712">
        <v>3609</v>
      </c>
      <c r="M155" s="712"/>
      <c r="N155" s="708">
        <v>0</v>
      </c>
      <c r="O155" s="708">
        <v>0</v>
      </c>
      <c r="P155" s="708">
        <v>0</v>
      </c>
      <c r="Q155" s="712">
        <v>0</v>
      </c>
      <c r="R155" s="712"/>
      <c r="S155" s="708">
        <v>81017</v>
      </c>
      <c r="T155" s="713">
        <v>1203</v>
      </c>
      <c r="U155" s="713">
        <v>82220</v>
      </c>
    </row>
    <row r="156" spans="1:21" x14ac:dyDescent="0.25">
      <c r="A156" s="709">
        <v>34405</v>
      </c>
      <c r="B156" s="710" t="s">
        <v>942</v>
      </c>
      <c r="C156" s="711">
        <v>4.9669999999999998E-4</v>
      </c>
      <c r="D156" s="711">
        <v>5.3189999999999997E-4</v>
      </c>
      <c r="E156" s="708">
        <v>31269</v>
      </c>
      <c r="F156" s="712">
        <v>-33031</v>
      </c>
      <c r="G156" s="712">
        <v>-30358</v>
      </c>
      <c r="H156" s="712"/>
      <c r="I156" s="708">
        <v>8324</v>
      </c>
      <c r="J156" s="708">
        <v>6654</v>
      </c>
      <c r="K156" s="708">
        <v>0</v>
      </c>
      <c r="L156" s="712">
        <v>2126</v>
      </c>
      <c r="M156" s="712"/>
      <c r="N156" s="708">
        <v>0</v>
      </c>
      <c r="O156" s="708">
        <v>0</v>
      </c>
      <c r="P156" s="708">
        <v>0</v>
      </c>
      <c r="Q156" s="712">
        <v>0</v>
      </c>
      <c r="R156" s="712"/>
      <c r="S156" s="708">
        <v>16129</v>
      </c>
      <c r="T156" s="713">
        <v>709</v>
      </c>
      <c r="U156" s="713">
        <v>16838</v>
      </c>
    </row>
    <row r="157" spans="1:21" x14ac:dyDescent="0.25">
      <c r="A157" s="709">
        <v>34500</v>
      </c>
      <c r="B157" s="710" t="s">
        <v>943</v>
      </c>
      <c r="C157" s="711">
        <v>4.4920000000000003E-3</v>
      </c>
      <c r="D157" s="711">
        <v>4.5821000000000004E-3</v>
      </c>
      <c r="E157" s="708">
        <v>266727</v>
      </c>
      <c r="F157" s="712">
        <v>-284548</v>
      </c>
      <c r="G157" s="712">
        <v>-274551</v>
      </c>
      <c r="H157" s="712"/>
      <c r="I157" s="708">
        <v>75277</v>
      </c>
      <c r="J157" s="708">
        <v>60179</v>
      </c>
      <c r="K157" s="708">
        <v>0</v>
      </c>
      <c r="L157" s="712">
        <v>0</v>
      </c>
      <c r="M157" s="712"/>
      <c r="N157" s="708">
        <v>0</v>
      </c>
      <c r="O157" s="708">
        <v>0</v>
      </c>
      <c r="P157" s="708">
        <v>0</v>
      </c>
      <c r="Q157" s="712">
        <v>3451</v>
      </c>
      <c r="R157" s="712"/>
      <c r="S157" s="708">
        <v>145869</v>
      </c>
      <c r="T157" s="713">
        <v>-1150</v>
      </c>
      <c r="U157" s="713">
        <v>144718</v>
      </c>
    </row>
    <row r="158" spans="1:21" x14ac:dyDescent="0.25">
      <c r="A158" s="709">
        <v>34501</v>
      </c>
      <c r="B158" s="710" t="s">
        <v>944</v>
      </c>
      <c r="C158" s="711">
        <v>5.5300000000000002E-5</v>
      </c>
      <c r="D158" s="711">
        <v>5.5899999999999997E-5</v>
      </c>
      <c r="E158" s="708">
        <v>3062</v>
      </c>
      <c r="F158" s="712">
        <v>-3471</v>
      </c>
      <c r="G158" s="712">
        <v>-3380</v>
      </c>
      <c r="H158" s="712"/>
      <c r="I158" s="708">
        <v>927</v>
      </c>
      <c r="J158" s="708">
        <v>741</v>
      </c>
      <c r="K158" s="708">
        <v>0</v>
      </c>
      <c r="L158" s="712">
        <v>0</v>
      </c>
      <c r="M158" s="712"/>
      <c r="N158" s="708">
        <v>0</v>
      </c>
      <c r="O158" s="708">
        <v>0</v>
      </c>
      <c r="P158" s="708">
        <v>0</v>
      </c>
      <c r="Q158" s="712">
        <v>232</v>
      </c>
      <c r="R158" s="712"/>
      <c r="S158" s="708">
        <v>1796</v>
      </c>
      <c r="T158" s="713">
        <v>-77</v>
      </c>
      <c r="U158" s="713">
        <v>1718</v>
      </c>
    </row>
    <row r="159" spans="1:21" x14ac:dyDescent="0.25">
      <c r="A159" s="709">
        <v>34505</v>
      </c>
      <c r="B159" s="710" t="s">
        <v>945</v>
      </c>
      <c r="C159" s="711">
        <v>5.7729999999999999E-4</v>
      </c>
      <c r="D159" s="711">
        <v>5.5340000000000001E-4</v>
      </c>
      <c r="E159" s="708">
        <v>39360</v>
      </c>
      <c r="F159" s="712">
        <v>-34366</v>
      </c>
      <c r="G159" s="712">
        <v>-35285</v>
      </c>
      <c r="H159" s="712"/>
      <c r="I159" s="708">
        <v>9674</v>
      </c>
      <c r="J159" s="708">
        <v>7734</v>
      </c>
      <c r="K159" s="708">
        <v>0</v>
      </c>
      <c r="L159" s="712">
        <v>1715</v>
      </c>
      <c r="M159" s="712"/>
      <c r="N159" s="708">
        <v>0</v>
      </c>
      <c r="O159" s="708">
        <v>0</v>
      </c>
      <c r="P159" s="708">
        <v>0</v>
      </c>
      <c r="Q159" s="712">
        <v>0</v>
      </c>
      <c r="R159" s="712"/>
      <c r="S159" s="708">
        <v>18747</v>
      </c>
      <c r="T159" s="713">
        <v>572</v>
      </c>
      <c r="U159" s="713">
        <v>19318</v>
      </c>
    </row>
    <row r="160" spans="1:21" x14ac:dyDescent="0.25">
      <c r="A160" s="709">
        <v>34600</v>
      </c>
      <c r="B160" s="710" t="s">
        <v>946</v>
      </c>
      <c r="C160" s="711">
        <v>1.0660999999999999E-3</v>
      </c>
      <c r="D160" s="711">
        <v>1.0751999999999999E-3</v>
      </c>
      <c r="E160" s="708">
        <v>67895</v>
      </c>
      <c r="F160" s="712">
        <v>-66770</v>
      </c>
      <c r="G160" s="712">
        <v>-65160</v>
      </c>
      <c r="H160" s="712"/>
      <c r="I160" s="708">
        <v>17866</v>
      </c>
      <c r="J160" s="708">
        <v>14283</v>
      </c>
      <c r="K160" s="708">
        <v>0</v>
      </c>
      <c r="L160" s="712">
        <v>2053</v>
      </c>
      <c r="M160" s="712"/>
      <c r="N160" s="708">
        <v>0</v>
      </c>
      <c r="O160" s="708">
        <v>0</v>
      </c>
      <c r="P160" s="708">
        <v>0</v>
      </c>
      <c r="Q160" s="712">
        <v>0</v>
      </c>
      <c r="R160" s="712"/>
      <c r="S160" s="708">
        <v>34619</v>
      </c>
      <c r="T160" s="713">
        <v>684</v>
      </c>
      <c r="U160" s="713">
        <v>35304</v>
      </c>
    </row>
    <row r="161" spans="1:21" x14ac:dyDescent="0.25">
      <c r="A161" s="709">
        <v>34605</v>
      </c>
      <c r="B161" s="710" t="s">
        <v>947</v>
      </c>
      <c r="C161" s="711">
        <v>2.1880000000000001E-4</v>
      </c>
      <c r="D161" s="711">
        <v>2.4110000000000001E-4</v>
      </c>
      <c r="E161" s="708">
        <v>14564</v>
      </c>
      <c r="F161" s="712">
        <v>-14972</v>
      </c>
      <c r="G161" s="712">
        <v>-13373</v>
      </c>
      <c r="H161" s="712"/>
      <c r="I161" s="708">
        <v>3667</v>
      </c>
      <c r="J161" s="708">
        <v>2931</v>
      </c>
      <c r="K161" s="708">
        <v>0</v>
      </c>
      <c r="L161" s="712">
        <v>1845</v>
      </c>
      <c r="M161" s="712"/>
      <c r="N161" s="708">
        <v>0</v>
      </c>
      <c r="O161" s="708">
        <v>0</v>
      </c>
      <c r="P161" s="708">
        <v>0</v>
      </c>
      <c r="Q161" s="712">
        <v>0</v>
      </c>
      <c r="R161" s="712"/>
      <c r="S161" s="708">
        <v>7105</v>
      </c>
      <c r="T161" s="713">
        <v>615</v>
      </c>
      <c r="U161" s="713">
        <v>7720</v>
      </c>
    </row>
    <row r="162" spans="1:21" x14ac:dyDescent="0.25">
      <c r="A162" s="709">
        <v>34700</v>
      </c>
      <c r="B162" s="710" t="s">
        <v>948</v>
      </c>
      <c r="C162" s="711">
        <v>2.9867000000000001E-3</v>
      </c>
      <c r="D162" s="711">
        <v>3.0238000000000001E-3</v>
      </c>
      <c r="E162" s="708">
        <v>161601</v>
      </c>
      <c r="F162" s="712">
        <v>-187778</v>
      </c>
      <c r="G162" s="712">
        <v>-182547</v>
      </c>
      <c r="H162" s="712"/>
      <c r="I162" s="708">
        <v>50051</v>
      </c>
      <c r="J162" s="708">
        <v>40013</v>
      </c>
      <c r="K162" s="708">
        <v>0</v>
      </c>
      <c r="L162" s="712">
        <v>0</v>
      </c>
      <c r="M162" s="712"/>
      <c r="N162" s="708">
        <v>0</v>
      </c>
      <c r="O162" s="708">
        <v>0</v>
      </c>
      <c r="P162" s="708">
        <v>0</v>
      </c>
      <c r="Q162" s="712">
        <v>15164</v>
      </c>
      <c r="R162" s="712"/>
      <c r="S162" s="708">
        <v>96987</v>
      </c>
      <c r="T162" s="713">
        <v>-5055</v>
      </c>
      <c r="U162" s="713">
        <v>91932</v>
      </c>
    </row>
    <row r="163" spans="1:21" x14ac:dyDescent="0.25">
      <c r="A163" s="709">
        <v>34800</v>
      </c>
      <c r="B163" s="710" t="s">
        <v>949</v>
      </c>
      <c r="C163" s="711">
        <v>3.2909999999999998E-4</v>
      </c>
      <c r="D163" s="711">
        <v>3.2220000000000003E-4</v>
      </c>
      <c r="E163" s="708">
        <v>21832</v>
      </c>
      <c r="F163" s="712">
        <v>-20009</v>
      </c>
      <c r="G163" s="712">
        <v>-20115</v>
      </c>
      <c r="H163" s="712"/>
      <c r="I163" s="708">
        <v>5515</v>
      </c>
      <c r="J163" s="708">
        <v>4409</v>
      </c>
      <c r="K163" s="708">
        <v>0</v>
      </c>
      <c r="L163" s="712">
        <v>836</v>
      </c>
      <c r="M163" s="712"/>
      <c r="N163" s="708">
        <v>0</v>
      </c>
      <c r="O163" s="708">
        <v>0</v>
      </c>
      <c r="P163" s="708">
        <v>0</v>
      </c>
      <c r="Q163" s="712">
        <v>0</v>
      </c>
      <c r="R163" s="712"/>
      <c r="S163" s="708">
        <v>10687</v>
      </c>
      <c r="T163" s="713">
        <v>279</v>
      </c>
      <c r="U163" s="713">
        <v>10966</v>
      </c>
    </row>
    <row r="164" spans="1:21" x14ac:dyDescent="0.25">
      <c r="A164" s="709">
        <v>34900</v>
      </c>
      <c r="B164" s="710" t="s">
        <v>1551</v>
      </c>
      <c r="C164" s="711">
        <v>6.4346000000000004E-3</v>
      </c>
      <c r="D164" s="711">
        <v>6.5344000000000001E-3</v>
      </c>
      <c r="E164" s="708">
        <v>389780</v>
      </c>
      <c r="F164" s="712">
        <v>-405786</v>
      </c>
      <c r="G164" s="712">
        <v>-393283</v>
      </c>
      <c r="H164" s="712"/>
      <c r="I164" s="708">
        <v>107831</v>
      </c>
      <c r="J164" s="708">
        <v>86204</v>
      </c>
      <c r="K164" s="708">
        <v>0</v>
      </c>
      <c r="L164" s="712">
        <v>0</v>
      </c>
      <c r="M164" s="712"/>
      <c r="N164" s="708">
        <v>0</v>
      </c>
      <c r="O164" s="708">
        <v>0</v>
      </c>
      <c r="P164" s="708">
        <v>0</v>
      </c>
      <c r="Q164" s="712">
        <v>527</v>
      </c>
      <c r="R164" s="712"/>
      <c r="S164" s="708">
        <v>208951</v>
      </c>
      <c r="T164" s="713">
        <v>-176</v>
      </c>
      <c r="U164" s="713">
        <v>208775</v>
      </c>
    </row>
    <row r="165" spans="1:21" x14ac:dyDescent="0.25">
      <c r="A165" s="709">
        <v>34901</v>
      </c>
      <c r="B165" s="710" t="s">
        <v>1552</v>
      </c>
      <c r="C165" s="711">
        <v>1.593E-4</v>
      </c>
      <c r="D165" s="711">
        <v>1.6890000000000001E-4</v>
      </c>
      <c r="E165" s="708">
        <v>8350</v>
      </c>
      <c r="F165" s="712">
        <v>-10489</v>
      </c>
      <c r="G165" s="712">
        <v>-9736</v>
      </c>
      <c r="H165" s="712"/>
      <c r="I165" s="708">
        <v>2670</v>
      </c>
      <c r="J165" s="708">
        <v>2134</v>
      </c>
      <c r="K165" s="708">
        <v>0</v>
      </c>
      <c r="L165" s="712">
        <v>0</v>
      </c>
      <c r="M165" s="712"/>
      <c r="N165" s="708">
        <v>0</v>
      </c>
      <c r="O165" s="708">
        <v>0</v>
      </c>
      <c r="P165" s="708">
        <v>0</v>
      </c>
      <c r="Q165" s="712">
        <v>656</v>
      </c>
      <c r="R165" s="712"/>
      <c r="S165" s="708">
        <v>5173</v>
      </c>
      <c r="T165" s="713">
        <v>-219</v>
      </c>
      <c r="U165" s="713">
        <v>4954</v>
      </c>
    </row>
    <row r="166" spans="1:21" x14ac:dyDescent="0.25">
      <c r="A166" s="709">
        <v>34903</v>
      </c>
      <c r="B166" s="710" t="s">
        <v>952</v>
      </c>
      <c r="C166" s="711">
        <v>1.01E-5</v>
      </c>
      <c r="D166" s="711">
        <v>1.0900000000000001E-5</v>
      </c>
      <c r="E166" s="708">
        <v>982</v>
      </c>
      <c r="F166" s="712">
        <v>-677</v>
      </c>
      <c r="G166" s="712">
        <v>-617</v>
      </c>
      <c r="H166" s="712"/>
      <c r="I166" s="708">
        <v>169</v>
      </c>
      <c r="J166" s="708">
        <v>135</v>
      </c>
      <c r="K166" s="708">
        <v>0</v>
      </c>
      <c r="L166" s="712">
        <v>306</v>
      </c>
      <c r="M166" s="712"/>
      <c r="N166" s="708">
        <v>0</v>
      </c>
      <c r="O166" s="708">
        <v>0</v>
      </c>
      <c r="P166" s="708">
        <v>0</v>
      </c>
      <c r="Q166" s="712">
        <v>0</v>
      </c>
      <c r="R166" s="712"/>
      <c r="S166" s="708">
        <v>328</v>
      </c>
      <c r="T166" s="713">
        <v>102</v>
      </c>
      <c r="U166" s="713">
        <v>430</v>
      </c>
    </row>
    <row r="167" spans="1:21" x14ac:dyDescent="0.25">
      <c r="A167" s="709">
        <v>34905</v>
      </c>
      <c r="B167" s="710" t="s">
        <v>953</v>
      </c>
      <c r="C167" s="711">
        <v>6.3719999999999998E-4</v>
      </c>
      <c r="D167" s="711">
        <v>6.3849999999999996E-4</v>
      </c>
      <c r="E167" s="708">
        <v>39702</v>
      </c>
      <c r="F167" s="712">
        <v>-39651</v>
      </c>
      <c r="G167" s="712">
        <v>-38946</v>
      </c>
      <c r="H167" s="712"/>
      <c r="I167" s="708">
        <v>10678</v>
      </c>
      <c r="J167" s="708">
        <v>8537</v>
      </c>
      <c r="K167" s="708">
        <v>0</v>
      </c>
      <c r="L167" s="712">
        <v>375</v>
      </c>
      <c r="M167" s="712"/>
      <c r="N167" s="708">
        <v>0</v>
      </c>
      <c r="O167" s="708">
        <v>0</v>
      </c>
      <c r="P167" s="708">
        <v>0</v>
      </c>
      <c r="Q167" s="712">
        <v>0</v>
      </c>
      <c r="R167" s="712"/>
      <c r="S167" s="708">
        <v>20692</v>
      </c>
      <c r="T167" s="713">
        <v>125</v>
      </c>
      <c r="U167" s="713">
        <v>20817</v>
      </c>
    </row>
    <row r="168" spans="1:21" x14ac:dyDescent="0.25">
      <c r="A168" s="709">
        <v>34910</v>
      </c>
      <c r="B168" s="710" t="s">
        <v>954</v>
      </c>
      <c r="C168" s="711">
        <v>2.0162000000000001E-3</v>
      </c>
      <c r="D168" s="711">
        <v>2.0658E-3</v>
      </c>
      <c r="E168" s="708">
        <v>114987</v>
      </c>
      <c r="F168" s="712">
        <v>-128286</v>
      </c>
      <c r="G168" s="712">
        <v>-123230</v>
      </c>
      <c r="H168" s="712"/>
      <c r="I168" s="708">
        <v>33787</v>
      </c>
      <c r="J168" s="708">
        <v>27011</v>
      </c>
      <c r="K168" s="708">
        <v>0</v>
      </c>
      <c r="L168" s="712">
        <v>0</v>
      </c>
      <c r="M168" s="712"/>
      <c r="N168" s="708">
        <v>0</v>
      </c>
      <c r="O168" s="708">
        <v>0</v>
      </c>
      <c r="P168" s="708">
        <v>0</v>
      </c>
      <c r="Q168" s="712">
        <v>4671</v>
      </c>
      <c r="R168" s="712"/>
      <c r="S168" s="708">
        <v>65472</v>
      </c>
      <c r="T168" s="713">
        <v>-1557</v>
      </c>
      <c r="U168" s="713">
        <v>63915</v>
      </c>
    </row>
    <row r="169" spans="1:21" x14ac:dyDescent="0.25">
      <c r="A169" s="709">
        <v>35000</v>
      </c>
      <c r="B169" s="710" t="s">
        <v>955</v>
      </c>
      <c r="C169" s="711">
        <v>1.3412999999999999E-3</v>
      </c>
      <c r="D169" s="711">
        <v>1.4005999999999999E-3</v>
      </c>
      <c r="E169" s="708">
        <v>77855</v>
      </c>
      <c r="F169" s="712">
        <v>-86977</v>
      </c>
      <c r="G169" s="712">
        <v>-81980</v>
      </c>
      <c r="H169" s="712"/>
      <c r="I169" s="708">
        <v>22478</v>
      </c>
      <c r="J169" s="708">
        <v>17969</v>
      </c>
      <c r="K169" s="708">
        <v>0</v>
      </c>
      <c r="L169" s="712">
        <v>0</v>
      </c>
      <c r="M169" s="712"/>
      <c r="N169" s="708">
        <v>0</v>
      </c>
      <c r="O169" s="708">
        <v>0</v>
      </c>
      <c r="P169" s="708">
        <v>0</v>
      </c>
      <c r="Q169" s="712">
        <v>863</v>
      </c>
      <c r="R169" s="712"/>
      <c r="S169" s="708">
        <v>43556</v>
      </c>
      <c r="T169" s="713">
        <v>-288</v>
      </c>
      <c r="U169" s="713">
        <v>43268</v>
      </c>
    </row>
    <row r="170" spans="1:21" x14ac:dyDescent="0.25">
      <c r="A170" s="709">
        <v>35005</v>
      </c>
      <c r="B170" s="710" t="s">
        <v>956</v>
      </c>
      <c r="C170" s="711">
        <v>6.1209999999999997E-4</v>
      </c>
      <c r="D170" s="711">
        <v>6.2089999999999997E-4</v>
      </c>
      <c r="E170" s="708">
        <v>39300</v>
      </c>
      <c r="F170" s="712">
        <v>-38558</v>
      </c>
      <c r="G170" s="712">
        <v>-37412</v>
      </c>
      <c r="H170" s="712"/>
      <c r="I170" s="708">
        <v>10258</v>
      </c>
      <c r="J170" s="708">
        <v>8200</v>
      </c>
      <c r="K170" s="708">
        <v>0</v>
      </c>
      <c r="L170" s="712">
        <v>1584</v>
      </c>
      <c r="M170" s="712"/>
      <c r="N170" s="708">
        <v>0</v>
      </c>
      <c r="O170" s="708">
        <v>0</v>
      </c>
      <c r="P170" s="708">
        <v>0</v>
      </c>
      <c r="Q170" s="712">
        <v>0</v>
      </c>
      <c r="R170" s="712"/>
      <c r="S170" s="708">
        <v>19877</v>
      </c>
      <c r="T170" s="713">
        <v>528</v>
      </c>
      <c r="U170" s="713">
        <v>20405</v>
      </c>
    </row>
    <row r="171" spans="1:21" x14ac:dyDescent="0.25">
      <c r="A171" s="709">
        <v>35100</v>
      </c>
      <c r="B171" s="710" t="s">
        <v>957</v>
      </c>
      <c r="C171" s="711">
        <v>1.17844E-2</v>
      </c>
      <c r="D171" s="711">
        <v>1.16682E-2</v>
      </c>
      <c r="E171" s="708">
        <v>663328</v>
      </c>
      <c r="F171" s="712">
        <v>-724595</v>
      </c>
      <c r="G171" s="712">
        <v>-720263</v>
      </c>
      <c r="H171" s="712"/>
      <c r="I171" s="708">
        <v>197483</v>
      </c>
      <c r="J171" s="708">
        <v>157876</v>
      </c>
      <c r="K171" s="708">
        <v>0</v>
      </c>
      <c r="L171" s="712">
        <v>0</v>
      </c>
      <c r="M171" s="712"/>
      <c r="N171" s="708">
        <v>0</v>
      </c>
      <c r="O171" s="708">
        <v>0</v>
      </c>
      <c r="P171" s="708">
        <v>0</v>
      </c>
      <c r="Q171" s="712">
        <v>52780</v>
      </c>
      <c r="R171" s="712"/>
      <c r="S171" s="708">
        <v>382675</v>
      </c>
      <c r="T171" s="713">
        <v>-17593</v>
      </c>
      <c r="U171" s="713">
        <v>365082</v>
      </c>
    </row>
    <row r="172" spans="1:21" x14ac:dyDescent="0.25">
      <c r="A172" s="709">
        <v>35105</v>
      </c>
      <c r="B172" s="710" t="s">
        <v>958</v>
      </c>
      <c r="C172" s="711">
        <v>1.0185000000000001E-3</v>
      </c>
      <c r="D172" s="711">
        <v>1.0434999999999999E-3</v>
      </c>
      <c r="E172" s="708">
        <v>61205</v>
      </c>
      <c r="F172" s="712">
        <v>-64801</v>
      </c>
      <c r="G172" s="712">
        <v>-62251</v>
      </c>
      <c r="H172" s="712"/>
      <c r="I172" s="708">
        <v>17068</v>
      </c>
      <c r="J172" s="708">
        <v>13645</v>
      </c>
      <c r="K172" s="708">
        <v>0</v>
      </c>
      <c r="L172" s="712">
        <v>0</v>
      </c>
      <c r="M172" s="712"/>
      <c r="N172" s="708">
        <v>0</v>
      </c>
      <c r="O172" s="708">
        <v>0</v>
      </c>
      <c r="P172" s="708">
        <v>0</v>
      </c>
      <c r="Q172" s="712">
        <v>23</v>
      </c>
      <c r="R172" s="712"/>
      <c r="S172" s="708">
        <v>33074</v>
      </c>
      <c r="T172" s="713">
        <v>-8</v>
      </c>
      <c r="U172" s="713">
        <v>33066</v>
      </c>
    </row>
    <row r="173" spans="1:21" x14ac:dyDescent="0.25">
      <c r="A173" s="709">
        <v>35106</v>
      </c>
      <c r="B173" s="710" t="s">
        <v>959</v>
      </c>
      <c r="C173" s="711">
        <v>2.5569999999999998E-4</v>
      </c>
      <c r="D173" s="711">
        <v>2.7090000000000003E-4</v>
      </c>
      <c r="E173" s="708">
        <v>13107</v>
      </c>
      <c r="F173" s="712">
        <v>-16823</v>
      </c>
      <c r="G173" s="712">
        <v>-15628</v>
      </c>
      <c r="H173" s="712"/>
      <c r="I173" s="708">
        <v>4285</v>
      </c>
      <c r="J173" s="708">
        <v>3426</v>
      </c>
      <c r="K173" s="708">
        <v>0</v>
      </c>
      <c r="L173" s="712">
        <v>0</v>
      </c>
      <c r="M173" s="712"/>
      <c r="N173" s="708">
        <v>0</v>
      </c>
      <c r="O173" s="708">
        <v>0</v>
      </c>
      <c r="P173" s="708">
        <v>0</v>
      </c>
      <c r="Q173" s="712">
        <v>1284</v>
      </c>
      <c r="R173" s="712"/>
      <c r="S173" s="708">
        <v>8303</v>
      </c>
      <c r="T173" s="713">
        <v>-428</v>
      </c>
      <c r="U173" s="713">
        <v>7875</v>
      </c>
    </row>
    <row r="174" spans="1:21" x14ac:dyDescent="0.25">
      <c r="A174" s="709">
        <v>35200</v>
      </c>
      <c r="B174" s="710" t="s">
        <v>960</v>
      </c>
      <c r="C174" s="711">
        <v>4.8859999999999995E-4</v>
      </c>
      <c r="D174" s="711">
        <v>5.0690000000000002E-4</v>
      </c>
      <c r="E174" s="708">
        <v>32505</v>
      </c>
      <c r="F174" s="712">
        <v>-31478</v>
      </c>
      <c r="G174" s="712">
        <v>-29863</v>
      </c>
      <c r="H174" s="712"/>
      <c r="I174" s="708">
        <v>8188</v>
      </c>
      <c r="J174" s="708">
        <v>6546</v>
      </c>
      <c r="K174" s="708">
        <v>0</v>
      </c>
      <c r="L174" s="712">
        <v>2640</v>
      </c>
      <c r="M174" s="712"/>
      <c r="N174" s="708">
        <v>0</v>
      </c>
      <c r="O174" s="708">
        <v>0</v>
      </c>
      <c r="P174" s="708">
        <v>0</v>
      </c>
      <c r="Q174" s="712">
        <v>0</v>
      </c>
      <c r="R174" s="712"/>
      <c r="S174" s="708">
        <v>15866</v>
      </c>
      <c r="T174" s="713">
        <v>880</v>
      </c>
      <c r="U174" s="713">
        <v>16746</v>
      </c>
    </row>
    <row r="175" spans="1:21" x14ac:dyDescent="0.25">
      <c r="A175" s="709">
        <v>35300</v>
      </c>
      <c r="B175" s="710" t="s">
        <v>1553</v>
      </c>
      <c r="C175" s="711">
        <v>3.6235999999999998E-3</v>
      </c>
      <c r="D175" s="711">
        <v>3.4838E-3</v>
      </c>
      <c r="E175" s="708">
        <v>203327</v>
      </c>
      <c r="F175" s="712">
        <v>-216344</v>
      </c>
      <c r="G175" s="712">
        <v>-221474</v>
      </c>
      <c r="H175" s="712"/>
      <c r="I175" s="708">
        <v>60724</v>
      </c>
      <c r="J175" s="708">
        <v>48545</v>
      </c>
      <c r="K175" s="708">
        <v>0</v>
      </c>
      <c r="L175" s="712">
        <v>0</v>
      </c>
      <c r="M175" s="712"/>
      <c r="N175" s="708">
        <v>0</v>
      </c>
      <c r="O175" s="708">
        <v>0</v>
      </c>
      <c r="P175" s="708">
        <v>0</v>
      </c>
      <c r="Q175" s="712">
        <v>21556</v>
      </c>
      <c r="R175" s="712"/>
      <c r="S175" s="708">
        <v>117669</v>
      </c>
      <c r="T175" s="713">
        <v>-7185</v>
      </c>
      <c r="U175" s="713">
        <v>110484</v>
      </c>
    </row>
    <row r="176" spans="1:21" x14ac:dyDescent="0.25">
      <c r="A176" s="709">
        <v>35305</v>
      </c>
      <c r="B176" s="710" t="s">
        <v>962</v>
      </c>
      <c r="C176" s="711">
        <v>1.2482000000000001E-3</v>
      </c>
      <c r="D176" s="711">
        <v>1.2708000000000001E-3</v>
      </c>
      <c r="E176" s="708">
        <v>78815</v>
      </c>
      <c r="F176" s="712">
        <v>-78917</v>
      </c>
      <c r="G176" s="712">
        <v>-76290</v>
      </c>
      <c r="H176" s="712"/>
      <c r="I176" s="708">
        <v>20917</v>
      </c>
      <c r="J176" s="708">
        <v>16722</v>
      </c>
      <c r="K176" s="708">
        <v>0</v>
      </c>
      <c r="L176" s="712">
        <v>2452</v>
      </c>
      <c r="M176" s="712"/>
      <c r="N176" s="708">
        <v>0</v>
      </c>
      <c r="O176" s="708">
        <v>0</v>
      </c>
      <c r="P176" s="708">
        <v>0</v>
      </c>
      <c r="Q176" s="712">
        <v>0</v>
      </c>
      <c r="R176" s="712"/>
      <c r="S176" s="708">
        <v>40533</v>
      </c>
      <c r="T176" s="713">
        <v>817</v>
      </c>
      <c r="U176" s="713">
        <v>41350</v>
      </c>
    </row>
    <row r="177" spans="1:21" x14ac:dyDescent="0.25">
      <c r="A177" s="709">
        <v>35400</v>
      </c>
      <c r="B177" s="710" t="s">
        <v>963</v>
      </c>
      <c r="C177" s="711">
        <v>2.6048E-3</v>
      </c>
      <c r="D177" s="711">
        <v>2.7407999999999998E-3</v>
      </c>
      <c r="E177" s="708">
        <v>164104</v>
      </c>
      <c r="F177" s="712">
        <v>-170204</v>
      </c>
      <c r="G177" s="712">
        <v>-159205</v>
      </c>
      <c r="H177" s="712"/>
      <c r="I177" s="708">
        <v>43651</v>
      </c>
      <c r="J177" s="708">
        <v>34897</v>
      </c>
      <c r="K177" s="708">
        <v>0</v>
      </c>
      <c r="L177" s="712">
        <v>8977</v>
      </c>
      <c r="M177" s="712"/>
      <c r="N177" s="708">
        <v>0</v>
      </c>
      <c r="O177" s="708">
        <v>0</v>
      </c>
      <c r="P177" s="708">
        <v>0</v>
      </c>
      <c r="Q177" s="712">
        <v>0</v>
      </c>
      <c r="R177" s="712"/>
      <c r="S177" s="708">
        <v>84586</v>
      </c>
      <c r="T177" s="713">
        <v>2992</v>
      </c>
      <c r="U177" s="713">
        <v>87578</v>
      </c>
    </row>
    <row r="178" spans="1:21" x14ac:dyDescent="0.25">
      <c r="A178" s="709">
        <v>35401</v>
      </c>
      <c r="B178" s="710" t="s">
        <v>964</v>
      </c>
      <c r="C178" s="711">
        <v>3.2499999999999997E-5</v>
      </c>
      <c r="D178" s="711">
        <v>2.4499999999999999E-5</v>
      </c>
      <c r="E178" s="708">
        <v>1718</v>
      </c>
      <c r="F178" s="712">
        <v>-1521</v>
      </c>
      <c r="G178" s="712">
        <v>-1986</v>
      </c>
      <c r="H178" s="712"/>
      <c r="I178" s="708">
        <v>544.63499999999999</v>
      </c>
      <c r="J178" s="708">
        <v>435.40249999999997</v>
      </c>
      <c r="K178" s="708">
        <v>0</v>
      </c>
      <c r="L178" s="712">
        <v>0</v>
      </c>
      <c r="M178" s="712"/>
      <c r="N178" s="708">
        <v>0</v>
      </c>
      <c r="O178" s="708">
        <v>0</v>
      </c>
      <c r="P178" s="708">
        <v>0</v>
      </c>
      <c r="Q178" s="712">
        <v>587</v>
      </c>
      <c r="R178" s="712"/>
      <c r="S178" s="708">
        <v>1055.3724999999999</v>
      </c>
      <c r="T178" s="713">
        <v>-196</v>
      </c>
      <c r="U178" s="713">
        <v>860</v>
      </c>
    </row>
    <row r="179" spans="1:21" x14ac:dyDescent="0.25">
      <c r="A179" s="709">
        <v>35405</v>
      </c>
      <c r="B179" s="710" t="s">
        <v>966</v>
      </c>
      <c r="C179" s="711">
        <v>9.1980000000000002E-4</v>
      </c>
      <c r="D179" s="711">
        <v>9.6009999999999997E-4</v>
      </c>
      <c r="E179" s="708">
        <v>55186</v>
      </c>
      <c r="F179" s="712">
        <v>-59622</v>
      </c>
      <c r="G179" s="712">
        <v>-56218</v>
      </c>
      <c r="H179" s="712"/>
      <c r="I179" s="708">
        <v>15414</v>
      </c>
      <c r="J179" s="708">
        <v>12323</v>
      </c>
      <c r="K179" s="708">
        <v>0</v>
      </c>
      <c r="L179" s="712">
        <v>739</v>
      </c>
      <c r="M179" s="712"/>
      <c r="N179" s="708">
        <v>0</v>
      </c>
      <c r="O179" s="708">
        <v>0</v>
      </c>
      <c r="P179" s="708">
        <v>0</v>
      </c>
      <c r="Q179" s="712">
        <v>0</v>
      </c>
      <c r="R179" s="712"/>
      <c r="S179" s="708">
        <v>29869</v>
      </c>
      <c r="T179" s="713">
        <v>246</v>
      </c>
      <c r="U179" s="713">
        <v>30115</v>
      </c>
    </row>
    <row r="180" spans="1:21" x14ac:dyDescent="0.25">
      <c r="A180" s="709">
        <v>35500</v>
      </c>
      <c r="B180" s="710" t="s">
        <v>967</v>
      </c>
      <c r="C180" s="711">
        <v>3.6135E-3</v>
      </c>
      <c r="D180" s="711">
        <v>3.8563E-3</v>
      </c>
      <c r="E180" s="708">
        <v>214544</v>
      </c>
      <c r="F180" s="712">
        <v>-239476</v>
      </c>
      <c r="G180" s="712">
        <v>-220857.12</v>
      </c>
      <c r="H180" s="712"/>
      <c r="I180" s="708">
        <v>60555</v>
      </c>
      <c r="J180" s="708">
        <v>48410</v>
      </c>
      <c r="K180" s="708">
        <v>0</v>
      </c>
      <c r="L180" s="712">
        <v>5142</v>
      </c>
      <c r="M180" s="712"/>
      <c r="N180" s="708">
        <v>0</v>
      </c>
      <c r="O180" s="708">
        <v>0</v>
      </c>
      <c r="P180" s="708">
        <v>0</v>
      </c>
      <c r="Q180" s="712">
        <v>0</v>
      </c>
      <c r="R180" s="712"/>
      <c r="S180" s="708">
        <v>117341</v>
      </c>
      <c r="T180" s="713">
        <v>1714</v>
      </c>
      <c r="U180" s="713">
        <v>119055</v>
      </c>
    </row>
    <row r="181" spans="1:21" x14ac:dyDescent="0.25">
      <c r="A181" s="709">
        <v>35600</v>
      </c>
      <c r="B181" s="710" t="s">
        <v>968</v>
      </c>
      <c r="C181" s="711">
        <v>1.5342999999999999E-3</v>
      </c>
      <c r="D181" s="711">
        <v>1.5314E-3</v>
      </c>
      <c r="E181" s="708">
        <v>92647</v>
      </c>
      <c r="F181" s="712">
        <v>-95100</v>
      </c>
      <c r="G181" s="712">
        <v>-93776</v>
      </c>
      <c r="H181" s="712"/>
      <c r="I181" s="708">
        <v>25712</v>
      </c>
      <c r="J181" s="708">
        <v>20555</v>
      </c>
      <c r="K181" s="708">
        <v>0</v>
      </c>
      <c r="L181" s="712">
        <v>0</v>
      </c>
      <c r="M181" s="712"/>
      <c r="N181" s="708">
        <v>0</v>
      </c>
      <c r="O181" s="708">
        <v>0</v>
      </c>
      <c r="P181" s="708">
        <v>0</v>
      </c>
      <c r="Q181" s="712">
        <v>1590</v>
      </c>
      <c r="R181" s="712"/>
      <c r="S181" s="708">
        <v>49823</v>
      </c>
      <c r="T181" s="713">
        <v>-530</v>
      </c>
      <c r="U181" s="713">
        <v>49293</v>
      </c>
    </row>
    <row r="182" spans="1:21" x14ac:dyDescent="0.25">
      <c r="A182" s="709">
        <v>35700</v>
      </c>
      <c r="B182" s="710" t="s">
        <v>969</v>
      </c>
      <c r="C182" s="711">
        <v>8.3239999999999996E-4</v>
      </c>
      <c r="D182" s="711">
        <v>8.5260000000000002E-4</v>
      </c>
      <c r="E182" s="708">
        <v>51154</v>
      </c>
      <c r="F182" s="712">
        <v>-52946</v>
      </c>
      <c r="G182" s="712">
        <v>-50876</v>
      </c>
      <c r="H182" s="712"/>
      <c r="I182" s="708">
        <v>13949</v>
      </c>
      <c r="J182" s="708">
        <v>11152</v>
      </c>
      <c r="K182" s="708">
        <v>0</v>
      </c>
      <c r="L182" s="712">
        <v>819</v>
      </c>
      <c r="M182" s="712"/>
      <c r="N182" s="708">
        <v>0</v>
      </c>
      <c r="O182" s="708">
        <v>0</v>
      </c>
      <c r="P182" s="708">
        <v>0</v>
      </c>
      <c r="Q182" s="712">
        <v>0</v>
      </c>
      <c r="R182" s="712"/>
      <c r="S182" s="708">
        <v>27031</v>
      </c>
      <c r="T182" s="713">
        <v>273</v>
      </c>
      <c r="U182" s="713">
        <v>27304</v>
      </c>
    </row>
    <row r="183" spans="1:21" x14ac:dyDescent="0.25">
      <c r="A183" s="709">
        <v>35800</v>
      </c>
      <c r="B183" s="710" t="s">
        <v>970</v>
      </c>
      <c r="C183" s="711">
        <v>1.1681E-3</v>
      </c>
      <c r="D183" s="711">
        <v>1.2198000000000001E-3</v>
      </c>
      <c r="E183" s="708">
        <v>77568</v>
      </c>
      <c r="F183" s="712">
        <v>-75750</v>
      </c>
      <c r="G183" s="712">
        <v>-71394</v>
      </c>
      <c r="H183" s="712"/>
      <c r="I183" s="708">
        <v>19575</v>
      </c>
      <c r="J183" s="708">
        <v>15649</v>
      </c>
      <c r="K183" s="708">
        <v>0</v>
      </c>
      <c r="L183" s="712">
        <v>6576</v>
      </c>
      <c r="M183" s="712"/>
      <c r="N183" s="708">
        <v>0</v>
      </c>
      <c r="O183" s="708">
        <v>0</v>
      </c>
      <c r="P183" s="708">
        <v>0</v>
      </c>
      <c r="Q183" s="712">
        <v>0</v>
      </c>
      <c r="R183" s="712"/>
      <c r="S183" s="708">
        <v>37932</v>
      </c>
      <c r="T183" s="713">
        <v>2192</v>
      </c>
      <c r="U183" s="713">
        <v>40124</v>
      </c>
    </row>
    <row r="184" spans="1:21" x14ac:dyDescent="0.25">
      <c r="A184" s="709">
        <v>35805</v>
      </c>
      <c r="B184" s="710" t="s">
        <v>971</v>
      </c>
      <c r="C184" s="711">
        <v>2.107E-4</v>
      </c>
      <c r="D184" s="711">
        <v>1.995E-4</v>
      </c>
      <c r="E184" s="708">
        <v>15158</v>
      </c>
      <c r="F184" s="712">
        <v>-12389</v>
      </c>
      <c r="G184" s="712">
        <v>-12878</v>
      </c>
      <c r="H184" s="712"/>
      <c r="I184" s="708">
        <v>3531</v>
      </c>
      <c r="J184" s="708">
        <v>2823</v>
      </c>
      <c r="K184" s="708">
        <v>0</v>
      </c>
      <c r="L184" s="712">
        <v>1105</v>
      </c>
      <c r="M184" s="712"/>
      <c r="N184" s="708">
        <v>0</v>
      </c>
      <c r="O184" s="708">
        <v>0</v>
      </c>
      <c r="P184" s="708">
        <v>0</v>
      </c>
      <c r="Q184" s="712">
        <v>0</v>
      </c>
      <c r="R184" s="712"/>
      <c r="S184" s="708">
        <v>6842</v>
      </c>
      <c r="T184" s="713">
        <v>368</v>
      </c>
      <c r="U184" s="713">
        <v>7210</v>
      </c>
    </row>
    <row r="185" spans="1:21" x14ac:dyDescent="0.25">
      <c r="A185" s="709">
        <v>35900</v>
      </c>
      <c r="B185" s="710" t="s">
        <v>972</v>
      </c>
      <c r="C185" s="711">
        <v>2.1868E-3</v>
      </c>
      <c r="D185" s="711">
        <v>2.2843E-3</v>
      </c>
      <c r="E185" s="708">
        <v>131767</v>
      </c>
      <c r="F185" s="712">
        <v>-141855</v>
      </c>
      <c r="G185" s="712">
        <v>-133657</v>
      </c>
      <c r="H185" s="712"/>
      <c r="I185" s="708">
        <v>36646</v>
      </c>
      <c r="J185" s="708">
        <v>29297</v>
      </c>
      <c r="K185" s="708">
        <v>0</v>
      </c>
      <c r="L185" s="712">
        <v>2257</v>
      </c>
      <c r="M185" s="712"/>
      <c r="N185" s="708">
        <v>0</v>
      </c>
      <c r="O185" s="708">
        <v>0</v>
      </c>
      <c r="P185" s="708">
        <v>0</v>
      </c>
      <c r="Q185" s="712">
        <v>0</v>
      </c>
      <c r="R185" s="712"/>
      <c r="S185" s="708">
        <v>71012</v>
      </c>
      <c r="T185" s="713">
        <v>752</v>
      </c>
      <c r="U185" s="713">
        <v>71764</v>
      </c>
    </row>
    <row r="186" spans="1:21" x14ac:dyDescent="0.25">
      <c r="A186" s="709">
        <v>35905</v>
      </c>
      <c r="B186" s="710" t="s">
        <v>973</v>
      </c>
      <c r="C186" s="711">
        <v>3.009E-4</v>
      </c>
      <c r="D186" s="711">
        <v>3.0519999999999999E-4</v>
      </c>
      <c r="E186" s="708">
        <v>22532</v>
      </c>
      <c r="F186" s="712">
        <v>-18953</v>
      </c>
      <c r="G186" s="712">
        <v>-18391</v>
      </c>
      <c r="H186" s="712"/>
      <c r="I186" s="708">
        <v>5042</v>
      </c>
      <c r="J186" s="708">
        <v>4031</v>
      </c>
      <c r="K186" s="708">
        <v>0</v>
      </c>
      <c r="L186" s="712">
        <v>3186</v>
      </c>
      <c r="M186" s="712"/>
      <c r="N186" s="708">
        <v>0</v>
      </c>
      <c r="O186" s="708">
        <v>0</v>
      </c>
      <c r="P186" s="708">
        <v>0</v>
      </c>
      <c r="Q186" s="712">
        <v>0</v>
      </c>
      <c r="R186" s="712"/>
      <c r="S186" s="708">
        <v>9771</v>
      </c>
      <c r="T186" s="713">
        <v>1062</v>
      </c>
      <c r="U186" s="713">
        <v>10833</v>
      </c>
    </row>
    <row r="187" spans="1:21" x14ac:dyDescent="0.25">
      <c r="A187" s="709">
        <v>36000</v>
      </c>
      <c r="B187" s="710" t="s">
        <v>974</v>
      </c>
      <c r="C187" s="711">
        <v>5.37365E-2</v>
      </c>
      <c r="D187" s="711">
        <v>5.3251399999999997E-2</v>
      </c>
      <c r="E187" s="708">
        <v>2977938</v>
      </c>
      <c r="F187" s="712">
        <v>-3306912</v>
      </c>
      <c r="G187" s="712">
        <v>-3284374.88</v>
      </c>
      <c r="H187" s="712"/>
      <c r="I187" s="708">
        <v>900516</v>
      </c>
      <c r="J187" s="708">
        <v>719908</v>
      </c>
      <c r="K187" s="708">
        <v>0</v>
      </c>
      <c r="L187" s="712">
        <v>0</v>
      </c>
      <c r="M187" s="712"/>
      <c r="N187" s="708">
        <v>0</v>
      </c>
      <c r="O187" s="708">
        <v>0</v>
      </c>
      <c r="P187" s="708">
        <v>0</v>
      </c>
      <c r="Q187" s="712">
        <v>273701</v>
      </c>
      <c r="R187" s="712"/>
      <c r="S187" s="708">
        <v>1744985</v>
      </c>
      <c r="T187" s="713">
        <v>-91234</v>
      </c>
      <c r="U187" s="713">
        <v>1653752</v>
      </c>
    </row>
    <row r="188" spans="1:21" x14ac:dyDescent="0.25">
      <c r="A188" s="709">
        <v>36001</v>
      </c>
      <c r="B188" s="710" t="s">
        <v>975</v>
      </c>
      <c r="C188" s="711">
        <v>2.5999999999999998E-5</v>
      </c>
      <c r="D188" s="711">
        <v>2.9600000000000001E-5</v>
      </c>
      <c r="E188" s="708">
        <v>1690</v>
      </c>
      <c r="F188" s="712">
        <v>-1838</v>
      </c>
      <c r="G188" s="712">
        <v>-1589.12</v>
      </c>
      <c r="H188" s="712"/>
      <c r="I188" s="708">
        <v>436</v>
      </c>
      <c r="J188" s="708">
        <v>348</v>
      </c>
      <c r="K188" s="708">
        <v>0</v>
      </c>
      <c r="L188" s="712">
        <v>233</v>
      </c>
      <c r="M188" s="712"/>
      <c r="N188" s="708">
        <v>0</v>
      </c>
      <c r="O188" s="708">
        <v>0</v>
      </c>
      <c r="P188" s="708">
        <v>0</v>
      </c>
      <c r="Q188" s="712">
        <v>0</v>
      </c>
      <c r="R188" s="712"/>
      <c r="S188" s="708">
        <v>844</v>
      </c>
      <c r="T188" s="713">
        <v>78</v>
      </c>
      <c r="U188" s="713">
        <v>922</v>
      </c>
    </row>
    <row r="189" spans="1:21" s="731" customFormat="1" x14ac:dyDescent="0.25">
      <c r="A189" s="725">
        <v>36002</v>
      </c>
      <c r="B189" s="726" t="s">
        <v>976</v>
      </c>
      <c r="C189" s="727">
        <v>0</v>
      </c>
      <c r="D189" s="727">
        <v>1.3019999999999999E-4</v>
      </c>
      <c r="E189" s="728" t="e">
        <v>#N/A</v>
      </c>
      <c r="F189" s="729">
        <v>-8085</v>
      </c>
      <c r="G189" s="729">
        <v>0</v>
      </c>
      <c r="H189" s="729"/>
      <c r="I189" s="728">
        <v>0</v>
      </c>
      <c r="J189" s="728">
        <v>0</v>
      </c>
      <c r="K189" s="728">
        <v>0</v>
      </c>
      <c r="L189" s="729">
        <v>6064</v>
      </c>
      <c r="M189" s="729"/>
      <c r="N189" s="728">
        <v>0</v>
      </c>
      <c r="O189" s="728">
        <v>0</v>
      </c>
      <c r="P189" s="728">
        <v>0</v>
      </c>
      <c r="Q189" s="729">
        <v>0</v>
      </c>
      <c r="R189" s="729"/>
      <c r="S189" s="728">
        <v>0</v>
      </c>
      <c r="T189" s="730">
        <v>2021</v>
      </c>
      <c r="U189" s="730">
        <v>2021</v>
      </c>
    </row>
    <row r="190" spans="1:21" x14ac:dyDescent="0.25">
      <c r="A190" s="709">
        <v>36003</v>
      </c>
      <c r="B190" s="710" t="s">
        <v>977</v>
      </c>
      <c r="C190" s="711">
        <v>3.8870000000000002E-4</v>
      </c>
      <c r="D190" s="711">
        <v>4.0099999999999999E-4</v>
      </c>
      <c r="E190" s="708">
        <v>19522</v>
      </c>
      <c r="F190" s="712">
        <v>-24902</v>
      </c>
      <c r="G190" s="712">
        <v>-23757</v>
      </c>
      <c r="H190" s="712"/>
      <c r="I190" s="708">
        <v>6514</v>
      </c>
      <c r="J190" s="708">
        <v>5207</v>
      </c>
      <c r="K190" s="708">
        <v>0</v>
      </c>
      <c r="L190" s="712">
        <v>0</v>
      </c>
      <c r="M190" s="712"/>
      <c r="N190" s="708">
        <v>0</v>
      </c>
      <c r="O190" s="708">
        <v>0</v>
      </c>
      <c r="P190" s="708">
        <v>0</v>
      </c>
      <c r="Q190" s="712">
        <v>2758</v>
      </c>
      <c r="R190" s="712"/>
      <c r="S190" s="708">
        <v>12622</v>
      </c>
      <c r="T190" s="713">
        <v>-919</v>
      </c>
      <c r="U190" s="713">
        <v>11703</v>
      </c>
    </row>
    <row r="191" spans="1:21" x14ac:dyDescent="0.25">
      <c r="A191" s="709">
        <v>36004</v>
      </c>
      <c r="B191" s="710" t="s">
        <v>1554</v>
      </c>
      <c r="C191" s="711">
        <v>2.2029999999999999E-4</v>
      </c>
      <c r="D191" s="711">
        <v>1.972E-4</v>
      </c>
      <c r="E191" s="708">
        <v>10315</v>
      </c>
      <c r="F191" s="712">
        <v>-12246</v>
      </c>
      <c r="G191" s="712">
        <v>-13465</v>
      </c>
      <c r="H191" s="712"/>
      <c r="I191" s="708">
        <v>3692</v>
      </c>
      <c r="J191" s="708">
        <v>2951</v>
      </c>
      <c r="K191" s="708">
        <v>0</v>
      </c>
      <c r="L191" s="712">
        <v>0</v>
      </c>
      <c r="M191" s="712"/>
      <c r="N191" s="708">
        <v>0</v>
      </c>
      <c r="O191" s="708">
        <v>0</v>
      </c>
      <c r="P191" s="708">
        <v>0</v>
      </c>
      <c r="Q191" s="712">
        <v>3526</v>
      </c>
      <c r="R191" s="712"/>
      <c r="S191" s="708">
        <v>7154</v>
      </c>
      <c r="T191" s="713">
        <v>-1175</v>
      </c>
      <c r="U191" s="713">
        <v>5979</v>
      </c>
    </row>
    <row r="192" spans="1:21" x14ac:dyDescent="0.25">
      <c r="A192" s="709">
        <v>36005</v>
      </c>
      <c r="B192" s="710" t="s">
        <v>979</v>
      </c>
      <c r="C192" s="711">
        <v>4.4781999999999999E-3</v>
      </c>
      <c r="D192" s="711">
        <v>4.4998E-3</v>
      </c>
      <c r="E192" s="708">
        <v>278100</v>
      </c>
      <c r="F192" s="712">
        <v>-279438</v>
      </c>
      <c r="G192" s="712">
        <v>-273708</v>
      </c>
      <c r="H192" s="712"/>
      <c r="I192" s="708">
        <v>75046</v>
      </c>
      <c r="J192" s="708">
        <v>59994</v>
      </c>
      <c r="K192" s="708">
        <v>0</v>
      </c>
      <c r="L192" s="712">
        <v>2527</v>
      </c>
      <c r="M192" s="712"/>
      <c r="N192" s="708">
        <v>0</v>
      </c>
      <c r="O192" s="708">
        <v>0</v>
      </c>
      <c r="P192" s="708">
        <v>0</v>
      </c>
      <c r="Q192" s="712">
        <v>0</v>
      </c>
      <c r="R192" s="712"/>
      <c r="S192" s="708">
        <v>145421</v>
      </c>
      <c r="T192" s="713">
        <v>842</v>
      </c>
      <c r="U192" s="713">
        <v>146263</v>
      </c>
    </row>
    <row r="193" spans="1:21" x14ac:dyDescent="0.25">
      <c r="A193" s="709">
        <v>36006</v>
      </c>
      <c r="B193" s="710" t="s">
        <v>980</v>
      </c>
      <c r="C193" s="711">
        <v>4.8999999999999998E-4</v>
      </c>
      <c r="D193" s="711">
        <v>4.818E-4</v>
      </c>
      <c r="E193" s="708">
        <v>25314</v>
      </c>
      <c r="F193" s="712">
        <v>-29920</v>
      </c>
      <c r="G193" s="712">
        <v>-29948.799999999999</v>
      </c>
      <c r="H193" s="712"/>
      <c r="I193" s="708">
        <v>8211.42</v>
      </c>
      <c r="J193" s="708">
        <v>6564.53</v>
      </c>
      <c r="K193" s="708">
        <v>0</v>
      </c>
      <c r="L193" s="712">
        <v>0</v>
      </c>
      <c r="M193" s="712"/>
      <c r="N193" s="708">
        <v>0</v>
      </c>
      <c r="O193" s="708">
        <v>0</v>
      </c>
      <c r="P193" s="708">
        <v>0</v>
      </c>
      <c r="Q193" s="712">
        <v>4052</v>
      </c>
      <c r="R193" s="712"/>
      <c r="S193" s="708">
        <v>15912</v>
      </c>
      <c r="T193" s="713">
        <v>-1351</v>
      </c>
      <c r="U193" s="713">
        <v>14561</v>
      </c>
    </row>
    <row r="194" spans="1:21" x14ac:dyDescent="0.25">
      <c r="A194" s="709">
        <v>36007</v>
      </c>
      <c r="B194" s="710" t="s">
        <v>981</v>
      </c>
      <c r="C194" s="711">
        <v>1.7369999999999999E-4</v>
      </c>
      <c r="D194" s="711">
        <v>1.5880000000000001E-4</v>
      </c>
      <c r="E194" s="708">
        <v>9309</v>
      </c>
      <c r="F194" s="712">
        <v>-9861</v>
      </c>
      <c r="G194" s="712">
        <v>-10617</v>
      </c>
      <c r="H194" s="712"/>
      <c r="I194" s="708">
        <v>2911</v>
      </c>
      <c r="J194" s="708">
        <v>2327</v>
      </c>
      <c r="K194" s="708">
        <v>0</v>
      </c>
      <c r="L194" s="712">
        <v>0</v>
      </c>
      <c r="M194" s="712"/>
      <c r="N194" s="708">
        <v>0</v>
      </c>
      <c r="O194" s="708">
        <v>0</v>
      </c>
      <c r="P194" s="708">
        <v>0</v>
      </c>
      <c r="Q194" s="712">
        <v>1744</v>
      </c>
      <c r="R194" s="712"/>
      <c r="S194" s="708">
        <v>5641</v>
      </c>
      <c r="T194" s="713">
        <v>-581</v>
      </c>
      <c r="U194" s="713">
        <v>5059</v>
      </c>
    </row>
    <row r="195" spans="1:21" x14ac:dyDescent="0.25">
      <c r="A195" s="709">
        <v>36008</v>
      </c>
      <c r="B195" s="710" t="s">
        <v>982</v>
      </c>
      <c r="C195" s="711">
        <v>5.5199999999999997E-4</v>
      </c>
      <c r="D195" s="711">
        <v>4.9640000000000003E-4</v>
      </c>
      <c r="E195" s="708">
        <v>26211</v>
      </c>
      <c r="F195" s="712">
        <v>-30826</v>
      </c>
      <c r="G195" s="712">
        <v>-33738.239999999998</v>
      </c>
      <c r="H195" s="712"/>
      <c r="I195" s="708">
        <v>9250</v>
      </c>
      <c r="J195" s="708">
        <v>7395</v>
      </c>
      <c r="K195" s="708">
        <v>0</v>
      </c>
      <c r="L195" s="712">
        <v>0</v>
      </c>
      <c r="M195" s="712"/>
      <c r="N195" s="708">
        <v>0</v>
      </c>
      <c r="O195" s="708">
        <v>0</v>
      </c>
      <c r="P195" s="708">
        <v>0</v>
      </c>
      <c r="Q195" s="712">
        <v>8453</v>
      </c>
      <c r="R195" s="712"/>
      <c r="S195" s="708">
        <v>17925</v>
      </c>
      <c r="T195" s="713">
        <v>-2818</v>
      </c>
      <c r="U195" s="713">
        <v>15107</v>
      </c>
    </row>
    <row r="196" spans="1:21" x14ac:dyDescent="0.25">
      <c r="A196" s="709">
        <v>36009</v>
      </c>
      <c r="B196" s="710" t="s">
        <v>983</v>
      </c>
      <c r="C196" s="711">
        <v>1.3090000000000001E-4</v>
      </c>
      <c r="D196" s="711">
        <v>1.6870000000000001E-4</v>
      </c>
      <c r="E196" s="708">
        <v>6473</v>
      </c>
      <c r="F196" s="712">
        <v>-10476</v>
      </c>
      <c r="G196" s="712">
        <v>-8001</v>
      </c>
      <c r="H196" s="712"/>
      <c r="I196" s="708">
        <v>2194</v>
      </c>
      <c r="J196" s="708">
        <v>1754</v>
      </c>
      <c r="K196" s="708">
        <v>0</v>
      </c>
      <c r="L196" s="712">
        <v>563</v>
      </c>
      <c r="M196" s="712"/>
      <c r="N196" s="708">
        <v>0</v>
      </c>
      <c r="O196" s="708">
        <v>0</v>
      </c>
      <c r="P196" s="708">
        <v>0</v>
      </c>
      <c r="Q196" s="712">
        <v>0</v>
      </c>
      <c r="R196" s="712"/>
      <c r="S196" s="708">
        <v>4251</v>
      </c>
      <c r="T196" s="713">
        <v>188</v>
      </c>
      <c r="U196" s="713">
        <v>4438</v>
      </c>
    </row>
    <row r="197" spans="1:21" x14ac:dyDescent="0.25">
      <c r="A197" s="709">
        <v>36100</v>
      </c>
      <c r="B197" s="710" t="s">
        <v>984</v>
      </c>
      <c r="C197" s="711">
        <v>6.5490000000000004E-4</v>
      </c>
      <c r="D197" s="711">
        <v>6.7909999999999997E-4</v>
      </c>
      <c r="E197" s="708">
        <v>42782</v>
      </c>
      <c r="F197" s="712">
        <v>-42172</v>
      </c>
      <c r="G197" s="712">
        <v>-40027</v>
      </c>
      <c r="H197" s="712"/>
      <c r="I197" s="708">
        <v>10975</v>
      </c>
      <c r="J197" s="708">
        <v>8774</v>
      </c>
      <c r="K197" s="708">
        <v>0</v>
      </c>
      <c r="L197" s="712">
        <v>2934</v>
      </c>
      <c r="M197" s="712"/>
      <c r="N197" s="708">
        <v>0</v>
      </c>
      <c r="O197" s="708">
        <v>0</v>
      </c>
      <c r="P197" s="708">
        <v>0</v>
      </c>
      <c r="Q197" s="712">
        <v>0</v>
      </c>
      <c r="R197" s="712"/>
      <c r="S197" s="708">
        <v>21267</v>
      </c>
      <c r="T197" s="713">
        <v>978</v>
      </c>
      <c r="U197" s="713">
        <v>22245</v>
      </c>
    </row>
    <row r="198" spans="1:21" x14ac:dyDescent="0.25">
      <c r="A198" s="709">
        <v>36102</v>
      </c>
      <c r="B198" s="710" t="s">
        <v>985</v>
      </c>
      <c r="C198" s="711">
        <v>2.0039999999999999E-4</v>
      </c>
      <c r="D198" s="711">
        <v>1.4799999999999999E-4</v>
      </c>
      <c r="E198" s="708">
        <v>9284</v>
      </c>
      <c r="F198" s="712">
        <v>-9191</v>
      </c>
      <c r="G198" s="712">
        <v>-12248</v>
      </c>
      <c r="H198" s="712"/>
      <c r="I198" s="708">
        <v>3358</v>
      </c>
      <c r="J198" s="708">
        <v>2685</v>
      </c>
      <c r="K198" s="708">
        <v>0</v>
      </c>
      <c r="L198" s="712">
        <v>0</v>
      </c>
      <c r="M198" s="712"/>
      <c r="N198" s="708">
        <v>0</v>
      </c>
      <c r="O198" s="708">
        <v>0</v>
      </c>
      <c r="P198" s="708">
        <v>0</v>
      </c>
      <c r="Q198" s="712">
        <v>4743</v>
      </c>
      <c r="R198" s="712"/>
      <c r="S198" s="708">
        <v>6508</v>
      </c>
      <c r="T198" s="713">
        <v>-1581</v>
      </c>
      <c r="U198" s="713">
        <v>4926</v>
      </c>
    </row>
    <row r="199" spans="1:21" x14ac:dyDescent="0.25">
      <c r="A199" s="709">
        <v>36105</v>
      </c>
      <c r="B199" s="710" t="s">
        <v>986</v>
      </c>
      <c r="C199" s="711">
        <v>3.5750000000000002E-4</v>
      </c>
      <c r="D199" s="711">
        <v>3.5530000000000002E-4</v>
      </c>
      <c r="E199" s="708">
        <v>24021</v>
      </c>
      <c r="F199" s="712">
        <v>-22064</v>
      </c>
      <c r="G199" s="712">
        <v>-21850.400000000001</v>
      </c>
      <c r="H199" s="712"/>
      <c r="I199" s="708">
        <v>5991</v>
      </c>
      <c r="J199" s="708">
        <v>4789</v>
      </c>
      <c r="K199" s="708">
        <v>0</v>
      </c>
      <c r="L199" s="712">
        <v>1384</v>
      </c>
      <c r="M199" s="712"/>
      <c r="N199" s="708">
        <v>0</v>
      </c>
      <c r="O199" s="708">
        <v>0</v>
      </c>
      <c r="P199" s="708">
        <v>0</v>
      </c>
      <c r="Q199" s="712">
        <v>0</v>
      </c>
      <c r="R199" s="712"/>
      <c r="S199" s="708">
        <v>11609</v>
      </c>
      <c r="T199" s="713">
        <v>461</v>
      </c>
      <c r="U199" s="713">
        <v>12070.46</v>
      </c>
    </row>
    <row r="200" spans="1:21" x14ac:dyDescent="0.25">
      <c r="A200" s="709">
        <v>36200</v>
      </c>
      <c r="B200" s="710" t="s">
        <v>987</v>
      </c>
      <c r="C200" s="711">
        <v>1.3937000000000001E-3</v>
      </c>
      <c r="D200" s="711">
        <v>1.4419999999999999E-3</v>
      </c>
      <c r="E200" s="708">
        <v>87686</v>
      </c>
      <c r="F200" s="712">
        <v>-89548</v>
      </c>
      <c r="G200" s="712">
        <v>-85183</v>
      </c>
      <c r="H200" s="712"/>
      <c r="I200" s="708">
        <v>23356</v>
      </c>
      <c r="J200" s="708">
        <v>18671</v>
      </c>
      <c r="K200" s="708">
        <v>0</v>
      </c>
      <c r="L200" s="712">
        <v>3575</v>
      </c>
      <c r="M200" s="712"/>
      <c r="N200" s="708">
        <v>0</v>
      </c>
      <c r="O200" s="708">
        <v>0</v>
      </c>
      <c r="P200" s="708">
        <v>0</v>
      </c>
      <c r="Q200" s="712">
        <v>0</v>
      </c>
      <c r="R200" s="712"/>
      <c r="S200" s="708">
        <v>45258</v>
      </c>
      <c r="T200" s="713">
        <v>1192</v>
      </c>
      <c r="U200" s="713">
        <v>46449</v>
      </c>
    </row>
    <row r="201" spans="1:21" x14ac:dyDescent="0.25">
      <c r="A201" s="709">
        <v>36205</v>
      </c>
      <c r="B201" s="710" t="s">
        <v>988</v>
      </c>
      <c r="C201" s="711">
        <v>2.5270000000000002E-4</v>
      </c>
      <c r="D201" s="711">
        <v>2.4610000000000002E-4</v>
      </c>
      <c r="E201" s="708">
        <v>15509</v>
      </c>
      <c r="F201" s="712">
        <v>-15283</v>
      </c>
      <c r="G201" s="712">
        <v>-15445</v>
      </c>
      <c r="H201" s="712"/>
      <c r="I201" s="708">
        <v>4235</v>
      </c>
      <c r="J201" s="708">
        <v>3385</v>
      </c>
      <c r="K201" s="708">
        <v>0</v>
      </c>
      <c r="L201" s="712">
        <v>0</v>
      </c>
      <c r="M201" s="712"/>
      <c r="N201" s="708">
        <v>0</v>
      </c>
      <c r="O201" s="708">
        <v>0</v>
      </c>
      <c r="P201" s="708">
        <v>0</v>
      </c>
      <c r="Q201" s="712">
        <v>359</v>
      </c>
      <c r="R201" s="712"/>
      <c r="S201" s="708">
        <v>8206</v>
      </c>
      <c r="T201" s="713">
        <v>-120</v>
      </c>
      <c r="U201" s="713">
        <v>8086</v>
      </c>
    </row>
    <row r="202" spans="1:21" x14ac:dyDescent="0.25">
      <c r="A202" s="709">
        <v>36300</v>
      </c>
      <c r="B202" s="710" t="s">
        <v>989</v>
      </c>
      <c r="C202" s="711">
        <v>4.4821000000000001E-3</v>
      </c>
      <c r="D202" s="711">
        <v>4.5243000000000002E-3</v>
      </c>
      <c r="E202" s="708">
        <v>262978</v>
      </c>
      <c r="F202" s="712">
        <v>-280959</v>
      </c>
      <c r="G202" s="712">
        <v>-273946</v>
      </c>
      <c r="H202" s="712"/>
      <c r="I202" s="708">
        <v>75111</v>
      </c>
      <c r="J202" s="708">
        <v>60047</v>
      </c>
      <c r="K202" s="708">
        <v>0</v>
      </c>
      <c r="L202" s="712">
        <v>0</v>
      </c>
      <c r="M202" s="712"/>
      <c r="N202" s="708">
        <v>0</v>
      </c>
      <c r="O202" s="708">
        <v>0</v>
      </c>
      <c r="P202" s="708">
        <v>0</v>
      </c>
      <c r="Q202" s="712">
        <v>8036</v>
      </c>
      <c r="R202" s="712"/>
      <c r="S202" s="708">
        <v>145547</v>
      </c>
      <c r="T202" s="713">
        <v>-2679</v>
      </c>
      <c r="U202" s="713">
        <v>142869</v>
      </c>
    </row>
    <row r="203" spans="1:21" x14ac:dyDescent="0.25">
      <c r="A203" s="709">
        <v>36301</v>
      </c>
      <c r="B203" s="710" t="s">
        <v>990</v>
      </c>
      <c r="C203" s="711">
        <v>7.2299999999999996E-5</v>
      </c>
      <c r="D203" s="711">
        <v>6.1500000000000004E-5</v>
      </c>
      <c r="E203" s="708">
        <v>3494</v>
      </c>
      <c r="F203" s="712">
        <v>-3819</v>
      </c>
      <c r="G203" s="712">
        <v>-4419</v>
      </c>
      <c r="H203" s="712"/>
      <c r="I203" s="708">
        <v>1212</v>
      </c>
      <c r="J203" s="708">
        <v>969</v>
      </c>
      <c r="K203" s="708">
        <v>0</v>
      </c>
      <c r="L203" s="712">
        <v>0</v>
      </c>
      <c r="M203" s="712"/>
      <c r="N203" s="708">
        <v>0</v>
      </c>
      <c r="O203" s="708">
        <v>0</v>
      </c>
      <c r="P203" s="708">
        <v>0</v>
      </c>
      <c r="Q203" s="712">
        <v>1225</v>
      </c>
      <c r="R203" s="712"/>
      <c r="S203" s="708">
        <v>2348</v>
      </c>
      <c r="T203" s="713">
        <v>-408</v>
      </c>
      <c r="U203" s="713">
        <v>1939</v>
      </c>
    </row>
    <row r="204" spans="1:21" x14ac:dyDescent="0.25">
      <c r="A204" s="709">
        <v>36302</v>
      </c>
      <c r="B204" s="710" t="s">
        <v>991</v>
      </c>
      <c r="C204" s="711">
        <v>1.0679999999999999E-4</v>
      </c>
      <c r="D204" s="711">
        <v>1.1239999999999999E-4</v>
      </c>
      <c r="E204" s="708">
        <v>5464</v>
      </c>
      <c r="F204" s="712">
        <v>-6980</v>
      </c>
      <c r="G204" s="712">
        <v>-6528</v>
      </c>
      <c r="H204" s="712"/>
      <c r="I204" s="708">
        <v>1790</v>
      </c>
      <c r="J204" s="708">
        <v>1431</v>
      </c>
      <c r="K204" s="708">
        <v>0</v>
      </c>
      <c r="L204" s="712">
        <v>0</v>
      </c>
      <c r="M204" s="712"/>
      <c r="N204" s="708">
        <v>0</v>
      </c>
      <c r="O204" s="708">
        <v>0</v>
      </c>
      <c r="P204" s="708">
        <v>0</v>
      </c>
      <c r="Q204" s="712">
        <v>579</v>
      </c>
      <c r="R204" s="712"/>
      <c r="S204" s="708">
        <v>3468</v>
      </c>
      <c r="T204" s="713">
        <v>-193</v>
      </c>
      <c r="U204" s="713">
        <v>3275</v>
      </c>
    </row>
    <row r="205" spans="1:21" x14ac:dyDescent="0.25">
      <c r="A205" s="709">
        <v>36305</v>
      </c>
      <c r="B205" s="710" t="s">
        <v>992</v>
      </c>
      <c r="C205" s="711">
        <v>8.1789999999999999E-4</v>
      </c>
      <c r="D205" s="711">
        <v>8.6989999999999995E-4</v>
      </c>
      <c r="E205" s="708">
        <v>58085</v>
      </c>
      <c r="F205" s="712">
        <v>-54021</v>
      </c>
      <c r="G205" s="712">
        <v>-49990</v>
      </c>
      <c r="H205" s="712"/>
      <c r="I205" s="708">
        <v>13706</v>
      </c>
      <c r="J205" s="708">
        <v>10957</v>
      </c>
      <c r="K205" s="708">
        <v>0</v>
      </c>
      <c r="L205" s="712">
        <v>8169</v>
      </c>
      <c r="M205" s="712"/>
      <c r="N205" s="708">
        <v>0</v>
      </c>
      <c r="O205" s="708">
        <v>0</v>
      </c>
      <c r="P205" s="708">
        <v>0</v>
      </c>
      <c r="Q205" s="712">
        <v>0</v>
      </c>
      <c r="R205" s="712"/>
      <c r="S205" s="708">
        <v>26560</v>
      </c>
      <c r="T205" s="713">
        <v>2723</v>
      </c>
      <c r="U205" s="713">
        <v>29283</v>
      </c>
    </row>
    <row r="206" spans="1:21" x14ac:dyDescent="0.25">
      <c r="A206" s="709">
        <v>36310</v>
      </c>
      <c r="B206" s="710" t="s">
        <v>1555</v>
      </c>
      <c r="C206" s="711">
        <v>3.4999999999999997E-5</v>
      </c>
      <c r="D206" s="711">
        <v>0</v>
      </c>
      <c r="E206" s="708">
        <v>1876</v>
      </c>
      <c r="F206" s="712">
        <v>0</v>
      </c>
      <c r="G206" s="712">
        <v>-2139</v>
      </c>
      <c r="H206" s="712"/>
      <c r="I206" s="708">
        <v>586.53</v>
      </c>
      <c r="J206" s="708">
        <v>468.89499999999998</v>
      </c>
      <c r="K206" s="708">
        <v>0</v>
      </c>
      <c r="L206" s="712">
        <v>0</v>
      </c>
      <c r="M206" s="712"/>
      <c r="N206" s="708">
        <v>0</v>
      </c>
      <c r="O206" s="708">
        <v>0</v>
      </c>
      <c r="P206" s="708">
        <v>0</v>
      </c>
      <c r="Q206" s="712">
        <v>1841</v>
      </c>
      <c r="R206" s="712"/>
      <c r="S206" s="708">
        <v>1137</v>
      </c>
      <c r="T206" s="713">
        <v>-614</v>
      </c>
      <c r="U206" s="713">
        <v>523</v>
      </c>
    </row>
    <row r="207" spans="1:21" x14ac:dyDescent="0.25">
      <c r="A207" s="709">
        <v>36400</v>
      </c>
      <c r="B207" s="710" t="s">
        <v>993</v>
      </c>
      <c r="C207" s="711">
        <v>4.9451E-3</v>
      </c>
      <c r="D207" s="711">
        <v>4.8573000000000002E-3</v>
      </c>
      <c r="E207" s="708">
        <v>309620</v>
      </c>
      <c r="F207" s="712">
        <v>-301638</v>
      </c>
      <c r="G207" s="712">
        <v>-302245</v>
      </c>
      <c r="H207" s="712"/>
      <c r="I207" s="708">
        <v>82870</v>
      </c>
      <c r="J207" s="708">
        <v>66250</v>
      </c>
      <c r="K207" s="708">
        <v>0</v>
      </c>
      <c r="L207" s="712">
        <v>0</v>
      </c>
      <c r="M207" s="712"/>
      <c r="N207" s="708">
        <v>0</v>
      </c>
      <c r="O207" s="708">
        <v>0</v>
      </c>
      <c r="P207" s="708">
        <v>0</v>
      </c>
      <c r="Q207" s="712">
        <v>516</v>
      </c>
      <c r="R207" s="712"/>
      <c r="S207" s="708">
        <v>160582</v>
      </c>
      <c r="T207" s="713">
        <v>-172</v>
      </c>
      <c r="U207" s="713">
        <v>160410</v>
      </c>
    </row>
    <row r="208" spans="1:21" x14ac:dyDescent="0.25">
      <c r="A208" s="709">
        <v>36405</v>
      </c>
      <c r="B208" s="710" t="s">
        <v>1556</v>
      </c>
      <c r="C208" s="711">
        <v>8.6149999999999996E-4</v>
      </c>
      <c r="D208" s="711">
        <v>8.407E-4</v>
      </c>
      <c r="E208" s="708">
        <v>50823</v>
      </c>
      <c r="F208" s="712">
        <v>-52207</v>
      </c>
      <c r="G208" s="712">
        <v>-52654.879999999997</v>
      </c>
      <c r="H208" s="712"/>
      <c r="I208" s="708">
        <v>14437</v>
      </c>
      <c r="J208" s="708">
        <v>11542</v>
      </c>
      <c r="K208" s="708">
        <v>0</v>
      </c>
      <c r="L208" s="712">
        <v>0</v>
      </c>
      <c r="M208" s="712"/>
      <c r="N208" s="708">
        <v>0</v>
      </c>
      <c r="O208" s="708">
        <v>0</v>
      </c>
      <c r="P208" s="708">
        <v>0</v>
      </c>
      <c r="Q208" s="712">
        <v>2684</v>
      </c>
      <c r="R208" s="712"/>
      <c r="S208" s="708">
        <v>27975</v>
      </c>
      <c r="T208" s="713">
        <v>-895</v>
      </c>
      <c r="U208" s="713">
        <v>27081</v>
      </c>
    </row>
    <row r="209" spans="1:21" x14ac:dyDescent="0.25">
      <c r="A209" s="709">
        <v>36500</v>
      </c>
      <c r="B209" s="710" t="s">
        <v>995</v>
      </c>
      <c r="C209" s="711">
        <v>9.7397000000000004E-3</v>
      </c>
      <c r="D209" s="711">
        <v>9.5695999999999993E-3</v>
      </c>
      <c r="E209" s="708">
        <v>572250</v>
      </c>
      <c r="F209" s="712">
        <v>-594272</v>
      </c>
      <c r="G209" s="712">
        <v>-595290</v>
      </c>
      <c r="H209" s="712"/>
      <c r="I209" s="708">
        <v>163218</v>
      </c>
      <c r="J209" s="708">
        <v>130483</v>
      </c>
      <c r="K209" s="708">
        <v>0</v>
      </c>
      <c r="L209" s="712">
        <v>0</v>
      </c>
      <c r="M209" s="712"/>
      <c r="N209" s="708">
        <v>0</v>
      </c>
      <c r="O209" s="708">
        <v>0</v>
      </c>
      <c r="P209" s="708">
        <v>0</v>
      </c>
      <c r="Q209" s="712">
        <v>29060</v>
      </c>
      <c r="R209" s="712"/>
      <c r="S209" s="708">
        <v>316277</v>
      </c>
      <c r="T209" s="713">
        <v>-9687</v>
      </c>
      <c r="U209" s="713">
        <v>306591</v>
      </c>
    </row>
    <row r="210" spans="1:21" x14ac:dyDescent="0.25">
      <c r="A210" s="709">
        <v>36501</v>
      </c>
      <c r="B210" s="710" t="s">
        <v>996</v>
      </c>
      <c r="C210" s="711">
        <v>1.2860000000000001E-4</v>
      </c>
      <c r="D210" s="711">
        <v>1.092E-4</v>
      </c>
      <c r="E210" s="708">
        <v>6506</v>
      </c>
      <c r="F210" s="712">
        <v>-6781</v>
      </c>
      <c r="G210" s="712">
        <v>-7860</v>
      </c>
      <c r="H210" s="712"/>
      <c r="I210" s="708">
        <v>2155</v>
      </c>
      <c r="J210" s="708">
        <v>1723</v>
      </c>
      <c r="K210" s="708">
        <v>0</v>
      </c>
      <c r="L210" s="712">
        <v>0</v>
      </c>
      <c r="M210" s="712"/>
      <c r="N210" s="708">
        <v>0</v>
      </c>
      <c r="O210" s="708">
        <v>0</v>
      </c>
      <c r="P210" s="708">
        <v>0</v>
      </c>
      <c r="Q210" s="712">
        <v>1970</v>
      </c>
      <c r="R210" s="712"/>
      <c r="S210" s="708">
        <v>4176</v>
      </c>
      <c r="T210" s="713">
        <v>-657</v>
      </c>
      <c r="U210" s="713">
        <v>3519</v>
      </c>
    </row>
    <row r="211" spans="1:21" x14ac:dyDescent="0.25">
      <c r="A211" s="709">
        <v>36502</v>
      </c>
      <c r="B211" s="710" t="s">
        <v>997</v>
      </c>
      <c r="C211" s="711">
        <v>4.49E-5</v>
      </c>
      <c r="D211" s="711">
        <v>4.7800000000000003E-5</v>
      </c>
      <c r="E211" s="708">
        <v>2331</v>
      </c>
      <c r="F211" s="712">
        <v>-2968</v>
      </c>
      <c r="G211" s="712">
        <v>-2744</v>
      </c>
      <c r="H211" s="712"/>
      <c r="I211" s="708">
        <v>752</v>
      </c>
      <c r="J211" s="708">
        <v>602</v>
      </c>
      <c r="K211" s="708">
        <v>0</v>
      </c>
      <c r="L211" s="712">
        <v>0</v>
      </c>
      <c r="M211" s="712"/>
      <c r="N211" s="708">
        <v>0</v>
      </c>
      <c r="O211" s="708">
        <v>0</v>
      </c>
      <c r="P211" s="708">
        <v>0</v>
      </c>
      <c r="Q211" s="712">
        <v>193</v>
      </c>
      <c r="R211" s="712"/>
      <c r="S211" s="708">
        <v>1458</v>
      </c>
      <c r="T211" s="713">
        <v>-64</v>
      </c>
      <c r="U211" s="713">
        <v>1394</v>
      </c>
    </row>
    <row r="212" spans="1:21" x14ac:dyDescent="0.25">
      <c r="A212" s="709">
        <v>36505</v>
      </c>
      <c r="B212" s="710" t="s">
        <v>998</v>
      </c>
      <c r="C212" s="711">
        <v>1.9540999999999998E-3</v>
      </c>
      <c r="D212" s="711">
        <v>1.8978000000000001E-3</v>
      </c>
      <c r="E212" s="708">
        <v>123302</v>
      </c>
      <c r="F212" s="712">
        <v>-117853</v>
      </c>
      <c r="G212" s="712">
        <v>-119435</v>
      </c>
      <c r="H212" s="712"/>
      <c r="I212" s="708">
        <v>32747</v>
      </c>
      <c r="J212" s="708">
        <v>26179</v>
      </c>
      <c r="K212" s="708">
        <v>0</v>
      </c>
      <c r="L212" s="712">
        <v>0</v>
      </c>
      <c r="M212" s="712"/>
      <c r="N212" s="708">
        <v>0</v>
      </c>
      <c r="O212" s="708">
        <v>0</v>
      </c>
      <c r="P212" s="708">
        <v>0</v>
      </c>
      <c r="Q212" s="712">
        <v>496</v>
      </c>
      <c r="R212" s="712"/>
      <c r="S212" s="708">
        <v>63455</v>
      </c>
      <c r="T212" s="713">
        <v>-165</v>
      </c>
      <c r="U212" s="713">
        <v>63290</v>
      </c>
    </row>
    <row r="213" spans="1:21" x14ac:dyDescent="0.25">
      <c r="A213" s="709">
        <v>36600</v>
      </c>
      <c r="B213" s="710" t="s">
        <v>999</v>
      </c>
      <c r="C213" s="711">
        <v>6.8749999999999996E-4</v>
      </c>
      <c r="D213" s="711">
        <v>7.027E-4</v>
      </c>
      <c r="E213" s="708">
        <v>47155</v>
      </c>
      <c r="F213" s="712">
        <v>-43638</v>
      </c>
      <c r="G213" s="712">
        <v>-42020</v>
      </c>
      <c r="H213" s="712"/>
      <c r="I213" s="708">
        <v>11521.125</v>
      </c>
      <c r="J213" s="708">
        <v>9210.4375</v>
      </c>
      <c r="K213" s="708">
        <v>0</v>
      </c>
      <c r="L213" s="712">
        <v>4287</v>
      </c>
      <c r="M213" s="712"/>
      <c r="N213" s="708">
        <v>0</v>
      </c>
      <c r="O213" s="708">
        <v>0</v>
      </c>
      <c r="P213" s="708">
        <v>0</v>
      </c>
      <c r="Q213" s="712">
        <v>0</v>
      </c>
      <c r="R213" s="712"/>
      <c r="S213" s="708">
        <v>22325.1875</v>
      </c>
      <c r="T213" s="713">
        <v>1429</v>
      </c>
      <c r="U213" s="713">
        <v>23754</v>
      </c>
    </row>
    <row r="214" spans="1:21" x14ac:dyDescent="0.25">
      <c r="A214" s="709">
        <v>36601</v>
      </c>
      <c r="B214" s="710" t="s">
        <v>1000</v>
      </c>
      <c r="C214" s="711">
        <v>4.2230000000000002E-4</v>
      </c>
      <c r="D214" s="711">
        <v>3.8210000000000002E-4</v>
      </c>
      <c r="E214" s="708">
        <v>20183</v>
      </c>
      <c r="F214" s="712">
        <v>-23728</v>
      </c>
      <c r="G214" s="712">
        <v>-25811</v>
      </c>
      <c r="H214" s="712"/>
      <c r="I214" s="708">
        <v>7077</v>
      </c>
      <c r="J214" s="708">
        <v>5658</v>
      </c>
      <c r="K214" s="708">
        <v>0</v>
      </c>
      <c r="L214" s="712">
        <v>0</v>
      </c>
      <c r="M214" s="712"/>
      <c r="N214" s="708">
        <v>0</v>
      </c>
      <c r="O214" s="708">
        <v>0</v>
      </c>
      <c r="P214" s="708">
        <v>0</v>
      </c>
      <c r="Q214" s="712">
        <v>6260</v>
      </c>
      <c r="R214" s="712"/>
      <c r="S214" s="708">
        <v>13713</v>
      </c>
      <c r="T214" s="713">
        <v>-2087</v>
      </c>
      <c r="U214" s="713">
        <v>11627</v>
      </c>
    </row>
    <row r="215" spans="1:21" x14ac:dyDescent="0.25">
      <c r="A215" s="709">
        <v>36700</v>
      </c>
      <c r="B215" s="710" t="s">
        <v>1001</v>
      </c>
      <c r="C215" s="711">
        <v>8.1998999999999996E-3</v>
      </c>
      <c r="D215" s="711">
        <v>8.2167999999999998E-3</v>
      </c>
      <c r="E215" s="708">
        <v>474902</v>
      </c>
      <c r="F215" s="712">
        <v>-510263</v>
      </c>
      <c r="G215" s="712">
        <v>-501178</v>
      </c>
      <c r="H215" s="712"/>
      <c r="I215" s="708">
        <v>137414</v>
      </c>
      <c r="J215" s="708">
        <v>109854</v>
      </c>
      <c r="K215" s="708">
        <v>0</v>
      </c>
      <c r="L215" s="712">
        <v>0</v>
      </c>
      <c r="M215" s="712"/>
      <c r="N215" s="708">
        <v>0</v>
      </c>
      <c r="O215" s="708">
        <v>0</v>
      </c>
      <c r="P215" s="708">
        <v>0</v>
      </c>
      <c r="Q215" s="712">
        <v>22167</v>
      </c>
      <c r="R215" s="712"/>
      <c r="S215" s="708">
        <v>266275</v>
      </c>
      <c r="T215" s="713">
        <v>-7389</v>
      </c>
      <c r="U215" s="713">
        <v>258886</v>
      </c>
    </row>
    <row r="216" spans="1:21" x14ac:dyDescent="0.25">
      <c r="A216" s="709">
        <v>36701</v>
      </c>
      <c r="B216" s="710" t="s">
        <v>1002</v>
      </c>
      <c r="C216" s="711">
        <v>2.9799999999999999E-5</v>
      </c>
      <c r="D216" s="711">
        <v>4.3000000000000002E-5</v>
      </c>
      <c r="E216" s="708">
        <v>1320</v>
      </c>
      <c r="F216" s="712">
        <v>-2670</v>
      </c>
      <c r="G216" s="712">
        <v>-1821</v>
      </c>
      <c r="H216" s="712"/>
      <c r="I216" s="708">
        <v>499</v>
      </c>
      <c r="J216" s="708">
        <v>399</v>
      </c>
      <c r="K216" s="708">
        <v>0</v>
      </c>
      <c r="L216" s="712">
        <v>227</v>
      </c>
      <c r="M216" s="712"/>
      <c r="N216" s="708">
        <v>0</v>
      </c>
      <c r="O216" s="708">
        <v>0</v>
      </c>
      <c r="P216" s="708">
        <v>0</v>
      </c>
      <c r="Q216" s="712">
        <v>0</v>
      </c>
      <c r="R216" s="712"/>
      <c r="S216" s="708">
        <v>968</v>
      </c>
      <c r="T216" s="713">
        <v>76</v>
      </c>
      <c r="U216" s="713">
        <v>1043</v>
      </c>
    </row>
    <row r="217" spans="1:21" x14ac:dyDescent="0.25">
      <c r="A217" s="709">
        <v>36705</v>
      </c>
      <c r="B217" s="710" t="s">
        <v>1003</v>
      </c>
      <c r="C217" s="711">
        <v>9.6460000000000003E-4</v>
      </c>
      <c r="D217" s="711">
        <v>9.3300000000000002E-4</v>
      </c>
      <c r="E217" s="708">
        <v>60358</v>
      </c>
      <c r="F217" s="712">
        <v>-57939</v>
      </c>
      <c r="G217" s="712">
        <v>-58956</v>
      </c>
      <c r="H217" s="712"/>
      <c r="I217" s="708">
        <v>16165</v>
      </c>
      <c r="J217" s="708">
        <v>12923</v>
      </c>
      <c r="K217" s="708">
        <v>0</v>
      </c>
      <c r="L217" s="712">
        <v>0</v>
      </c>
      <c r="M217" s="712"/>
      <c r="N217" s="708">
        <v>0</v>
      </c>
      <c r="O217" s="708">
        <v>0</v>
      </c>
      <c r="P217" s="708">
        <v>0</v>
      </c>
      <c r="Q217" s="712">
        <v>803</v>
      </c>
      <c r="R217" s="712"/>
      <c r="S217" s="708">
        <v>31323</v>
      </c>
      <c r="T217" s="713">
        <v>-268</v>
      </c>
      <c r="U217" s="713">
        <v>31056</v>
      </c>
    </row>
    <row r="218" spans="1:21" x14ac:dyDescent="0.25">
      <c r="A218" s="709">
        <v>36800</v>
      </c>
      <c r="B218" s="710" t="s">
        <v>1004</v>
      </c>
      <c r="C218" s="711">
        <v>3.0942000000000001E-3</v>
      </c>
      <c r="D218" s="711">
        <v>3.0677999999999999E-3</v>
      </c>
      <c r="E218" s="708">
        <v>190882</v>
      </c>
      <c r="F218" s="712">
        <v>-190510</v>
      </c>
      <c r="G218" s="712">
        <v>-189118</v>
      </c>
      <c r="H218" s="712"/>
      <c r="I218" s="708">
        <v>51853</v>
      </c>
      <c r="J218" s="708">
        <v>41453</v>
      </c>
      <c r="K218" s="708">
        <v>0</v>
      </c>
      <c r="L218" s="712">
        <v>0</v>
      </c>
      <c r="M218" s="712"/>
      <c r="N218" s="708">
        <v>0</v>
      </c>
      <c r="O218" s="708">
        <v>0</v>
      </c>
      <c r="P218" s="708">
        <v>0</v>
      </c>
      <c r="Q218" s="712">
        <v>1132</v>
      </c>
      <c r="R218" s="712"/>
      <c r="S218" s="708">
        <v>100478</v>
      </c>
      <c r="T218" s="713">
        <v>-377</v>
      </c>
      <c r="U218" s="713">
        <v>100101</v>
      </c>
    </row>
    <row r="219" spans="1:21" s="731" customFormat="1" x14ac:dyDescent="0.25">
      <c r="A219" s="725">
        <v>36801</v>
      </c>
      <c r="B219" s="726" t="s">
        <v>1005</v>
      </c>
      <c r="C219" s="727">
        <v>0</v>
      </c>
      <c r="D219" s="727">
        <v>0</v>
      </c>
      <c r="E219" s="728">
        <v>0</v>
      </c>
      <c r="F219" s="729">
        <v>0</v>
      </c>
      <c r="G219" s="729">
        <v>0</v>
      </c>
      <c r="H219" s="729"/>
      <c r="I219" s="728">
        <v>0</v>
      </c>
      <c r="J219" s="728">
        <v>0</v>
      </c>
      <c r="K219" s="728">
        <v>0</v>
      </c>
      <c r="L219" s="729">
        <v>0</v>
      </c>
      <c r="M219" s="729"/>
      <c r="N219" s="728">
        <v>0</v>
      </c>
      <c r="O219" s="728">
        <v>0</v>
      </c>
      <c r="P219" s="728">
        <v>0</v>
      </c>
      <c r="Q219" s="729">
        <v>0</v>
      </c>
      <c r="R219" s="729"/>
      <c r="S219" s="728">
        <v>0</v>
      </c>
      <c r="T219" s="730">
        <v>0</v>
      </c>
      <c r="U219" s="730">
        <v>0</v>
      </c>
    </row>
    <row r="220" spans="1:21" x14ac:dyDescent="0.25">
      <c r="A220" s="709">
        <v>36802</v>
      </c>
      <c r="B220" s="710" t="s">
        <v>1006</v>
      </c>
      <c r="C220" s="711">
        <v>1.1340000000000001E-4</v>
      </c>
      <c r="D220" s="711">
        <v>8.1299999999999997E-5</v>
      </c>
      <c r="E220" s="708">
        <v>5295</v>
      </c>
      <c r="F220" s="712">
        <v>-5049</v>
      </c>
      <c r="G220" s="712">
        <v>-6931</v>
      </c>
      <c r="H220" s="712"/>
      <c r="I220" s="708">
        <v>1900</v>
      </c>
      <c r="J220" s="708">
        <v>1519</v>
      </c>
      <c r="K220" s="708">
        <v>0</v>
      </c>
      <c r="L220" s="712">
        <v>0</v>
      </c>
      <c r="M220" s="712"/>
      <c r="N220" s="708">
        <v>0</v>
      </c>
      <c r="O220" s="708">
        <v>0</v>
      </c>
      <c r="P220" s="708">
        <v>0</v>
      </c>
      <c r="Q220" s="712">
        <v>2767</v>
      </c>
      <c r="R220" s="712"/>
      <c r="S220" s="708">
        <v>3682</v>
      </c>
      <c r="T220" s="713">
        <v>-922</v>
      </c>
      <c r="U220" s="713">
        <v>2760</v>
      </c>
    </row>
    <row r="221" spans="1:21" x14ac:dyDescent="0.25">
      <c r="A221" s="709">
        <v>36810</v>
      </c>
      <c r="B221" s="710" t="s">
        <v>1557</v>
      </c>
      <c r="C221" s="711">
        <v>5.8441999999999999E-3</v>
      </c>
      <c r="D221" s="711">
        <v>5.9566000000000003E-3</v>
      </c>
      <c r="E221" s="708">
        <v>341582</v>
      </c>
      <c r="F221" s="712">
        <v>-369905</v>
      </c>
      <c r="G221" s="712">
        <v>-357198</v>
      </c>
      <c r="H221" s="712"/>
      <c r="I221" s="708">
        <v>97937</v>
      </c>
      <c r="J221" s="708">
        <v>78295</v>
      </c>
      <c r="K221" s="708">
        <v>0</v>
      </c>
      <c r="L221" s="712">
        <v>0</v>
      </c>
      <c r="M221" s="712"/>
      <c r="N221" s="708">
        <v>0</v>
      </c>
      <c r="O221" s="708">
        <v>0</v>
      </c>
      <c r="P221" s="708">
        <v>0</v>
      </c>
      <c r="Q221" s="712">
        <v>8791</v>
      </c>
      <c r="R221" s="712"/>
      <c r="S221" s="708">
        <v>189779</v>
      </c>
      <c r="T221" s="713">
        <v>-2930</v>
      </c>
      <c r="U221" s="713">
        <v>186848</v>
      </c>
    </row>
    <row r="222" spans="1:21" x14ac:dyDescent="0.25">
      <c r="A222" s="709">
        <v>36900</v>
      </c>
      <c r="B222" s="710" t="s">
        <v>1008</v>
      </c>
      <c r="C222" s="711">
        <v>5.7249999999999998E-4</v>
      </c>
      <c r="D222" s="711">
        <v>5.8239999999999995E-4</v>
      </c>
      <c r="E222" s="708">
        <v>35198</v>
      </c>
      <c r="F222" s="712">
        <v>-36167</v>
      </c>
      <c r="G222" s="712">
        <v>-34991</v>
      </c>
      <c r="H222" s="712"/>
      <c r="I222" s="708">
        <v>9594</v>
      </c>
      <c r="J222" s="708">
        <v>7670</v>
      </c>
      <c r="K222" s="708">
        <v>0</v>
      </c>
      <c r="L222" s="712">
        <v>390</v>
      </c>
      <c r="M222" s="712"/>
      <c r="N222" s="708">
        <v>0</v>
      </c>
      <c r="O222" s="708">
        <v>0</v>
      </c>
      <c r="P222" s="708">
        <v>0</v>
      </c>
      <c r="Q222" s="712">
        <v>0</v>
      </c>
      <c r="R222" s="712"/>
      <c r="S222" s="708">
        <v>18591</v>
      </c>
      <c r="T222" s="713">
        <v>130</v>
      </c>
      <c r="U222" s="713">
        <v>18721</v>
      </c>
    </row>
    <row r="223" spans="1:21" x14ac:dyDescent="0.25">
      <c r="A223" s="709">
        <v>36901</v>
      </c>
      <c r="B223" s="710" t="s">
        <v>1009</v>
      </c>
      <c r="C223" s="711">
        <v>1.94E-4</v>
      </c>
      <c r="D223" s="711">
        <v>1.919E-4</v>
      </c>
      <c r="E223" s="708">
        <v>12048</v>
      </c>
      <c r="F223" s="712">
        <v>-11917</v>
      </c>
      <c r="G223" s="712">
        <v>-11857.28</v>
      </c>
      <c r="H223" s="712"/>
      <c r="I223" s="708">
        <v>3251</v>
      </c>
      <c r="J223" s="708">
        <v>2599</v>
      </c>
      <c r="K223" s="708">
        <v>0</v>
      </c>
      <c r="L223" s="712">
        <v>0</v>
      </c>
      <c r="M223" s="712"/>
      <c r="N223" s="708">
        <v>0</v>
      </c>
      <c r="O223" s="708">
        <v>0</v>
      </c>
      <c r="P223" s="708">
        <v>0</v>
      </c>
      <c r="Q223" s="712">
        <v>32</v>
      </c>
      <c r="R223" s="712"/>
      <c r="S223" s="708">
        <v>6300</v>
      </c>
      <c r="T223" s="713">
        <v>-11</v>
      </c>
      <c r="U223" s="713">
        <v>6289</v>
      </c>
    </row>
    <row r="224" spans="1:21" x14ac:dyDescent="0.25">
      <c r="A224" s="709">
        <v>36905</v>
      </c>
      <c r="B224" s="710" t="s">
        <v>1010</v>
      </c>
      <c r="C224" s="711">
        <v>1.9149999999999999E-4</v>
      </c>
      <c r="D224" s="711">
        <v>1.7919999999999999E-4</v>
      </c>
      <c r="E224" s="708">
        <v>13593</v>
      </c>
      <c r="F224" s="712">
        <v>-11128</v>
      </c>
      <c r="G224" s="712">
        <v>-11704.48</v>
      </c>
      <c r="H224" s="712"/>
      <c r="I224" s="708">
        <v>3209</v>
      </c>
      <c r="J224" s="708">
        <v>2566</v>
      </c>
      <c r="K224" s="708">
        <v>0</v>
      </c>
      <c r="L224" s="712">
        <v>768</v>
      </c>
      <c r="M224" s="712"/>
      <c r="N224" s="708">
        <v>0</v>
      </c>
      <c r="O224" s="708">
        <v>0</v>
      </c>
      <c r="P224" s="708">
        <v>0</v>
      </c>
      <c r="Q224" s="712">
        <v>0</v>
      </c>
      <c r="R224" s="712"/>
      <c r="S224" s="708">
        <v>6219</v>
      </c>
      <c r="T224" s="713">
        <v>256</v>
      </c>
      <c r="U224" s="713">
        <v>6475</v>
      </c>
    </row>
    <row r="225" spans="1:21" x14ac:dyDescent="0.25">
      <c r="A225" s="709">
        <v>37000</v>
      </c>
      <c r="B225" s="710" t="s">
        <v>1011</v>
      </c>
      <c r="C225" s="711">
        <v>1.9151999999999999E-3</v>
      </c>
      <c r="D225" s="711">
        <v>2.0284000000000001E-3</v>
      </c>
      <c r="E225" s="708">
        <v>116348</v>
      </c>
      <c r="F225" s="712">
        <v>-125964</v>
      </c>
      <c r="G225" s="712">
        <v>-117057</v>
      </c>
      <c r="H225" s="712"/>
      <c r="I225" s="708">
        <v>32095</v>
      </c>
      <c r="J225" s="708">
        <v>25658</v>
      </c>
      <c r="K225" s="708">
        <v>0</v>
      </c>
      <c r="L225" s="712">
        <v>3982</v>
      </c>
      <c r="M225" s="712"/>
      <c r="N225" s="708">
        <v>0</v>
      </c>
      <c r="O225" s="708">
        <v>0</v>
      </c>
      <c r="P225" s="708">
        <v>0</v>
      </c>
      <c r="Q225" s="712">
        <v>0</v>
      </c>
      <c r="R225" s="712"/>
      <c r="S225" s="708">
        <v>62192</v>
      </c>
      <c r="T225" s="713">
        <v>1327</v>
      </c>
      <c r="U225" s="713">
        <v>63520</v>
      </c>
    </row>
    <row r="226" spans="1:21" x14ac:dyDescent="0.25">
      <c r="A226" s="709">
        <v>37001</v>
      </c>
      <c r="B226" s="710" t="s">
        <v>1168</v>
      </c>
      <c r="C226" s="711">
        <v>7.9599999999999997E-5</v>
      </c>
      <c r="D226" s="711">
        <v>4.1199999999999999E-5</v>
      </c>
      <c r="E226" s="708">
        <v>3917</v>
      </c>
      <c r="F226" s="712">
        <v>-2559</v>
      </c>
      <c r="G226" s="712">
        <v>-4865</v>
      </c>
      <c r="H226" s="712"/>
      <c r="I226" s="708">
        <v>1334</v>
      </c>
      <c r="J226" s="708">
        <v>1066</v>
      </c>
      <c r="K226" s="708">
        <v>0</v>
      </c>
      <c r="L226" s="712">
        <v>0</v>
      </c>
      <c r="M226" s="712"/>
      <c r="N226" s="708">
        <v>0</v>
      </c>
      <c r="O226" s="708">
        <v>0</v>
      </c>
      <c r="P226" s="708">
        <v>0</v>
      </c>
      <c r="Q226" s="712">
        <v>2531</v>
      </c>
      <c r="R226" s="712"/>
      <c r="S226" s="708">
        <v>2585</v>
      </c>
      <c r="T226" s="713">
        <v>-844</v>
      </c>
      <c r="U226" s="713">
        <v>1741</v>
      </c>
    </row>
    <row r="227" spans="1:21" x14ac:dyDescent="0.25">
      <c r="A227" s="709">
        <v>37005</v>
      </c>
      <c r="B227" s="710" t="s">
        <v>1012</v>
      </c>
      <c r="C227" s="711">
        <v>4.572E-4</v>
      </c>
      <c r="D227" s="711">
        <v>4.707E-4</v>
      </c>
      <c r="E227" s="708">
        <v>32154</v>
      </c>
      <c r="F227" s="712">
        <v>-29230</v>
      </c>
      <c r="G227" s="712">
        <v>-27944</v>
      </c>
      <c r="H227" s="712"/>
      <c r="I227" s="708">
        <v>7662</v>
      </c>
      <c r="J227" s="708">
        <v>6125</v>
      </c>
      <c r="K227" s="708">
        <v>0</v>
      </c>
      <c r="L227" s="712">
        <v>3605</v>
      </c>
      <c r="M227" s="712"/>
      <c r="N227" s="708">
        <v>0</v>
      </c>
      <c r="O227" s="708">
        <v>0</v>
      </c>
      <c r="P227" s="708">
        <v>0</v>
      </c>
      <c r="Q227" s="712">
        <v>0</v>
      </c>
      <c r="R227" s="712"/>
      <c r="S227" s="708">
        <v>14847</v>
      </c>
      <c r="T227" s="713">
        <v>1202</v>
      </c>
      <c r="U227" s="713">
        <v>16048</v>
      </c>
    </row>
    <row r="228" spans="1:21" x14ac:dyDescent="0.25">
      <c r="A228" s="709">
        <v>37100</v>
      </c>
      <c r="B228" s="710" t="s">
        <v>1013</v>
      </c>
      <c r="C228" s="711">
        <v>2.9053E-3</v>
      </c>
      <c r="D228" s="711">
        <v>2.8511000000000001E-3</v>
      </c>
      <c r="E228" s="708">
        <v>167058</v>
      </c>
      <c r="F228" s="712">
        <v>-177053</v>
      </c>
      <c r="G228" s="712">
        <v>-177572</v>
      </c>
      <c r="H228" s="712"/>
      <c r="I228" s="708">
        <v>48687</v>
      </c>
      <c r="J228" s="708">
        <v>38922</v>
      </c>
      <c r="K228" s="708">
        <v>0</v>
      </c>
      <c r="L228" s="712">
        <v>0</v>
      </c>
      <c r="M228" s="712"/>
      <c r="N228" s="708">
        <v>0</v>
      </c>
      <c r="O228" s="708">
        <v>0</v>
      </c>
      <c r="P228" s="708">
        <v>0</v>
      </c>
      <c r="Q228" s="712">
        <v>11560</v>
      </c>
      <c r="R228" s="712"/>
      <c r="S228" s="708">
        <v>94344</v>
      </c>
      <c r="T228" s="713">
        <v>-3853</v>
      </c>
      <c r="U228" s="713">
        <v>90490</v>
      </c>
    </row>
    <row r="229" spans="1:21" x14ac:dyDescent="0.25">
      <c r="A229" s="709">
        <v>37200</v>
      </c>
      <c r="B229" s="710" t="s">
        <v>1014</v>
      </c>
      <c r="C229" s="711">
        <v>6.4570000000000003E-4</v>
      </c>
      <c r="D229" s="711">
        <v>6.3849999999999996E-4</v>
      </c>
      <c r="E229" s="708">
        <v>38634</v>
      </c>
      <c r="F229" s="712">
        <v>-39651</v>
      </c>
      <c r="G229" s="712">
        <v>-39465</v>
      </c>
      <c r="H229" s="712"/>
      <c r="I229" s="708">
        <v>10821</v>
      </c>
      <c r="J229" s="708">
        <v>8650</v>
      </c>
      <c r="K229" s="708">
        <v>0</v>
      </c>
      <c r="L229" s="712">
        <v>0</v>
      </c>
      <c r="M229" s="712"/>
      <c r="N229" s="708">
        <v>0</v>
      </c>
      <c r="O229" s="708">
        <v>0</v>
      </c>
      <c r="P229" s="708">
        <v>0</v>
      </c>
      <c r="Q229" s="712">
        <v>1214</v>
      </c>
      <c r="R229" s="712"/>
      <c r="S229" s="708">
        <v>20968</v>
      </c>
      <c r="T229" s="713">
        <v>-405</v>
      </c>
      <c r="U229" s="713">
        <v>20563</v>
      </c>
    </row>
    <row r="230" spans="1:21" x14ac:dyDescent="0.25">
      <c r="A230" s="709">
        <v>37300</v>
      </c>
      <c r="B230" s="710" t="s">
        <v>1015</v>
      </c>
      <c r="C230" s="711">
        <v>1.7251E-3</v>
      </c>
      <c r="D230" s="711">
        <v>1.6995999999999999E-3</v>
      </c>
      <c r="E230" s="708">
        <v>98821</v>
      </c>
      <c r="F230" s="712">
        <v>-105545</v>
      </c>
      <c r="G230" s="712">
        <v>-105438</v>
      </c>
      <c r="H230" s="712"/>
      <c r="I230" s="708">
        <v>28909</v>
      </c>
      <c r="J230" s="708">
        <v>23111</v>
      </c>
      <c r="K230" s="708">
        <v>0</v>
      </c>
      <c r="L230" s="712">
        <v>0</v>
      </c>
      <c r="M230" s="712"/>
      <c r="N230" s="708">
        <v>0</v>
      </c>
      <c r="O230" s="708">
        <v>0</v>
      </c>
      <c r="P230" s="708">
        <v>0</v>
      </c>
      <c r="Q230" s="712">
        <v>6834</v>
      </c>
      <c r="R230" s="712"/>
      <c r="S230" s="708">
        <v>56019</v>
      </c>
      <c r="T230" s="713">
        <v>-2278</v>
      </c>
      <c r="U230" s="713">
        <v>53741</v>
      </c>
    </row>
    <row r="231" spans="1:21" x14ac:dyDescent="0.25">
      <c r="A231" s="709">
        <v>37301</v>
      </c>
      <c r="B231" s="710" t="s">
        <v>1016</v>
      </c>
      <c r="C231" s="711">
        <v>1.8780000000000001E-4</v>
      </c>
      <c r="D231" s="711">
        <v>1.7569999999999999E-4</v>
      </c>
      <c r="E231" s="708">
        <v>10804</v>
      </c>
      <c r="F231" s="712">
        <v>-10911</v>
      </c>
      <c r="G231" s="712">
        <v>-11478</v>
      </c>
      <c r="H231" s="712"/>
      <c r="I231" s="708">
        <v>3147</v>
      </c>
      <c r="J231" s="708">
        <v>2516</v>
      </c>
      <c r="K231" s="708">
        <v>0</v>
      </c>
      <c r="L231" s="712">
        <v>0</v>
      </c>
      <c r="M231" s="712"/>
      <c r="N231" s="708">
        <v>0</v>
      </c>
      <c r="O231" s="708">
        <v>0</v>
      </c>
      <c r="P231" s="708">
        <v>0</v>
      </c>
      <c r="Q231" s="712">
        <v>1144</v>
      </c>
      <c r="R231" s="712"/>
      <c r="S231" s="708">
        <v>6098</v>
      </c>
      <c r="T231" s="713">
        <v>-381</v>
      </c>
      <c r="U231" s="713">
        <v>5717</v>
      </c>
    </row>
    <row r="232" spans="1:21" x14ac:dyDescent="0.25">
      <c r="A232" s="709">
        <v>37305</v>
      </c>
      <c r="B232" s="710" t="s">
        <v>1017</v>
      </c>
      <c r="C232" s="711">
        <v>4.4040000000000003E-4</v>
      </c>
      <c r="D232" s="711">
        <v>4.8660000000000001E-4</v>
      </c>
      <c r="E232" s="708">
        <v>34140</v>
      </c>
      <c r="F232" s="712">
        <v>-30218</v>
      </c>
      <c r="G232" s="712">
        <v>-26917</v>
      </c>
      <c r="H232" s="712"/>
      <c r="I232" s="708">
        <v>7380</v>
      </c>
      <c r="J232" s="708">
        <v>5900</v>
      </c>
      <c r="K232" s="708">
        <v>0</v>
      </c>
      <c r="L232" s="712">
        <v>7395</v>
      </c>
      <c r="M232" s="712"/>
      <c r="N232" s="708">
        <v>0</v>
      </c>
      <c r="O232" s="708">
        <v>0</v>
      </c>
      <c r="P232" s="708">
        <v>0</v>
      </c>
      <c r="Q232" s="712">
        <v>0</v>
      </c>
      <c r="R232" s="712"/>
      <c r="S232" s="708">
        <v>14301</v>
      </c>
      <c r="T232" s="713">
        <v>2465</v>
      </c>
      <c r="U232" s="713">
        <v>16766</v>
      </c>
    </row>
    <row r="233" spans="1:21" x14ac:dyDescent="0.25">
      <c r="A233" s="709">
        <v>37400</v>
      </c>
      <c r="B233" s="710" t="s">
        <v>1018</v>
      </c>
      <c r="C233" s="711">
        <v>8.0526999999999994E-3</v>
      </c>
      <c r="D233" s="711">
        <v>8.2755999999999993E-3</v>
      </c>
      <c r="E233" s="708">
        <v>454142</v>
      </c>
      <c r="F233" s="712">
        <v>-513915</v>
      </c>
      <c r="G233" s="712">
        <v>-492181</v>
      </c>
      <c r="H233" s="712"/>
      <c r="I233" s="708">
        <v>134947</v>
      </c>
      <c r="J233" s="708">
        <v>107882</v>
      </c>
      <c r="K233" s="708">
        <v>0</v>
      </c>
      <c r="L233" s="712">
        <v>0</v>
      </c>
      <c r="M233" s="712"/>
      <c r="N233" s="708">
        <v>0</v>
      </c>
      <c r="O233" s="708">
        <v>0</v>
      </c>
      <c r="P233" s="708">
        <v>0</v>
      </c>
      <c r="Q233" s="712">
        <v>21336</v>
      </c>
      <c r="R233" s="712"/>
      <c r="S233" s="708">
        <v>261495</v>
      </c>
      <c r="T233" s="713">
        <v>-7112</v>
      </c>
      <c r="U233" s="713">
        <v>254383</v>
      </c>
    </row>
    <row r="234" spans="1:21" x14ac:dyDescent="0.25">
      <c r="A234" s="709">
        <v>37405</v>
      </c>
      <c r="B234" s="710" t="s">
        <v>1019</v>
      </c>
      <c r="C234" s="711">
        <v>1.864E-3</v>
      </c>
      <c r="D234" s="711">
        <v>1.8485000000000001E-3</v>
      </c>
      <c r="E234" s="708">
        <v>110550</v>
      </c>
      <c r="F234" s="712">
        <v>-114792</v>
      </c>
      <c r="G234" s="712">
        <v>-113927.67999999999</v>
      </c>
      <c r="H234" s="712"/>
      <c r="I234" s="708">
        <v>31237</v>
      </c>
      <c r="J234" s="708">
        <v>24972</v>
      </c>
      <c r="K234" s="708">
        <v>0</v>
      </c>
      <c r="L234" s="712">
        <v>0</v>
      </c>
      <c r="M234" s="712"/>
      <c r="N234" s="708">
        <v>0</v>
      </c>
      <c r="O234" s="708">
        <v>0</v>
      </c>
      <c r="P234" s="708">
        <v>0</v>
      </c>
      <c r="Q234" s="712">
        <v>3993</v>
      </c>
      <c r="R234" s="712"/>
      <c r="S234" s="708">
        <v>60530</v>
      </c>
      <c r="T234" s="713">
        <v>-1331</v>
      </c>
      <c r="U234" s="713">
        <v>59199</v>
      </c>
    </row>
    <row r="235" spans="1:21" x14ac:dyDescent="0.25">
      <c r="A235" s="709">
        <v>37500</v>
      </c>
      <c r="B235" s="710" t="s">
        <v>1020</v>
      </c>
      <c r="C235" s="711">
        <v>8.9360000000000004E-4</v>
      </c>
      <c r="D235" s="711">
        <v>8.9860000000000005E-4</v>
      </c>
      <c r="E235" s="708">
        <v>56260</v>
      </c>
      <c r="F235" s="712">
        <v>-55803</v>
      </c>
      <c r="G235" s="712">
        <v>-54617</v>
      </c>
      <c r="H235" s="712"/>
      <c r="I235" s="708">
        <v>14975</v>
      </c>
      <c r="J235" s="708">
        <v>11972</v>
      </c>
      <c r="K235" s="708">
        <v>0</v>
      </c>
      <c r="L235" s="712">
        <v>1111</v>
      </c>
      <c r="M235" s="712"/>
      <c r="N235" s="708">
        <v>0</v>
      </c>
      <c r="O235" s="708">
        <v>0</v>
      </c>
      <c r="P235" s="708">
        <v>0</v>
      </c>
      <c r="Q235" s="712">
        <v>0</v>
      </c>
      <c r="R235" s="712"/>
      <c r="S235" s="708">
        <v>29018</v>
      </c>
      <c r="T235" s="713">
        <v>370</v>
      </c>
      <c r="U235" s="713">
        <v>29388</v>
      </c>
    </row>
    <row r="236" spans="1:21" x14ac:dyDescent="0.25">
      <c r="A236" s="709">
        <v>37600</v>
      </c>
      <c r="B236" s="710" t="s">
        <v>1021</v>
      </c>
      <c r="C236" s="711">
        <v>5.6343000000000001E-3</v>
      </c>
      <c r="D236" s="711">
        <v>5.7749000000000003E-3</v>
      </c>
      <c r="E236" s="708">
        <v>327897</v>
      </c>
      <c r="F236" s="712">
        <v>-358621</v>
      </c>
      <c r="G236" s="712">
        <v>-344368</v>
      </c>
      <c r="H236" s="712"/>
      <c r="I236" s="708">
        <v>94420</v>
      </c>
      <c r="J236" s="708">
        <v>75483</v>
      </c>
      <c r="K236" s="708">
        <v>0</v>
      </c>
      <c r="L236" s="712">
        <v>0</v>
      </c>
      <c r="M236" s="712"/>
      <c r="N236" s="708">
        <v>0</v>
      </c>
      <c r="O236" s="708">
        <v>0</v>
      </c>
      <c r="P236" s="708">
        <v>0</v>
      </c>
      <c r="Q236" s="712">
        <v>8036</v>
      </c>
      <c r="R236" s="712"/>
      <c r="S236" s="708">
        <v>182963</v>
      </c>
      <c r="T236" s="713">
        <v>-2679</v>
      </c>
      <c r="U236" s="713">
        <v>180284</v>
      </c>
    </row>
    <row r="237" spans="1:21" x14ac:dyDescent="0.25">
      <c r="A237" s="709">
        <v>37601</v>
      </c>
      <c r="B237" s="710" t="s">
        <v>1022</v>
      </c>
      <c r="C237" s="711">
        <v>2.3470000000000001E-4</v>
      </c>
      <c r="D237" s="711">
        <v>1.8919999999999999E-4</v>
      </c>
      <c r="E237" s="708">
        <v>11453</v>
      </c>
      <c r="F237" s="712">
        <v>-11749</v>
      </c>
      <c r="G237" s="712">
        <v>-14345</v>
      </c>
      <c r="H237" s="712"/>
      <c r="I237" s="708">
        <v>3933</v>
      </c>
      <c r="J237" s="708">
        <v>3144</v>
      </c>
      <c r="K237" s="708">
        <v>0</v>
      </c>
      <c r="L237" s="712">
        <v>0</v>
      </c>
      <c r="M237" s="712"/>
      <c r="N237" s="708">
        <v>0</v>
      </c>
      <c r="O237" s="708">
        <v>0</v>
      </c>
      <c r="P237" s="708">
        <v>0</v>
      </c>
      <c r="Q237" s="712">
        <v>4381</v>
      </c>
      <c r="R237" s="712"/>
      <c r="S237" s="708">
        <v>7621</v>
      </c>
      <c r="T237" s="713">
        <v>-1460</v>
      </c>
      <c r="U237" s="713">
        <v>6161</v>
      </c>
    </row>
    <row r="238" spans="1:21" x14ac:dyDescent="0.25">
      <c r="A238" s="709">
        <v>37605</v>
      </c>
      <c r="B238" s="710" t="s">
        <v>1023</v>
      </c>
      <c r="C238" s="711">
        <v>6.9490000000000003E-4</v>
      </c>
      <c r="D238" s="711">
        <v>6.8349999999999997E-4</v>
      </c>
      <c r="E238" s="708">
        <v>41157</v>
      </c>
      <c r="F238" s="712">
        <v>-42445</v>
      </c>
      <c r="G238" s="712">
        <v>-42472</v>
      </c>
      <c r="H238" s="712"/>
      <c r="I238" s="708">
        <v>11645</v>
      </c>
      <c r="J238" s="708">
        <v>9310</v>
      </c>
      <c r="K238" s="708">
        <v>0</v>
      </c>
      <c r="L238" s="712">
        <v>0</v>
      </c>
      <c r="M238" s="712"/>
      <c r="N238" s="708">
        <v>0</v>
      </c>
      <c r="O238" s="708">
        <v>0</v>
      </c>
      <c r="P238" s="708">
        <v>0</v>
      </c>
      <c r="Q238" s="712">
        <v>1793</v>
      </c>
      <c r="R238" s="712"/>
      <c r="S238" s="708">
        <v>22565</v>
      </c>
      <c r="T238" s="713">
        <v>-598</v>
      </c>
      <c r="U238" s="713">
        <v>21968</v>
      </c>
    </row>
    <row r="239" spans="1:21" x14ac:dyDescent="0.25">
      <c r="A239" s="709">
        <v>37610</v>
      </c>
      <c r="B239" s="710" t="s">
        <v>1024</v>
      </c>
      <c r="C239" s="711">
        <v>1.7455999999999999E-3</v>
      </c>
      <c r="D239" s="711">
        <v>1.7512000000000001E-3</v>
      </c>
      <c r="E239" s="708">
        <v>96267</v>
      </c>
      <c r="F239" s="712">
        <v>-108750</v>
      </c>
      <c r="G239" s="712">
        <v>-106691</v>
      </c>
      <c r="H239" s="712"/>
      <c r="I239" s="708">
        <v>29253</v>
      </c>
      <c r="J239" s="708">
        <v>23386</v>
      </c>
      <c r="K239" s="708">
        <v>0</v>
      </c>
      <c r="L239" s="712">
        <v>0</v>
      </c>
      <c r="M239" s="712"/>
      <c r="N239" s="708">
        <v>0</v>
      </c>
      <c r="O239" s="708">
        <v>0</v>
      </c>
      <c r="P239" s="708">
        <v>0</v>
      </c>
      <c r="Q239" s="712">
        <v>8248</v>
      </c>
      <c r="R239" s="712"/>
      <c r="S239" s="708">
        <v>56685</v>
      </c>
      <c r="T239" s="713">
        <v>-2749</v>
      </c>
      <c r="U239" s="713">
        <v>53935</v>
      </c>
    </row>
    <row r="240" spans="1:21" x14ac:dyDescent="0.25">
      <c r="A240" s="709">
        <v>37700</v>
      </c>
      <c r="B240" s="710" t="s">
        <v>1025</v>
      </c>
      <c r="C240" s="711">
        <v>2.3754000000000002E-3</v>
      </c>
      <c r="D240" s="711">
        <v>2.4591999999999999E-3</v>
      </c>
      <c r="E240" s="708">
        <v>144058</v>
      </c>
      <c r="F240" s="712">
        <v>-152716</v>
      </c>
      <c r="G240" s="712">
        <v>-145184</v>
      </c>
      <c r="H240" s="712"/>
      <c r="I240" s="708">
        <v>39807</v>
      </c>
      <c r="J240" s="708">
        <v>31823</v>
      </c>
      <c r="K240" s="708">
        <v>0</v>
      </c>
      <c r="L240" s="712">
        <v>2118</v>
      </c>
      <c r="M240" s="712"/>
      <c r="N240" s="708">
        <v>0</v>
      </c>
      <c r="O240" s="708">
        <v>0</v>
      </c>
      <c r="P240" s="708">
        <v>0</v>
      </c>
      <c r="Q240" s="712">
        <v>0</v>
      </c>
      <c r="R240" s="712"/>
      <c r="S240" s="708">
        <v>77136</v>
      </c>
      <c r="T240" s="713">
        <v>706</v>
      </c>
      <c r="U240" s="713">
        <v>77842</v>
      </c>
    </row>
    <row r="241" spans="1:21" x14ac:dyDescent="0.25">
      <c r="A241" s="709">
        <v>37705</v>
      </c>
      <c r="B241" s="710" t="s">
        <v>1026</v>
      </c>
      <c r="C241" s="711">
        <v>7.0790000000000002E-4</v>
      </c>
      <c r="D241" s="711">
        <v>7.1440000000000002E-4</v>
      </c>
      <c r="E241" s="708">
        <v>44473</v>
      </c>
      <c r="F241" s="712">
        <v>-44364</v>
      </c>
      <c r="G241" s="712">
        <v>-43267</v>
      </c>
      <c r="H241" s="712"/>
      <c r="I241" s="708">
        <v>11863</v>
      </c>
      <c r="J241" s="708">
        <v>9484</v>
      </c>
      <c r="K241" s="708">
        <v>0</v>
      </c>
      <c r="L241" s="712">
        <v>927</v>
      </c>
      <c r="M241" s="712"/>
      <c r="N241" s="708">
        <v>0</v>
      </c>
      <c r="O241" s="708">
        <v>0</v>
      </c>
      <c r="P241" s="708">
        <v>0</v>
      </c>
      <c r="Q241" s="712">
        <v>0</v>
      </c>
      <c r="R241" s="712"/>
      <c r="S241" s="708">
        <v>22988</v>
      </c>
      <c r="T241" s="713">
        <v>309</v>
      </c>
      <c r="U241" s="713">
        <v>23297</v>
      </c>
    </row>
    <row r="242" spans="1:21" x14ac:dyDescent="0.25">
      <c r="A242" s="709">
        <v>37800</v>
      </c>
      <c r="B242" s="710" t="s">
        <v>1027</v>
      </c>
      <c r="C242" s="711">
        <v>7.3393E-3</v>
      </c>
      <c r="D242" s="711">
        <v>7.3857999999999997E-3</v>
      </c>
      <c r="E242" s="708">
        <v>449392</v>
      </c>
      <c r="F242" s="712">
        <v>-458658</v>
      </c>
      <c r="G242" s="712">
        <v>-448578</v>
      </c>
      <c r="H242" s="712"/>
      <c r="I242" s="708">
        <v>122992</v>
      </c>
      <c r="J242" s="708">
        <v>98325</v>
      </c>
      <c r="K242" s="708">
        <v>0</v>
      </c>
      <c r="L242" s="712">
        <v>0</v>
      </c>
      <c r="M242" s="712"/>
      <c r="N242" s="708">
        <v>0</v>
      </c>
      <c r="O242" s="708">
        <v>0</v>
      </c>
      <c r="P242" s="708">
        <v>0</v>
      </c>
      <c r="Q242" s="712">
        <v>130</v>
      </c>
      <c r="R242" s="712"/>
      <c r="S242" s="708">
        <v>238329</v>
      </c>
      <c r="T242" s="713">
        <v>-43</v>
      </c>
      <c r="U242" s="713">
        <v>238286</v>
      </c>
    </row>
    <row r="243" spans="1:21" x14ac:dyDescent="0.25">
      <c r="A243" s="709">
        <v>37801</v>
      </c>
      <c r="B243" s="710" t="s">
        <v>1028</v>
      </c>
      <c r="C243" s="711">
        <v>5.6400000000000002E-5</v>
      </c>
      <c r="D243" s="711">
        <v>4.85E-5</v>
      </c>
      <c r="E243" s="708">
        <v>2733</v>
      </c>
      <c r="F243" s="712">
        <v>-3012</v>
      </c>
      <c r="G243" s="712">
        <v>-3447</v>
      </c>
      <c r="H243" s="712"/>
      <c r="I243" s="708">
        <v>945</v>
      </c>
      <c r="J243" s="708">
        <v>756</v>
      </c>
      <c r="K243" s="708">
        <v>0</v>
      </c>
      <c r="L243" s="712">
        <v>0</v>
      </c>
      <c r="M243" s="712"/>
      <c r="N243" s="708">
        <v>0</v>
      </c>
      <c r="O243" s="708">
        <v>0</v>
      </c>
      <c r="P243" s="708">
        <v>0</v>
      </c>
      <c r="Q243" s="712">
        <v>926</v>
      </c>
      <c r="R243" s="712"/>
      <c r="S243" s="708">
        <v>1831</v>
      </c>
      <c r="T243" s="713">
        <v>-309</v>
      </c>
      <c r="U243" s="713">
        <v>1523</v>
      </c>
    </row>
    <row r="244" spans="1:21" x14ac:dyDescent="0.25">
      <c r="A244" s="709">
        <v>37805</v>
      </c>
      <c r="B244" s="710" t="s">
        <v>1029</v>
      </c>
      <c r="C244" s="711">
        <v>5.4929999999999996E-4</v>
      </c>
      <c r="D244" s="711">
        <v>5.8770000000000003E-4</v>
      </c>
      <c r="E244" s="708">
        <v>36759</v>
      </c>
      <c r="F244" s="712">
        <v>-36496</v>
      </c>
      <c r="G244" s="712">
        <v>-33573</v>
      </c>
      <c r="H244" s="712"/>
      <c r="I244" s="708">
        <v>9205</v>
      </c>
      <c r="J244" s="708">
        <v>7359</v>
      </c>
      <c r="K244" s="708">
        <v>0</v>
      </c>
      <c r="L244" s="712">
        <v>3960</v>
      </c>
      <c r="M244" s="712"/>
      <c r="N244" s="708">
        <v>0</v>
      </c>
      <c r="O244" s="708">
        <v>0</v>
      </c>
      <c r="P244" s="708">
        <v>0</v>
      </c>
      <c r="Q244" s="712">
        <v>0</v>
      </c>
      <c r="R244" s="712"/>
      <c r="S244" s="708">
        <v>17837</v>
      </c>
      <c r="T244" s="713">
        <v>1320</v>
      </c>
      <c r="U244" s="713">
        <v>19158</v>
      </c>
    </row>
    <row r="245" spans="1:21" x14ac:dyDescent="0.25">
      <c r="A245" s="709">
        <v>37900</v>
      </c>
      <c r="B245" s="710" t="s">
        <v>1030</v>
      </c>
      <c r="C245" s="711">
        <v>3.8422999999999999E-3</v>
      </c>
      <c r="D245" s="711">
        <v>4.0228E-3</v>
      </c>
      <c r="E245" s="708">
        <v>238928</v>
      </c>
      <c r="F245" s="712">
        <v>-249816</v>
      </c>
      <c r="G245" s="712">
        <v>-234841</v>
      </c>
      <c r="H245" s="712"/>
      <c r="I245" s="708">
        <v>64389</v>
      </c>
      <c r="J245" s="708">
        <v>51475</v>
      </c>
      <c r="K245" s="708">
        <v>0</v>
      </c>
      <c r="L245" s="712">
        <v>9950</v>
      </c>
      <c r="M245" s="712"/>
      <c r="N245" s="708">
        <v>0</v>
      </c>
      <c r="O245" s="708">
        <v>0</v>
      </c>
      <c r="P245" s="708">
        <v>0</v>
      </c>
      <c r="Q245" s="712">
        <v>0</v>
      </c>
      <c r="R245" s="712"/>
      <c r="S245" s="708">
        <v>124771</v>
      </c>
      <c r="T245" s="713">
        <v>3317</v>
      </c>
      <c r="U245" s="713">
        <v>128088</v>
      </c>
    </row>
    <row r="246" spans="1:21" x14ac:dyDescent="0.25">
      <c r="A246" s="709">
        <v>37901</v>
      </c>
      <c r="B246" s="710" t="s">
        <v>1031</v>
      </c>
      <c r="C246" s="711">
        <v>5.2200000000000002E-5</v>
      </c>
      <c r="D246" s="711">
        <v>5.5699999999999999E-5</v>
      </c>
      <c r="E246" s="708">
        <v>3306</v>
      </c>
      <c r="F246" s="712">
        <v>-3459</v>
      </c>
      <c r="G246" s="712">
        <v>-3190</v>
      </c>
      <c r="H246" s="712"/>
      <c r="I246" s="708">
        <v>875</v>
      </c>
      <c r="J246" s="708">
        <v>699</v>
      </c>
      <c r="K246" s="708">
        <v>0</v>
      </c>
      <c r="L246" s="712">
        <v>229</v>
      </c>
      <c r="M246" s="712"/>
      <c r="N246" s="708">
        <v>0</v>
      </c>
      <c r="O246" s="708">
        <v>0</v>
      </c>
      <c r="P246" s="708">
        <v>0</v>
      </c>
      <c r="Q246" s="712">
        <v>0</v>
      </c>
      <c r="R246" s="712"/>
      <c r="S246" s="708">
        <v>1695</v>
      </c>
      <c r="T246" s="713">
        <v>76</v>
      </c>
      <c r="U246" s="713">
        <v>1772</v>
      </c>
    </row>
    <row r="247" spans="1:21" x14ac:dyDescent="0.25">
      <c r="A247" s="709">
        <v>37905</v>
      </c>
      <c r="B247" s="710" t="s">
        <v>1032</v>
      </c>
      <c r="C247" s="711">
        <v>4.6309999999999998E-4</v>
      </c>
      <c r="D247" s="711">
        <v>4.4200000000000001E-4</v>
      </c>
      <c r="E247" s="708">
        <v>31794</v>
      </c>
      <c r="F247" s="712">
        <v>-27448</v>
      </c>
      <c r="G247" s="712">
        <v>-28305</v>
      </c>
      <c r="H247" s="712"/>
      <c r="I247" s="708">
        <v>7761</v>
      </c>
      <c r="J247" s="708">
        <v>6204</v>
      </c>
      <c r="K247" s="708">
        <v>0</v>
      </c>
      <c r="L247" s="712">
        <v>1451</v>
      </c>
      <c r="M247" s="712"/>
      <c r="N247" s="708">
        <v>0</v>
      </c>
      <c r="O247" s="708">
        <v>0</v>
      </c>
      <c r="P247" s="708">
        <v>0</v>
      </c>
      <c r="Q247" s="712">
        <v>0</v>
      </c>
      <c r="R247" s="712"/>
      <c r="S247" s="708">
        <v>15038</v>
      </c>
      <c r="T247" s="713">
        <v>484</v>
      </c>
      <c r="U247" s="713">
        <v>15522</v>
      </c>
    </row>
    <row r="248" spans="1:21" x14ac:dyDescent="0.25">
      <c r="A248" s="709">
        <v>38000</v>
      </c>
      <c r="B248" s="710" t="s">
        <v>1033</v>
      </c>
      <c r="C248" s="711">
        <v>6.3971999999999996E-3</v>
      </c>
      <c r="D248" s="711">
        <v>6.3898000000000002E-3</v>
      </c>
      <c r="E248" s="708">
        <v>381706</v>
      </c>
      <c r="F248" s="712">
        <v>-396807</v>
      </c>
      <c r="G248" s="712">
        <v>-390997</v>
      </c>
      <c r="H248" s="712"/>
      <c r="I248" s="708">
        <v>107204</v>
      </c>
      <c r="J248" s="708">
        <v>85703</v>
      </c>
      <c r="K248" s="708">
        <v>0</v>
      </c>
      <c r="L248" s="712">
        <v>0</v>
      </c>
      <c r="M248" s="712"/>
      <c r="N248" s="708">
        <v>0</v>
      </c>
      <c r="O248" s="708">
        <v>0</v>
      </c>
      <c r="P248" s="708">
        <v>0</v>
      </c>
      <c r="Q248" s="712">
        <v>9846</v>
      </c>
      <c r="R248" s="712"/>
      <c r="S248" s="708">
        <v>207736</v>
      </c>
      <c r="T248" s="713">
        <v>-3282</v>
      </c>
      <c r="U248" s="713">
        <v>204454</v>
      </c>
    </row>
    <row r="249" spans="1:21" x14ac:dyDescent="0.25">
      <c r="A249" s="709">
        <v>38005</v>
      </c>
      <c r="B249" s="710" t="s">
        <v>1034</v>
      </c>
      <c r="C249" s="711">
        <v>1.2283999999999999E-3</v>
      </c>
      <c r="D249" s="711">
        <v>1.3235E-3</v>
      </c>
      <c r="E249" s="708">
        <v>76597</v>
      </c>
      <c r="F249" s="712">
        <v>-82189</v>
      </c>
      <c r="G249" s="712">
        <v>-75080</v>
      </c>
      <c r="H249" s="712"/>
      <c r="I249" s="708">
        <v>20586</v>
      </c>
      <c r="J249" s="708">
        <v>16457</v>
      </c>
      <c r="K249" s="708">
        <v>0</v>
      </c>
      <c r="L249" s="712">
        <v>5081</v>
      </c>
      <c r="M249" s="712"/>
      <c r="N249" s="708">
        <v>0</v>
      </c>
      <c r="O249" s="708">
        <v>0</v>
      </c>
      <c r="P249" s="708">
        <v>0</v>
      </c>
      <c r="Q249" s="712">
        <v>0</v>
      </c>
      <c r="R249" s="712"/>
      <c r="S249" s="708">
        <v>39890</v>
      </c>
      <c r="T249" s="713">
        <v>1694</v>
      </c>
      <c r="U249" s="713">
        <v>41583</v>
      </c>
    </row>
    <row r="250" spans="1:21" x14ac:dyDescent="0.25">
      <c r="A250" s="709">
        <v>38100</v>
      </c>
      <c r="B250" s="710" t="s">
        <v>1035</v>
      </c>
      <c r="C250" s="711">
        <v>2.8528E-3</v>
      </c>
      <c r="D250" s="711">
        <v>2.9339000000000001E-3</v>
      </c>
      <c r="E250" s="708">
        <v>177404</v>
      </c>
      <c r="F250" s="712">
        <v>-182195</v>
      </c>
      <c r="G250" s="712">
        <v>-174363</v>
      </c>
      <c r="H250" s="712"/>
      <c r="I250" s="708">
        <v>47807</v>
      </c>
      <c r="J250" s="708">
        <v>38219</v>
      </c>
      <c r="K250" s="708">
        <v>0</v>
      </c>
      <c r="L250" s="712">
        <v>4928</v>
      </c>
      <c r="M250" s="712"/>
      <c r="N250" s="708">
        <v>0</v>
      </c>
      <c r="O250" s="708">
        <v>0</v>
      </c>
      <c r="P250" s="708">
        <v>0</v>
      </c>
      <c r="Q250" s="712">
        <v>0</v>
      </c>
      <c r="R250" s="712"/>
      <c r="S250" s="708">
        <v>92639</v>
      </c>
      <c r="T250" s="713">
        <v>1643</v>
      </c>
      <c r="U250" s="713">
        <v>94282</v>
      </c>
    </row>
    <row r="251" spans="1:21" x14ac:dyDescent="0.25">
      <c r="A251" s="709">
        <v>38105</v>
      </c>
      <c r="B251" s="710" t="s">
        <v>1036</v>
      </c>
      <c r="C251" s="711">
        <v>5.7609999999999996E-4</v>
      </c>
      <c r="D251" s="711">
        <v>5.9949999999999999E-4</v>
      </c>
      <c r="E251" s="708">
        <v>35939</v>
      </c>
      <c r="F251" s="712">
        <v>-37229</v>
      </c>
      <c r="G251" s="712">
        <v>-35211</v>
      </c>
      <c r="H251" s="712"/>
      <c r="I251" s="708">
        <v>9654</v>
      </c>
      <c r="J251" s="708">
        <v>7718</v>
      </c>
      <c r="K251" s="708">
        <v>0</v>
      </c>
      <c r="L251" s="712">
        <v>1408</v>
      </c>
      <c r="M251" s="712"/>
      <c r="N251" s="708">
        <v>0</v>
      </c>
      <c r="O251" s="708">
        <v>0</v>
      </c>
      <c r="P251" s="708">
        <v>0</v>
      </c>
      <c r="Q251" s="712">
        <v>0</v>
      </c>
      <c r="R251" s="712"/>
      <c r="S251" s="708">
        <v>18708</v>
      </c>
      <c r="T251" s="713">
        <v>469</v>
      </c>
      <c r="U251" s="713">
        <v>19177</v>
      </c>
    </row>
    <row r="252" spans="1:21" x14ac:dyDescent="0.25">
      <c r="A252" s="709">
        <v>38200</v>
      </c>
      <c r="B252" s="710" t="s">
        <v>1037</v>
      </c>
      <c r="C252" s="711">
        <v>2.7244000000000001E-3</v>
      </c>
      <c r="D252" s="711">
        <v>2.8557999999999999E-3</v>
      </c>
      <c r="E252" s="708">
        <v>162965</v>
      </c>
      <c r="F252" s="712">
        <v>-177345</v>
      </c>
      <c r="G252" s="712">
        <v>-166515</v>
      </c>
      <c r="H252" s="712"/>
      <c r="I252" s="708">
        <v>45655</v>
      </c>
      <c r="J252" s="708">
        <v>36499</v>
      </c>
      <c r="K252" s="708">
        <v>0</v>
      </c>
      <c r="L252" s="712">
        <v>2378</v>
      </c>
      <c r="M252" s="712"/>
      <c r="N252" s="708">
        <v>0</v>
      </c>
      <c r="O252" s="708">
        <v>0</v>
      </c>
      <c r="P252" s="708">
        <v>0</v>
      </c>
      <c r="Q252" s="712">
        <v>0</v>
      </c>
      <c r="R252" s="712"/>
      <c r="S252" s="708">
        <v>88469</v>
      </c>
      <c r="T252" s="713">
        <v>793</v>
      </c>
      <c r="U252" s="713">
        <v>89262</v>
      </c>
    </row>
    <row r="253" spans="1:21" x14ac:dyDescent="0.25">
      <c r="A253" s="709">
        <v>38205</v>
      </c>
      <c r="B253" s="710" t="s">
        <v>1038</v>
      </c>
      <c r="C253" s="711">
        <v>3.992E-4</v>
      </c>
      <c r="D253" s="711">
        <v>3.9550000000000002E-4</v>
      </c>
      <c r="E253" s="708">
        <v>27024</v>
      </c>
      <c r="F253" s="712">
        <v>-24561</v>
      </c>
      <c r="G253" s="712">
        <v>-24399</v>
      </c>
      <c r="H253" s="712"/>
      <c r="I253" s="708">
        <v>6690</v>
      </c>
      <c r="J253" s="708">
        <v>5348</v>
      </c>
      <c r="K253" s="708">
        <v>0</v>
      </c>
      <c r="L253" s="712">
        <v>1638</v>
      </c>
      <c r="M253" s="712"/>
      <c r="N253" s="708">
        <v>0</v>
      </c>
      <c r="O253" s="708">
        <v>0</v>
      </c>
      <c r="P253" s="708">
        <v>0</v>
      </c>
      <c r="Q253" s="712">
        <v>0</v>
      </c>
      <c r="R253" s="712"/>
      <c r="S253" s="708">
        <v>12963</v>
      </c>
      <c r="T253" s="713">
        <v>546</v>
      </c>
      <c r="U253" s="713">
        <v>13509</v>
      </c>
    </row>
    <row r="254" spans="1:21" x14ac:dyDescent="0.25">
      <c r="A254" s="709">
        <v>38210</v>
      </c>
      <c r="B254" s="710" t="s">
        <v>1039</v>
      </c>
      <c r="C254" s="711">
        <v>1.0332E-3</v>
      </c>
      <c r="D254" s="711">
        <v>1.0463E-3</v>
      </c>
      <c r="E254" s="708">
        <v>61310</v>
      </c>
      <c r="F254" s="712">
        <v>-64975</v>
      </c>
      <c r="G254" s="712">
        <v>-63149</v>
      </c>
      <c r="H254" s="712"/>
      <c r="I254" s="708">
        <v>17314</v>
      </c>
      <c r="J254" s="708">
        <v>13842</v>
      </c>
      <c r="K254" s="708">
        <v>0</v>
      </c>
      <c r="L254" s="712">
        <v>0</v>
      </c>
      <c r="M254" s="712"/>
      <c r="N254" s="708">
        <v>0</v>
      </c>
      <c r="O254" s="708">
        <v>0</v>
      </c>
      <c r="P254" s="708">
        <v>0</v>
      </c>
      <c r="Q254" s="712">
        <v>1178</v>
      </c>
      <c r="R254" s="712"/>
      <c r="S254" s="708">
        <v>33551</v>
      </c>
      <c r="T254" s="713">
        <v>-393</v>
      </c>
      <c r="U254" s="713">
        <v>33158</v>
      </c>
    </row>
    <row r="255" spans="1:21" x14ac:dyDescent="0.25">
      <c r="A255" s="709">
        <v>38300</v>
      </c>
      <c r="B255" s="710" t="s">
        <v>1040</v>
      </c>
      <c r="C255" s="711">
        <v>2.1595E-3</v>
      </c>
      <c r="D255" s="711">
        <v>2.2450999999999999E-3</v>
      </c>
      <c r="E255" s="708">
        <v>130519</v>
      </c>
      <c r="F255" s="712">
        <v>-139421</v>
      </c>
      <c r="G255" s="712">
        <v>-131989</v>
      </c>
      <c r="H255" s="712"/>
      <c r="I255" s="708">
        <v>36189</v>
      </c>
      <c r="J255" s="708">
        <v>28931</v>
      </c>
      <c r="K255" s="708">
        <v>0</v>
      </c>
      <c r="L255" s="712">
        <v>2029</v>
      </c>
      <c r="M255" s="712"/>
      <c r="N255" s="708">
        <v>0</v>
      </c>
      <c r="O255" s="708">
        <v>0</v>
      </c>
      <c r="P255" s="708">
        <v>0</v>
      </c>
      <c r="Q255" s="712">
        <v>0</v>
      </c>
      <c r="R255" s="712"/>
      <c r="S255" s="708">
        <v>70125</v>
      </c>
      <c r="T255" s="713">
        <v>676</v>
      </c>
      <c r="U255" s="713">
        <v>70802</v>
      </c>
    </row>
    <row r="256" spans="1:21" x14ac:dyDescent="0.25">
      <c r="A256" s="709">
        <v>38400</v>
      </c>
      <c r="B256" s="710" t="s">
        <v>1041</v>
      </c>
      <c r="C256" s="711">
        <v>2.6337999999999999E-3</v>
      </c>
      <c r="D256" s="711">
        <v>2.7464999999999998E-3</v>
      </c>
      <c r="E256" s="708">
        <v>162424</v>
      </c>
      <c r="F256" s="712">
        <v>-170558</v>
      </c>
      <c r="G256" s="712">
        <v>-160978</v>
      </c>
      <c r="H256" s="712"/>
      <c r="I256" s="708">
        <v>44137</v>
      </c>
      <c r="J256" s="708">
        <v>35285</v>
      </c>
      <c r="K256" s="708">
        <v>0</v>
      </c>
      <c r="L256" s="712">
        <v>5291</v>
      </c>
      <c r="M256" s="712"/>
      <c r="N256" s="708">
        <v>0</v>
      </c>
      <c r="O256" s="708">
        <v>0</v>
      </c>
      <c r="P256" s="708">
        <v>0</v>
      </c>
      <c r="Q256" s="712">
        <v>0</v>
      </c>
      <c r="R256" s="712"/>
      <c r="S256" s="708">
        <v>85527</v>
      </c>
      <c r="T256" s="713">
        <v>1764</v>
      </c>
      <c r="U256" s="713">
        <v>87291</v>
      </c>
    </row>
    <row r="257" spans="1:21" x14ac:dyDescent="0.25">
      <c r="A257" s="709">
        <v>38402</v>
      </c>
      <c r="B257" s="710" t="s">
        <v>1042</v>
      </c>
      <c r="C257" s="711">
        <v>1.12E-4</v>
      </c>
      <c r="D257" s="711">
        <v>9.6899999999999997E-5</v>
      </c>
      <c r="E257" s="708">
        <v>5917</v>
      </c>
      <c r="F257" s="712">
        <v>-6017</v>
      </c>
      <c r="G257" s="712">
        <v>-6845.44</v>
      </c>
      <c r="H257" s="712"/>
      <c r="I257" s="708">
        <v>1877</v>
      </c>
      <c r="J257" s="708">
        <v>1500</v>
      </c>
      <c r="K257" s="708">
        <v>0</v>
      </c>
      <c r="L257" s="712">
        <v>0</v>
      </c>
      <c r="M257" s="712"/>
      <c r="N257" s="708">
        <v>0</v>
      </c>
      <c r="O257" s="708">
        <v>0</v>
      </c>
      <c r="P257" s="708">
        <v>0</v>
      </c>
      <c r="Q257" s="712">
        <v>1444</v>
      </c>
      <c r="R257" s="712"/>
      <c r="S257" s="708">
        <v>3637</v>
      </c>
      <c r="T257" s="713">
        <v>-481</v>
      </c>
      <c r="U257" s="713">
        <v>3156</v>
      </c>
    </row>
    <row r="258" spans="1:21" x14ac:dyDescent="0.25">
      <c r="A258" s="709">
        <v>38405</v>
      </c>
      <c r="B258" s="710" t="s">
        <v>1043</v>
      </c>
      <c r="C258" s="711">
        <v>7.0279999999999995E-4</v>
      </c>
      <c r="D258" s="711">
        <v>6.8249999999999995E-4</v>
      </c>
      <c r="E258" s="708">
        <v>40918</v>
      </c>
      <c r="F258" s="712">
        <v>-42383</v>
      </c>
      <c r="G258" s="712">
        <v>-42955</v>
      </c>
      <c r="H258" s="712"/>
      <c r="I258" s="708">
        <v>11778</v>
      </c>
      <c r="J258" s="708">
        <v>9415</v>
      </c>
      <c r="K258" s="708">
        <v>0</v>
      </c>
      <c r="L258" s="712">
        <v>0</v>
      </c>
      <c r="M258" s="712"/>
      <c r="N258" s="708">
        <v>0</v>
      </c>
      <c r="O258" s="708">
        <v>0</v>
      </c>
      <c r="P258" s="708">
        <v>0</v>
      </c>
      <c r="Q258" s="712">
        <v>2752</v>
      </c>
      <c r="R258" s="712"/>
      <c r="S258" s="708">
        <v>22822</v>
      </c>
      <c r="T258" s="713">
        <v>-917</v>
      </c>
      <c r="U258" s="713">
        <v>21905</v>
      </c>
    </row>
    <row r="259" spans="1:21" x14ac:dyDescent="0.25">
      <c r="A259" s="709">
        <v>38500</v>
      </c>
      <c r="B259" s="710" t="s">
        <v>1044</v>
      </c>
      <c r="C259" s="711">
        <v>2.0376999999999999E-3</v>
      </c>
      <c r="D259" s="711">
        <v>2.2046000000000001E-3</v>
      </c>
      <c r="E259" s="708">
        <v>127166</v>
      </c>
      <c r="F259" s="712">
        <v>-136906</v>
      </c>
      <c r="G259" s="712">
        <v>-124544</v>
      </c>
      <c r="H259" s="712"/>
      <c r="I259" s="708">
        <v>34148</v>
      </c>
      <c r="J259" s="708">
        <v>27299</v>
      </c>
      <c r="K259" s="708">
        <v>0</v>
      </c>
      <c r="L259" s="712">
        <v>8933</v>
      </c>
      <c r="M259" s="712"/>
      <c r="N259" s="708">
        <v>0</v>
      </c>
      <c r="O259" s="708">
        <v>0</v>
      </c>
      <c r="P259" s="708">
        <v>0</v>
      </c>
      <c r="Q259" s="712">
        <v>0</v>
      </c>
      <c r="R259" s="712"/>
      <c r="S259" s="708">
        <v>66170</v>
      </c>
      <c r="T259" s="713">
        <v>2978</v>
      </c>
      <c r="U259" s="713">
        <v>69148</v>
      </c>
    </row>
    <row r="260" spans="1:21" x14ac:dyDescent="0.25">
      <c r="A260" s="709">
        <v>38600</v>
      </c>
      <c r="B260" s="710" t="s">
        <v>1045</v>
      </c>
      <c r="C260" s="711">
        <v>2.6662000000000001E-3</v>
      </c>
      <c r="D260" s="711">
        <v>2.7312E-3</v>
      </c>
      <c r="E260" s="708">
        <v>161419</v>
      </c>
      <c r="F260" s="712">
        <v>-169608</v>
      </c>
      <c r="G260" s="712">
        <v>-162958</v>
      </c>
      <c r="H260" s="712"/>
      <c r="I260" s="708">
        <v>44680</v>
      </c>
      <c r="J260" s="708">
        <v>35719</v>
      </c>
      <c r="K260" s="708">
        <v>0</v>
      </c>
      <c r="L260" s="712">
        <v>817</v>
      </c>
      <c r="M260" s="712"/>
      <c r="N260" s="708">
        <v>0</v>
      </c>
      <c r="O260" s="708">
        <v>0</v>
      </c>
      <c r="P260" s="708">
        <v>0</v>
      </c>
      <c r="Q260" s="712">
        <v>0</v>
      </c>
      <c r="R260" s="712"/>
      <c r="S260" s="708">
        <v>86580</v>
      </c>
      <c r="T260" s="713">
        <v>272</v>
      </c>
      <c r="U260" s="713">
        <v>86852</v>
      </c>
    </row>
    <row r="261" spans="1:21" x14ac:dyDescent="0.25">
      <c r="A261" s="709">
        <v>38601</v>
      </c>
      <c r="B261" s="710" t="s">
        <v>1046</v>
      </c>
      <c r="C261" s="711">
        <v>3.18E-5</v>
      </c>
      <c r="D261" s="711">
        <v>3.7499999999999997E-5</v>
      </c>
      <c r="E261" s="708">
        <v>1758</v>
      </c>
      <c r="F261" s="712">
        <v>-2329</v>
      </c>
      <c r="G261" s="712">
        <v>-1944</v>
      </c>
      <c r="H261" s="712"/>
      <c r="I261" s="708">
        <v>533</v>
      </c>
      <c r="J261" s="708">
        <v>426</v>
      </c>
      <c r="K261" s="708">
        <v>0</v>
      </c>
      <c r="L261" s="712">
        <v>114</v>
      </c>
      <c r="M261" s="712"/>
      <c r="N261" s="708">
        <v>0</v>
      </c>
      <c r="O261" s="708">
        <v>0</v>
      </c>
      <c r="P261" s="708">
        <v>0</v>
      </c>
      <c r="Q261" s="712">
        <v>0</v>
      </c>
      <c r="R261" s="712"/>
      <c r="S261" s="708">
        <v>1033</v>
      </c>
      <c r="T261" s="713">
        <v>38</v>
      </c>
      <c r="U261" s="713">
        <v>1070</v>
      </c>
    </row>
    <row r="262" spans="1:21" x14ac:dyDescent="0.25">
      <c r="A262" s="709">
        <v>38602</v>
      </c>
      <c r="B262" s="710" t="s">
        <v>1047</v>
      </c>
      <c r="C262" s="711">
        <v>1.9929999999999999E-4</v>
      </c>
      <c r="D262" s="711">
        <v>1.6359999999999999E-4</v>
      </c>
      <c r="E262" s="708">
        <v>11491</v>
      </c>
      <c r="F262" s="712">
        <v>-10160</v>
      </c>
      <c r="G262" s="712">
        <v>-12181</v>
      </c>
      <c r="H262" s="712"/>
      <c r="I262" s="708">
        <v>3340</v>
      </c>
      <c r="J262" s="708">
        <v>2670</v>
      </c>
      <c r="K262" s="708">
        <v>0</v>
      </c>
      <c r="L262" s="712">
        <v>0</v>
      </c>
      <c r="M262" s="712"/>
      <c r="N262" s="708">
        <v>0</v>
      </c>
      <c r="O262" s="708">
        <v>0</v>
      </c>
      <c r="P262" s="708">
        <v>0</v>
      </c>
      <c r="Q262" s="712">
        <v>2259</v>
      </c>
      <c r="R262" s="712"/>
      <c r="S262" s="708">
        <v>6472</v>
      </c>
      <c r="T262" s="713">
        <v>-753</v>
      </c>
      <c r="U262" s="713">
        <v>5719</v>
      </c>
    </row>
    <row r="263" spans="1:21" x14ac:dyDescent="0.25">
      <c r="A263" s="709">
        <v>38605</v>
      </c>
      <c r="B263" s="710" t="s">
        <v>1048</v>
      </c>
      <c r="C263" s="711">
        <v>7.4120000000000002E-4</v>
      </c>
      <c r="D263" s="711">
        <v>7.5679999999999996E-4</v>
      </c>
      <c r="E263" s="708">
        <v>45446</v>
      </c>
      <c r="F263" s="712">
        <v>-46997</v>
      </c>
      <c r="G263" s="712">
        <v>-45302</v>
      </c>
      <c r="H263" s="712"/>
      <c r="I263" s="708">
        <v>12421</v>
      </c>
      <c r="J263" s="708">
        <v>9930</v>
      </c>
      <c r="K263" s="708">
        <v>0</v>
      </c>
      <c r="L263" s="712">
        <v>541</v>
      </c>
      <c r="M263" s="712"/>
      <c r="N263" s="708">
        <v>0</v>
      </c>
      <c r="O263" s="708">
        <v>0</v>
      </c>
      <c r="P263" s="708">
        <v>0</v>
      </c>
      <c r="Q263" s="712">
        <v>0</v>
      </c>
      <c r="R263" s="712"/>
      <c r="S263" s="708">
        <v>24069</v>
      </c>
      <c r="T263" s="713">
        <v>180</v>
      </c>
      <c r="U263" s="713">
        <v>24249</v>
      </c>
    </row>
    <row r="264" spans="1:21" x14ac:dyDescent="0.25">
      <c r="A264" s="709">
        <v>38610</v>
      </c>
      <c r="B264" s="710" t="s">
        <v>1049</v>
      </c>
      <c r="C264" s="711">
        <v>5.1929999999999999E-4</v>
      </c>
      <c r="D264" s="711">
        <v>5.5329999999999995E-4</v>
      </c>
      <c r="E264" s="708">
        <v>34321</v>
      </c>
      <c r="F264" s="712">
        <v>-34360</v>
      </c>
      <c r="G264" s="712">
        <v>-31740</v>
      </c>
      <c r="H264" s="712"/>
      <c r="I264" s="708">
        <v>8702</v>
      </c>
      <c r="J264" s="708">
        <v>6957</v>
      </c>
      <c r="K264" s="708">
        <v>0</v>
      </c>
      <c r="L264" s="712">
        <v>3314</v>
      </c>
      <c r="M264" s="712"/>
      <c r="N264" s="708">
        <v>0</v>
      </c>
      <c r="O264" s="708">
        <v>0</v>
      </c>
      <c r="P264" s="708">
        <v>0</v>
      </c>
      <c r="Q264" s="712">
        <v>0</v>
      </c>
      <c r="R264" s="712"/>
      <c r="S264" s="708">
        <v>16863</v>
      </c>
      <c r="T264" s="713">
        <v>1105</v>
      </c>
      <c r="U264" s="713">
        <v>17968</v>
      </c>
    </row>
    <row r="265" spans="1:21" x14ac:dyDescent="0.25">
      <c r="A265" s="709">
        <v>38620</v>
      </c>
      <c r="B265" s="710" t="s">
        <v>1050</v>
      </c>
      <c r="C265" s="711">
        <v>4.3080000000000001E-4</v>
      </c>
      <c r="D265" s="711">
        <v>4.7150000000000002E-4</v>
      </c>
      <c r="E265" s="708">
        <v>27051</v>
      </c>
      <c r="F265" s="712">
        <v>-29280</v>
      </c>
      <c r="G265" s="712">
        <v>-26330</v>
      </c>
      <c r="H265" s="712"/>
      <c r="I265" s="708">
        <v>7219</v>
      </c>
      <c r="J265" s="708">
        <v>5771</v>
      </c>
      <c r="K265" s="708">
        <v>0</v>
      </c>
      <c r="L265" s="712">
        <v>2266</v>
      </c>
      <c r="M265" s="712"/>
      <c r="N265" s="708">
        <v>0</v>
      </c>
      <c r="O265" s="708">
        <v>0</v>
      </c>
      <c r="P265" s="708">
        <v>0</v>
      </c>
      <c r="Q265" s="712">
        <v>0</v>
      </c>
      <c r="R265" s="712"/>
      <c r="S265" s="708">
        <v>13989</v>
      </c>
      <c r="T265" s="713">
        <v>755</v>
      </c>
      <c r="U265" s="713">
        <v>14745</v>
      </c>
    </row>
    <row r="266" spans="1:21" x14ac:dyDescent="0.25">
      <c r="A266" s="709">
        <v>38700</v>
      </c>
      <c r="B266" s="710" t="s">
        <v>1051</v>
      </c>
      <c r="C266" s="711">
        <v>8.0769999999999995E-4</v>
      </c>
      <c r="D266" s="711">
        <v>8.2010000000000004E-4</v>
      </c>
      <c r="E266" s="708">
        <v>46512</v>
      </c>
      <c r="F266" s="712">
        <v>-50928</v>
      </c>
      <c r="G266" s="712">
        <v>-49367</v>
      </c>
      <c r="H266" s="712"/>
      <c r="I266" s="708">
        <v>13535</v>
      </c>
      <c r="J266" s="708">
        <v>10821</v>
      </c>
      <c r="K266" s="708">
        <v>0</v>
      </c>
      <c r="L266" s="712">
        <v>0</v>
      </c>
      <c r="M266" s="712"/>
      <c r="N266" s="708">
        <v>0</v>
      </c>
      <c r="O266" s="708">
        <v>0</v>
      </c>
      <c r="P266" s="708">
        <v>0</v>
      </c>
      <c r="Q266" s="712">
        <v>1883</v>
      </c>
      <c r="R266" s="712"/>
      <c r="S266" s="708">
        <v>26228</v>
      </c>
      <c r="T266" s="713">
        <v>-628</v>
      </c>
      <c r="U266" s="713">
        <v>25601</v>
      </c>
    </row>
    <row r="267" spans="1:21" x14ac:dyDescent="0.25">
      <c r="A267" s="709">
        <v>38701</v>
      </c>
      <c r="B267" s="710" t="s">
        <v>1052</v>
      </c>
      <c r="C267" s="711">
        <v>4.4100000000000001E-5</v>
      </c>
      <c r="D267" s="711">
        <v>5.4400000000000001E-5</v>
      </c>
      <c r="E267" s="708">
        <v>3119</v>
      </c>
      <c r="F267" s="712">
        <v>-3378</v>
      </c>
      <c r="G267" s="712">
        <v>-2695</v>
      </c>
      <c r="H267" s="712"/>
      <c r="I267" s="708">
        <v>739</v>
      </c>
      <c r="J267" s="708">
        <v>591</v>
      </c>
      <c r="K267" s="708">
        <v>0</v>
      </c>
      <c r="L267" s="712">
        <v>780</v>
      </c>
      <c r="M267" s="712"/>
      <c r="N267" s="708">
        <v>0</v>
      </c>
      <c r="O267" s="708">
        <v>0</v>
      </c>
      <c r="P267" s="708">
        <v>0</v>
      </c>
      <c r="Q267" s="712">
        <v>0</v>
      </c>
      <c r="R267" s="712"/>
      <c r="S267" s="708">
        <v>1432</v>
      </c>
      <c r="T267" s="713">
        <v>260</v>
      </c>
      <c r="U267" s="713">
        <v>1692</v>
      </c>
    </row>
    <row r="268" spans="1:21" x14ac:dyDescent="0.25">
      <c r="A268" s="709">
        <v>38800</v>
      </c>
      <c r="B268" s="710" t="s">
        <v>1053</v>
      </c>
      <c r="C268" s="711">
        <v>1.3588000000000001E-3</v>
      </c>
      <c r="D268" s="711">
        <v>1.4008E-3</v>
      </c>
      <c r="E268" s="708">
        <v>81110</v>
      </c>
      <c r="F268" s="712">
        <v>-86990</v>
      </c>
      <c r="G268" s="712">
        <v>-83050</v>
      </c>
      <c r="H268" s="712"/>
      <c r="I268" s="708">
        <v>22771</v>
      </c>
      <c r="J268" s="708">
        <v>18204</v>
      </c>
      <c r="K268" s="708">
        <v>0</v>
      </c>
      <c r="L268" s="712">
        <v>0</v>
      </c>
      <c r="M268" s="712"/>
      <c r="N268" s="708">
        <v>0</v>
      </c>
      <c r="O268" s="708">
        <v>0</v>
      </c>
      <c r="P268" s="708">
        <v>0</v>
      </c>
      <c r="Q268" s="712">
        <v>37</v>
      </c>
      <c r="R268" s="712"/>
      <c r="S268" s="708">
        <v>44124</v>
      </c>
      <c r="T268" s="713">
        <v>-12</v>
      </c>
      <c r="U268" s="713">
        <v>44112</v>
      </c>
    </row>
    <row r="269" spans="1:21" x14ac:dyDescent="0.25">
      <c r="A269" s="709">
        <v>38801</v>
      </c>
      <c r="B269" s="710" t="s">
        <v>1054</v>
      </c>
      <c r="C269" s="711">
        <v>1.1519999999999999E-4</v>
      </c>
      <c r="D269" s="711">
        <v>1.032E-4</v>
      </c>
      <c r="E269" s="708">
        <v>5747</v>
      </c>
      <c r="F269" s="712">
        <v>-6409</v>
      </c>
      <c r="G269" s="712">
        <v>-7041</v>
      </c>
      <c r="H269" s="712"/>
      <c r="I269" s="708">
        <v>1931</v>
      </c>
      <c r="J269" s="708">
        <v>1543</v>
      </c>
      <c r="K269" s="708">
        <v>0</v>
      </c>
      <c r="L269" s="712">
        <v>0</v>
      </c>
      <c r="M269" s="712"/>
      <c r="N269" s="708">
        <v>0</v>
      </c>
      <c r="O269" s="708">
        <v>0</v>
      </c>
      <c r="P269" s="708">
        <v>0</v>
      </c>
      <c r="Q269" s="712">
        <v>1575</v>
      </c>
      <c r="R269" s="712"/>
      <c r="S269" s="708">
        <v>3741</v>
      </c>
      <c r="T269" s="713">
        <v>-525</v>
      </c>
      <c r="U269" s="713">
        <v>3216</v>
      </c>
    </row>
    <row r="270" spans="1:21" x14ac:dyDescent="0.25">
      <c r="A270" s="709">
        <v>38900</v>
      </c>
      <c r="B270" s="710" t="s">
        <v>1055</v>
      </c>
      <c r="C270" s="711">
        <v>2.9349999999999998E-4</v>
      </c>
      <c r="D270" s="711">
        <v>3.1530000000000002E-4</v>
      </c>
      <c r="E270" s="708">
        <v>18176</v>
      </c>
      <c r="F270" s="712">
        <v>-19580</v>
      </c>
      <c r="G270" s="712">
        <v>-17939</v>
      </c>
      <c r="H270" s="712"/>
      <c r="I270" s="708">
        <v>4918</v>
      </c>
      <c r="J270" s="708">
        <v>3932</v>
      </c>
      <c r="K270" s="708">
        <v>0</v>
      </c>
      <c r="L270" s="712">
        <v>1077</v>
      </c>
      <c r="M270" s="712"/>
      <c r="N270" s="708">
        <v>0</v>
      </c>
      <c r="O270" s="708">
        <v>0</v>
      </c>
      <c r="P270" s="708">
        <v>0</v>
      </c>
      <c r="Q270" s="712">
        <v>0</v>
      </c>
      <c r="R270" s="712"/>
      <c r="S270" s="708">
        <v>9531</v>
      </c>
      <c r="T270" s="713">
        <v>359</v>
      </c>
      <c r="U270" s="713">
        <v>9890</v>
      </c>
    </row>
    <row r="271" spans="1:21" x14ac:dyDescent="0.25">
      <c r="A271" s="709">
        <v>39000</v>
      </c>
      <c r="B271" s="710" t="s">
        <v>1056</v>
      </c>
      <c r="C271" s="711">
        <v>1.4090699999999999E-2</v>
      </c>
      <c r="D271" s="711">
        <v>1.41358E-2</v>
      </c>
      <c r="E271" s="708">
        <v>795524</v>
      </c>
      <c r="F271" s="712">
        <v>-877833</v>
      </c>
      <c r="G271" s="712">
        <v>-861224</v>
      </c>
      <c r="H271" s="712"/>
      <c r="I271" s="708">
        <v>236132</v>
      </c>
      <c r="J271" s="708">
        <v>188773</v>
      </c>
      <c r="K271" s="708">
        <v>0</v>
      </c>
      <c r="L271" s="712">
        <v>0</v>
      </c>
      <c r="M271" s="712"/>
      <c r="N271" s="708">
        <v>0</v>
      </c>
      <c r="O271" s="708">
        <v>0</v>
      </c>
      <c r="P271" s="708">
        <v>0</v>
      </c>
      <c r="Q271" s="712">
        <v>52754</v>
      </c>
      <c r="R271" s="712"/>
      <c r="S271" s="708">
        <v>457567</v>
      </c>
      <c r="T271" s="713">
        <v>-17585</v>
      </c>
      <c r="U271" s="713">
        <v>439983</v>
      </c>
    </row>
    <row r="272" spans="1:21" x14ac:dyDescent="0.25">
      <c r="A272" s="709">
        <v>39100</v>
      </c>
      <c r="B272" s="710" t="s">
        <v>1057</v>
      </c>
      <c r="C272" s="711">
        <v>2.0573000000000002E-3</v>
      </c>
      <c r="D272" s="711">
        <v>2.1825999999999998E-3</v>
      </c>
      <c r="E272" s="708">
        <v>134585</v>
      </c>
      <c r="F272" s="712">
        <v>-135539</v>
      </c>
      <c r="G272" s="712">
        <v>-125742</v>
      </c>
      <c r="H272" s="712"/>
      <c r="I272" s="708">
        <v>34476</v>
      </c>
      <c r="J272" s="708">
        <v>27562</v>
      </c>
      <c r="K272" s="708">
        <v>0</v>
      </c>
      <c r="L272" s="712">
        <v>11653</v>
      </c>
      <c r="M272" s="712"/>
      <c r="N272" s="708">
        <v>0</v>
      </c>
      <c r="O272" s="708">
        <v>0</v>
      </c>
      <c r="P272" s="708">
        <v>0</v>
      </c>
      <c r="Q272" s="712">
        <v>0</v>
      </c>
      <c r="R272" s="712"/>
      <c r="S272" s="708">
        <v>66807</v>
      </c>
      <c r="T272" s="713">
        <v>3884</v>
      </c>
      <c r="U272" s="713">
        <v>70691</v>
      </c>
    </row>
    <row r="273" spans="1:21" x14ac:dyDescent="0.25">
      <c r="A273" s="709">
        <v>39101</v>
      </c>
      <c r="B273" s="710" t="s">
        <v>1058</v>
      </c>
      <c r="C273" s="711">
        <v>1.6899999999999999E-4</v>
      </c>
      <c r="D273" s="711">
        <v>1.5469999999999999E-4</v>
      </c>
      <c r="E273" s="708">
        <v>10762</v>
      </c>
      <c r="F273" s="712">
        <v>-9607</v>
      </c>
      <c r="G273" s="712">
        <v>-10329</v>
      </c>
      <c r="H273" s="712"/>
      <c r="I273" s="708">
        <v>2832</v>
      </c>
      <c r="J273" s="708">
        <v>2264</v>
      </c>
      <c r="K273" s="708">
        <v>0</v>
      </c>
      <c r="L273" s="712">
        <v>0</v>
      </c>
      <c r="M273" s="712"/>
      <c r="N273" s="708">
        <v>0</v>
      </c>
      <c r="O273" s="708">
        <v>0</v>
      </c>
      <c r="P273" s="708">
        <v>0</v>
      </c>
      <c r="Q273" s="712">
        <v>409</v>
      </c>
      <c r="R273" s="712"/>
      <c r="S273" s="708">
        <v>5488</v>
      </c>
      <c r="T273" s="713">
        <v>-136</v>
      </c>
      <c r="U273" s="713">
        <v>5352</v>
      </c>
    </row>
    <row r="274" spans="1:21" x14ac:dyDescent="0.25">
      <c r="A274" s="709">
        <v>39105</v>
      </c>
      <c r="B274" s="710" t="s">
        <v>1059</v>
      </c>
      <c r="C274" s="711">
        <v>8.4730000000000005E-4</v>
      </c>
      <c r="D274" s="711">
        <v>8.9249999999999996E-4</v>
      </c>
      <c r="E274" s="708">
        <v>53597</v>
      </c>
      <c r="F274" s="712">
        <v>-55424</v>
      </c>
      <c r="G274" s="712">
        <v>-51787</v>
      </c>
      <c r="H274" s="712"/>
      <c r="I274" s="708">
        <v>14199</v>
      </c>
      <c r="J274" s="708">
        <v>11351</v>
      </c>
      <c r="K274" s="708">
        <v>0</v>
      </c>
      <c r="L274" s="712">
        <v>3127</v>
      </c>
      <c r="M274" s="712"/>
      <c r="N274" s="708">
        <v>0</v>
      </c>
      <c r="O274" s="708">
        <v>0</v>
      </c>
      <c r="P274" s="708">
        <v>0</v>
      </c>
      <c r="Q274" s="712">
        <v>0</v>
      </c>
      <c r="R274" s="712"/>
      <c r="S274" s="708">
        <v>27514</v>
      </c>
      <c r="T274" s="713">
        <v>1042</v>
      </c>
      <c r="U274" s="713">
        <v>28557</v>
      </c>
    </row>
    <row r="275" spans="1:21" x14ac:dyDescent="0.25">
      <c r="A275" s="709">
        <v>39200</v>
      </c>
      <c r="B275" s="710" t="s">
        <v>1558</v>
      </c>
      <c r="C275" s="711">
        <v>5.8469500000000001E-2</v>
      </c>
      <c r="D275" s="711">
        <v>5.7920399999999997E-2</v>
      </c>
      <c r="E275" s="708">
        <v>3324168</v>
      </c>
      <c r="F275" s="712">
        <v>-3596857</v>
      </c>
      <c r="G275" s="712">
        <v>-3573655.84</v>
      </c>
      <c r="H275" s="712"/>
      <c r="I275" s="708">
        <v>979832</v>
      </c>
      <c r="J275" s="708">
        <v>783316</v>
      </c>
      <c r="K275" s="708">
        <v>0</v>
      </c>
      <c r="L275" s="712">
        <v>0</v>
      </c>
      <c r="M275" s="712"/>
      <c r="N275" s="708">
        <v>0</v>
      </c>
      <c r="O275" s="708">
        <v>0</v>
      </c>
      <c r="P275" s="708">
        <v>0</v>
      </c>
      <c r="Q275" s="712">
        <v>235844</v>
      </c>
      <c r="R275" s="712"/>
      <c r="S275" s="708">
        <v>1898680</v>
      </c>
      <c r="T275" s="713">
        <v>-78615</v>
      </c>
      <c r="U275" s="713">
        <v>1820065</v>
      </c>
    </row>
    <row r="276" spans="1:21" x14ac:dyDescent="0.25">
      <c r="A276" s="709">
        <v>39201</v>
      </c>
      <c r="B276" s="710" t="s">
        <v>1061</v>
      </c>
      <c r="C276" s="711">
        <v>1.7530000000000001E-4</v>
      </c>
      <c r="D276" s="711">
        <v>1.784E-4</v>
      </c>
      <c r="E276" s="708">
        <v>8158</v>
      </c>
      <c r="F276" s="712">
        <v>-11079</v>
      </c>
      <c r="G276" s="712">
        <v>-10714</v>
      </c>
      <c r="H276" s="712"/>
      <c r="I276" s="708">
        <v>2938</v>
      </c>
      <c r="J276" s="708">
        <v>2348</v>
      </c>
      <c r="K276" s="708">
        <v>0</v>
      </c>
      <c r="L276" s="712">
        <v>0</v>
      </c>
      <c r="M276" s="712"/>
      <c r="N276" s="708">
        <v>0</v>
      </c>
      <c r="O276" s="708">
        <v>0</v>
      </c>
      <c r="P276" s="708">
        <v>0</v>
      </c>
      <c r="Q276" s="712">
        <v>1842</v>
      </c>
      <c r="R276" s="712"/>
      <c r="S276" s="708">
        <v>5693</v>
      </c>
      <c r="T276" s="713">
        <v>-614</v>
      </c>
      <c r="U276" s="713">
        <v>5078</v>
      </c>
    </row>
    <row r="277" spans="1:21" x14ac:dyDescent="0.25">
      <c r="A277" s="709">
        <v>39204</v>
      </c>
      <c r="B277" s="710" t="s">
        <v>1062</v>
      </c>
      <c r="C277" s="711">
        <v>1.641E-4</v>
      </c>
      <c r="D277" s="711">
        <v>1.225E-4</v>
      </c>
      <c r="E277" s="708">
        <v>8268</v>
      </c>
      <c r="F277" s="712">
        <v>-7607</v>
      </c>
      <c r="G277" s="712">
        <v>-10030</v>
      </c>
      <c r="H277" s="712"/>
      <c r="I277" s="708">
        <v>2750</v>
      </c>
      <c r="J277" s="708">
        <v>2198</v>
      </c>
      <c r="K277" s="708">
        <v>0</v>
      </c>
      <c r="L277" s="712">
        <v>0</v>
      </c>
      <c r="M277" s="712"/>
      <c r="N277" s="708">
        <v>0</v>
      </c>
      <c r="O277" s="708">
        <v>0</v>
      </c>
      <c r="P277" s="708">
        <v>0</v>
      </c>
      <c r="Q277" s="712">
        <v>3324</v>
      </c>
      <c r="R277" s="712"/>
      <c r="S277" s="708">
        <v>5329</v>
      </c>
      <c r="T277" s="713">
        <v>-1108</v>
      </c>
      <c r="U277" s="713">
        <v>4221</v>
      </c>
    </row>
    <row r="278" spans="1:21" x14ac:dyDescent="0.25">
      <c r="A278" s="709">
        <v>39205</v>
      </c>
      <c r="B278" s="710" t="s">
        <v>1063</v>
      </c>
      <c r="C278" s="711">
        <v>4.7406999999999996E-3</v>
      </c>
      <c r="D278" s="711">
        <v>4.5104999999999998E-3</v>
      </c>
      <c r="E278" s="708">
        <v>294890</v>
      </c>
      <c r="F278" s="712">
        <v>-280102</v>
      </c>
      <c r="G278" s="712">
        <v>-289752</v>
      </c>
      <c r="H278" s="712"/>
      <c r="I278" s="708">
        <v>79445</v>
      </c>
      <c r="J278" s="708">
        <v>63511</v>
      </c>
      <c r="K278" s="708">
        <v>0</v>
      </c>
      <c r="L278" s="712">
        <v>0</v>
      </c>
      <c r="M278" s="712"/>
      <c r="N278" s="708">
        <v>0</v>
      </c>
      <c r="O278" s="708">
        <v>0</v>
      </c>
      <c r="P278" s="708">
        <v>0</v>
      </c>
      <c r="Q278" s="712">
        <v>8745</v>
      </c>
      <c r="R278" s="712"/>
      <c r="S278" s="708">
        <v>153945</v>
      </c>
      <c r="T278" s="713">
        <v>-2915</v>
      </c>
      <c r="U278" s="713">
        <v>151030</v>
      </c>
    </row>
    <row r="279" spans="1:21" x14ac:dyDescent="0.25">
      <c r="A279" s="709">
        <v>39208</v>
      </c>
      <c r="B279" s="710" t="s">
        <v>1559</v>
      </c>
      <c r="C279" s="711">
        <v>3.4610000000000001E-4</v>
      </c>
      <c r="D279" s="711">
        <v>3.6979999999999999E-4</v>
      </c>
      <c r="E279" s="708">
        <v>17640</v>
      </c>
      <c r="F279" s="712">
        <v>-22965</v>
      </c>
      <c r="G279" s="712">
        <v>-21154</v>
      </c>
      <c r="H279" s="712"/>
      <c r="I279" s="708">
        <v>5800</v>
      </c>
      <c r="J279" s="708">
        <v>4637</v>
      </c>
      <c r="K279" s="708">
        <v>0</v>
      </c>
      <c r="L279" s="712">
        <v>0</v>
      </c>
      <c r="M279" s="712"/>
      <c r="N279" s="708">
        <v>0</v>
      </c>
      <c r="O279" s="708">
        <v>0</v>
      </c>
      <c r="P279" s="708">
        <v>0</v>
      </c>
      <c r="Q279" s="712">
        <v>1668</v>
      </c>
      <c r="R279" s="712"/>
      <c r="S279" s="708">
        <v>11239</v>
      </c>
      <c r="T279" s="713">
        <v>-556</v>
      </c>
      <c r="U279" s="713">
        <v>10683</v>
      </c>
    </row>
    <row r="280" spans="1:21" x14ac:dyDescent="0.25">
      <c r="A280" s="709">
        <v>39209</v>
      </c>
      <c r="B280" s="710" t="s">
        <v>1065</v>
      </c>
      <c r="C280" s="711">
        <v>1.916E-4</v>
      </c>
      <c r="D280" s="711">
        <v>1.8430000000000001E-4</v>
      </c>
      <c r="E280" s="708">
        <v>9200</v>
      </c>
      <c r="F280" s="712">
        <v>-11445</v>
      </c>
      <c r="G280" s="712">
        <v>-11711</v>
      </c>
      <c r="H280" s="712"/>
      <c r="I280" s="708">
        <v>3211</v>
      </c>
      <c r="J280" s="708">
        <v>2567</v>
      </c>
      <c r="K280" s="708">
        <v>0</v>
      </c>
      <c r="L280" s="712">
        <v>0</v>
      </c>
      <c r="M280" s="712"/>
      <c r="N280" s="708">
        <v>0</v>
      </c>
      <c r="O280" s="708">
        <v>0</v>
      </c>
      <c r="P280" s="708">
        <v>0</v>
      </c>
      <c r="Q280" s="712">
        <v>2299</v>
      </c>
      <c r="R280" s="712"/>
      <c r="S280" s="708">
        <v>6222</v>
      </c>
      <c r="T280" s="713">
        <v>-766</v>
      </c>
      <c r="U280" s="713">
        <v>5456</v>
      </c>
    </row>
    <row r="281" spans="1:21" x14ac:dyDescent="0.25">
      <c r="A281" s="709">
        <v>39300</v>
      </c>
      <c r="B281" s="710" t="s">
        <v>1066</v>
      </c>
      <c r="C281" s="711">
        <v>7.6119999999999996E-4</v>
      </c>
      <c r="D281" s="711">
        <v>8.5419999999999995E-4</v>
      </c>
      <c r="E281" s="708">
        <v>49111</v>
      </c>
      <c r="F281" s="712">
        <v>-53046</v>
      </c>
      <c r="G281" s="712">
        <v>-46525</v>
      </c>
      <c r="H281" s="712"/>
      <c r="I281" s="708">
        <v>12756</v>
      </c>
      <c r="J281" s="708">
        <v>10198</v>
      </c>
      <c r="K281" s="708">
        <v>0</v>
      </c>
      <c r="L281" s="712">
        <v>5970</v>
      </c>
      <c r="M281" s="712"/>
      <c r="N281" s="708">
        <v>0</v>
      </c>
      <c r="O281" s="708">
        <v>0</v>
      </c>
      <c r="P281" s="708">
        <v>0</v>
      </c>
      <c r="Q281" s="712">
        <v>0</v>
      </c>
      <c r="R281" s="712"/>
      <c r="S281" s="708">
        <v>24718</v>
      </c>
      <c r="T281" s="713">
        <v>1990</v>
      </c>
      <c r="U281" s="713">
        <v>26708</v>
      </c>
    </row>
    <row r="282" spans="1:21" x14ac:dyDescent="0.25">
      <c r="A282" s="709">
        <v>39301</v>
      </c>
      <c r="B282" s="710" t="s">
        <v>1067</v>
      </c>
      <c r="C282" s="711">
        <v>5.3900000000000002E-5</v>
      </c>
      <c r="D282" s="711">
        <v>4.74E-5</v>
      </c>
      <c r="E282" s="708">
        <v>3070</v>
      </c>
      <c r="F282" s="712">
        <v>-2944</v>
      </c>
      <c r="G282" s="712">
        <v>-3294</v>
      </c>
      <c r="H282" s="712"/>
      <c r="I282" s="708">
        <v>903</v>
      </c>
      <c r="J282" s="708">
        <v>722</v>
      </c>
      <c r="K282" s="708">
        <v>0</v>
      </c>
      <c r="L282" s="712">
        <v>0</v>
      </c>
      <c r="M282" s="712"/>
      <c r="N282" s="708">
        <v>0</v>
      </c>
      <c r="O282" s="708">
        <v>0</v>
      </c>
      <c r="P282" s="708">
        <v>0</v>
      </c>
      <c r="Q282" s="712">
        <v>493</v>
      </c>
      <c r="R282" s="712"/>
      <c r="S282" s="708">
        <v>1750</v>
      </c>
      <c r="T282" s="713">
        <v>-164</v>
      </c>
      <c r="U282" s="713">
        <v>1586</v>
      </c>
    </row>
    <row r="283" spans="1:21" x14ac:dyDescent="0.25">
      <c r="A283" s="709">
        <v>39400</v>
      </c>
      <c r="B283" s="710" t="s">
        <v>1068</v>
      </c>
      <c r="C283" s="711">
        <v>5.419E-4</v>
      </c>
      <c r="D283" s="711">
        <v>5.844E-4</v>
      </c>
      <c r="E283" s="708">
        <v>37358</v>
      </c>
      <c r="F283" s="712">
        <v>-36291</v>
      </c>
      <c r="G283" s="712">
        <v>-33121</v>
      </c>
      <c r="H283" s="712"/>
      <c r="I283" s="708">
        <v>9081</v>
      </c>
      <c r="J283" s="708">
        <v>7260</v>
      </c>
      <c r="K283" s="708">
        <v>0</v>
      </c>
      <c r="L283" s="712">
        <v>4943</v>
      </c>
      <c r="M283" s="712"/>
      <c r="N283" s="708">
        <v>0</v>
      </c>
      <c r="O283" s="708">
        <v>0</v>
      </c>
      <c r="P283" s="708">
        <v>0</v>
      </c>
      <c r="Q283" s="712">
        <v>0</v>
      </c>
      <c r="R283" s="712"/>
      <c r="S283" s="708">
        <v>17597</v>
      </c>
      <c r="T283" s="713">
        <v>1648</v>
      </c>
      <c r="U283" s="713">
        <v>19245</v>
      </c>
    </row>
    <row r="284" spans="1:21" x14ac:dyDescent="0.25">
      <c r="A284" s="709">
        <v>39401</v>
      </c>
      <c r="B284" s="710" t="s">
        <v>1069</v>
      </c>
      <c r="C284" s="711">
        <v>3.1119999999999997E-4</v>
      </c>
      <c r="D284" s="711">
        <v>2.1699999999999999E-4</v>
      </c>
      <c r="E284" s="708">
        <v>13347</v>
      </c>
      <c r="F284" s="712">
        <v>-13476</v>
      </c>
      <c r="G284" s="712">
        <v>-19021</v>
      </c>
      <c r="H284" s="712"/>
      <c r="I284" s="708">
        <v>5215</v>
      </c>
      <c r="J284" s="708">
        <v>4169</v>
      </c>
      <c r="K284" s="708">
        <v>0</v>
      </c>
      <c r="L284" s="712">
        <v>0</v>
      </c>
      <c r="M284" s="712"/>
      <c r="N284" s="708">
        <v>0</v>
      </c>
      <c r="O284" s="708">
        <v>0</v>
      </c>
      <c r="P284" s="708">
        <v>0</v>
      </c>
      <c r="Q284" s="712">
        <v>8766</v>
      </c>
      <c r="R284" s="712"/>
      <c r="S284" s="708">
        <v>10106</v>
      </c>
      <c r="T284" s="713">
        <v>-2922</v>
      </c>
      <c r="U284" s="713">
        <v>7184</v>
      </c>
    </row>
    <row r="285" spans="1:21" x14ac:dyDescent="0.25">
      <c r="A285" s="709">
        <v>39500</v>
      </c>
      <c r="B285" s="710" t="s">
        <v>1070</v>
      </c>
      <c r="C285" s="711">
        <v>1.745E-3</v>
      </c>
      <c r="D285" s="711">
        <v>1.7711000000000001E-3</v>
      </c>
      <c r="E285" s="708">
        <v>104563</v>
      </c>
      <c r="F285" s="712">
        <v>-109985</v>
      </c>
      <c r="G285" s="712">
        <v>-106654.39999999999</v>
      </c>
      <c r="H285" s="712"/>
      <c r="I285" s="708">
        <v>29242.71</v>
      </c>
      <c r="J285" s="708">
        <v>23378</v>
      </c>
      <c r="K285" s="708">
        <v>0</v>
      </c>
      <c r="L285" s="712">
        <v>0</v>
      </c>
      <c r="M285" s="712"/>
      <c r="N285" s="708">
        <v>0</v>
      </c>
      <c r="O285" s="708">
        <v>0</v>
      </c>
      <c r="P285" s="708">
        <v>0</v>
      </c>
      <c r="Q285" s="712">
        <v>1044</v>
      </c>
      <c r="R285" s="712"/>
      <c r="S285" s="708">
        <v>56665</v>
      </c>
      <c r="T285" s="713">
        <v>-348</v>
      </c>
      <c r="U285" s="713">
        <v>56317</v>
      </c>
    </row>
    <row r="286" spans="1:21" x14ac:dyDescent="0.25">
      <c r="A286" s="709">
        <v>39501</v>
      </c>
      <c r="B286" s="710" t="s">
        <v>1071</v>
      </c>
      <c r="C286" s="711">
        <v>6.0399999999999998E-5</v>
      </c>
      <c r="D286" s="711">
        <v>5.7000000000000003E-5</v>
      </c>
      <c r="E286" s="708">
        <v>3284</v>
      </c>
      <c r="F286" s="712">
        <v>-3540</v>
      </c>
      <c r="G286" s="712">
        <v>-3692</v>
      </c>
      <c r="H286" s="712"/>
      <c r="I286" s="708">
        <v>1012</v>
      </c>
      <c r="J286" s="708">
        <v>809</v>
      </c>
      <c r="K286" s="708">
        <v>0</v>
      </c>
      <c r="L286" s="712">
        <v>0</v>
      </c>
      <c r="M286" s="712"/>
      <c r="N286" s="708">
        <v>0</v>
      </c>
      <c r="O286" s="708">
        <v>0</v>
      </c>
      <c r="P286" s="708">
        <v>0</v>
      </c>
      <c r="Q286" s="712">
        <v>488</v>
      </c>
      <c r="R286" s="712"/>
      <c r="S286" s="708">
        <v>1961</v>
      </c>
      <c r="T286" s="713">
        <v>-163</v>
      </c>
      <c r="U286" s="713">
        <v>1799</v>
      </c>
    </row>
    <row r="287" spans="1:21" x14ac:dyDescent="0.25">
      <c r="A287" s="709">
        <v>39600</v>
      </c>
      <c r="B287" s="710" t="s">
        <v>1072</v>
      </c>
      <c r="C287" s="711">
        <v>5.7155000000000001E-3</v>
      </c>
      <c r="D287" s="711">
        <v>5.7600999999999998E-3</v>
      </c>
      <c r="E287" s="708">
        <v>356807</v>
      </c>
      <c r="F287" s="712">
        <v>-357702</v>
      </c>
      <c r="G287" s="712">
        <v>-349331.36</v>
      </c>
      <c r="H287" s="712"/>
      <c r="I287" s="708">
        <v>95780</v>
      </c>
      <c r="J287" s="708">
        <v>76571</v>
      </c>
      <c r="K287" s="708">
        <v>0</v>
      </c>
      <c r="L287" s="712">
        <v>5421</v>
      </c>
      <c r="M287" s="712"/>
      <c r="N287" s="708">
        <v>0</v>
      </c>
      <c r="O287" s="708">
        <v>0</v>
      </c>
      <c r="P287" s="708">
        <v>0</v>
      </c>
      <c r="Q287" s="712">
        <v>0</v>
      </c>
      <c r="R287" s="712"/>
      <c r="S287" s="708">
        <v>185599</v>
      </c>
      <c r="T287" s="713">
        <v>1807</v>
      </c>
      <c r="U287" s="713">
        <v>187406</v>
      </c>
    </row>
    <row r="288" spans="1:21" x14ac:dyDescent="0.25">
      <c r="A288" s="709">
        <v>39605</v>
      </c>
      <c r="B288" s="710" t="s">
        <v>1073</v>
      </c>
      <c r="C288" s="711">
        <v>8.4079999999999995E-4</v>
      </c>
      <c r="D288" s="711">
        <v>8.3909999999999996E-4</v>
      </c>
      <c r="E288" s="708">
        <v>52920</v>
      </c>
      <c r="F288" s="712">
        <v>-52108</v>
      </c>
      <c r="G288" s="712">
        <v>-51390</v>
      </c>
      <c r="H288" s="712"/>
      <c r="I288" s="708">
        <v>14090</v>
      </c>
      <c r="J288" s="708">
        <v>11264</v>
      </c>
      <c r="K288" s="708">
        <v>0</v>
      </c>
      <c r="L288" s="712">
        <v>735</v>
      </c>
      <c r="M288" s="712"/>
      <c r="N288" s="708">
        <v>0</v>
      </c>
      <c r="O288" s="708">
        <v>0</v>
      </c>
      <c r="P288" s="708">
        <v>0</v>
      </c>
      <c r="Q288" s="712">
        <v>0</v>
      </c>
      <c r="R288" s="712"/>
      <c r="S288" s="708">
        <v>27303</v>
      </c>
      <c r="T288" s="713">
        <v>245</v>
      </c>
      <c r="U288" s="713">
        <v>27548</v>
      </c>
    </row>
    <row r="289" spans="1:21" x14ac:dyDescent="0.25">
      <c r="A289" s="709">
        <v>39700</v>
      </c>
      <c r="B289" s="710" t="s">
        <v>1074</v>
      </c>
      <c r="C289" s="711">
        <v>3.3145000000000002E-3</v>
      </c>
      <c r="D289" s="711">
        <v>3.4721000000000001E-3</v>
      </c>
      <c r="E289" s="708">
        <v>197244</v>
      </c>
      <c r="F289" s="712">
        <v>-215617</v>
      </c>
      <c r="G289" s="712">
        <v>-202582</v>
      </c>
      <c r="H289" s="712"/>
      <c r="I289" s="708">
        <v>55544</v>
      </c>
      <c r="J289" s="708">
        <v>44404</v>
      </c>
      <c r="K289" s="708">
        <v>0</v>
      </c>
      <c r="L289" s="712">
        <v>2024</v>
      </c>
      <c r="M289" s="712"/>
      <c r="N289" s="708">
        <v>0</v>
      </c>
      <c r="O289" s="708">
        <v>0</v>
      </c>
      <c r="P289" s="708">
        <v>0</v>
      </c>
      <c r="Q289" s="712">
        <v>0</v>
      </c>
      <c r="R289" s="712"/>
      <c r="S289" s="708">
        <v>107632</v>
      </c>
      <c r="T289" s="713">
        <v>675</v>
      </c>
      <c r="U289" s="713">
        <v>108307</v>
      </c>
    </row>
    <row r="290" spans="1:21" x14ac:dyDescent="0.25">
      <c r="A290" s="709">
        <v>39703</v>
      </c>
      <c r="B290" s="710" t="s">
        <v>1075</v>
      </c>
      <c r="C290" s="711">
        <v>1.4329999999999999E-4</v>
      </c>
      <c r="D290" s="711">
        <v>1.119E-4</v>
      </c>
      <c r="E290" s="708">
        <v>6743</v>
      </c>
      <c r="F290" s="712">
        <v>-6949</v>
      </c>
      <c r="G290" s="712">
        <v>-8758</v>
      </c>
      <c r="H290" s="712"/>
      <c r="I290" s="708">
        <v>2401</v>
      </c>
      <c r="J290" s="708">
        <v>1920</v>
      </c>
      <c r="K290" s="708">
        <v>0</v>
      </c>
      <c r="L290" s="712">
        <v>0</v>
      </c>
      <c r="M290" s="712"/>
      <c r="N290" s="708">
        <v>0</v>
      </c>
      <c r="O290" s="708">
        <v>0</v>
      </c>
      <c r="P290" s="708">
        <v>0</v>
      </c>
      <c r="Q290" s="712">
        <v>3030</v>
      </c>
      <c r="R290" s="712"/>
      <c r="S290" s="708">
        <v>4653</v>
      </c>
      <c r="T290" s="713">
        <v>-1010</v>
      </c>
      <c r="U290" s="713">
        <v>3643</v>
      </c>
    </row>
    <row r="291" spans="1:21" x14ac:dyDescent="0.25">
      <c r="A291" s="709">
        <v>39705</v>
      </c>
      <c r="B291" s="710" t="s">
        <v>1076</v>
      </c>
      <c r="C291" s="711">
        <v>7.8140000000000002E-4</v>
      </c>
      <c r="D291" s="711">
        <v>7.9449999999999996E-4</v>
      </c>
      <c r="E291" s="708">
        <v>51964</v>
      </c>
      <c r="F291" s="712">
        <v>-49338</v>
      </c>
      <c r="G291" s="712">
        <v>-47759</v>
      </c>
      <c r="H291" s="712"/>
      <c r="I291" s="708">
        <v>13095</v>
      </c>
      <c r="J291" s="708">
        <v>10468</v>
      </c>
      <c r="K291" s="708">
        <v>0</v>
      </c>
      <c r="L291" s="712">
        <v>3455</v>
      </c>
      <c r="M291" s="712"/>
      <c r="N291" s="708">
        <v>0</v>
      </c>
      <c r="O291" s="708">
        <v>0</v>
      </c>
      <c r="P291" s="708">
        <v>0</v>
      </c>
      <c r="Q291" s="712">
        <v>0</v>
      </c>
      <c r="R291" s="712"/>
      <c r="S291" s="708">
        <v>25374</v>
      </c>
      <c r="T291" s="713">
        <v>1152</v>
      </c>
      <c r="U291" s="713">
        <v>26526</v>
      </c>
    </row>
    <row r="292" spans="1:21" x14ac:dyDescent="0.25">
      <c r="A292" s="709">
        <v>39800</v>
      </c>
      <c r="B292" s="710" t="s">
        <v>1077</v>
      </c>
      <c r="C292" s="711">
        <v>3.7190999999999999E-3</v>
      </c>
      <c r="D292" s="711">
        <v>3.8138E-3</v>
      </c>
      <c r="E292" s="708">
        <v>229479</v>
      </c>
      <c r="F292" s="712">
        <v>-236837</v>
      </c>
      <c r="G292" s="712">
        <v>-227311</v>
      </c>
      <c r="H292" s="712"/>
      <c r="I292" s="708">
        <v>62325</v>
      </c>
      <c r="J292" s="708">
        <v>49825</v>
      </c>
      <c r="K292" s="708">
        <v>0</v>
      </c>
      <c r="L292" s="712">
        <v>4564</v>
      </c>
      <c r="M292" s="712"/>
      <c r="N292" s="708">
        <v>0</v>
      </c>
      <c r="O292" s="708">
        <v>0</v>
      </c>
      <c r="P292" s="708">
        <v>0</v>
      </c>
      <c r="Q292" s="712">
        <v>0</v>
      </c>
      <c r="R292" s="712"/>
      <c r="S292" s="708">
        <v>120770</v>
      </c>
      <c r="T292" s="713">
        <v>1521</v>
      </c>
      <c r="U292" s="713">
        <v>122292</v>
      </c>
    </row>
    <row r="293" spans="1:21" x14ac:dyDescent="0.25">
      <c r="A293" s="709">
        <v>39805</v>
      </c>
      <c r="B293" s="710" t="s">
        <v>1078</v>
      </c>
      <c r="C293" s="711">
        <v>4.4000000000000002E-4</v>
      </c>
      <c r="D293" s="711">
        <v>4.2749999999999998E-4</v>
      </c>
      <c r="E293" s="708">
        <v>29084</v>
      </c>
      <c r="F293" s="712">
        <v>-26548</v>
      </c>
      <c r="G293" s="712">
        <v>-26892.799999999999</v>
      </c>
      <c r="H293" s="712"/>
      <c r="I293" s="708">
        <v>7373.52</v>
      </c>
      <c r="J293" s="708">
        <v>5894.68</v>
      </c>
      <c r="K293" s="708">
        <v>0</v>
      </c>
      <c r="L293" s="712">
        <v>887</v>
      </c>
      <c r="M293" s="712"/>
      <c r="N293" s="708">
        <v>0</v>
      </c>
      <c r="O293" s="708">
        <v>0</v>
      </c>
      <c r="P293" s="708">
        <v>0</v>
      </c>
      <c r="Q293" s="712">
        <v>0</v>
      </c>
      <c r="R293" s="712"/>
      <c r="S293" s="708">
        <v>14288.12</v>
      </c>
      <c r="T293" s="713">
        <v>296</v>
      </c>
      <c r="U293" s="713">
        <v>14583.68</v>
      </c>
    </row>
    <row r="294" spans="1:21" x14ac:dyDescent="0.25">
      <c r="A294" s="709">
        <v>39900</v>
      </c>
      <c r="B294" s="710" t="s">
        <v>1079</v>
      </c>
      <c r="C294" s="711">
        <v>1.8667E-3</v>
      </c>
      <c r="D294" s="711">
        <v>1.8894000000000001E-3</v>
      </c>
      <c r="E294" s="708">
        <v>116736</v>
      </c>
      <c r="F294" s="712">
        <v>-117332</v>
      </c>
      <c r="G294" s="712">
        <v>-114093</v>
      </c>
      <c r="H294" s="712"/>
      <c r="I294" s="708">
        <v>31282</v>
      </c>
      <c r="J294" s="708">
        <v>25008</v>
      </c>
      <c r="K294" s="708">
        <v>0</v>
      </c>
      <c r="L294" s="712">
        <v>2300</v>
      </c>
      <c r="M294" s="712"/>
      <c r="N294" s="708">
        <v>0</v>
      </c>
      <c r="O294" s="708">
        <v>0</v>
      </c>
      <c r="P294" s="708">
        <v>0</v>
      </c>
      <c r="Q294" s="712">
        <v>0</v>
      </c>
      <c r="R294" s="712"/>
      <c r="S294" s="708">
        <v>60617</v>
      </c>
      <c r="T294" s="713">
        <v>767</v>
      </c>
      <c r="U294" s="713">
        <v>61384</v>
      </c>
    </row>
    <row r="295" spans="1:21" x14ac:dyDescent="0.25">
      <c r="A295" s="709">
        <v>51000</v>
      </c>
      <c r="B295" s="710" t="s">
        <v>1169</v>
      </c>
      <c r="C295" s="711">
        <v>2.6253800000000001E-2</v>
      </c>
      <c r="D295" s="711">
        <v>2.9415299999999998E-2</v>
      </c>
      <c r="E295" s="708">
        <v>2013371</v>
      </c>
      <c r="F295" s="712">
        <v>-1870576</v>
      </c>
      <c r="G295" s="712">
        <v>-1604632</v>
      </c>
      <c r="H295" s="712"/>
      <c r="I295" s="708">
        <v>439961</v>
      </c>
      <c r="J295" s="708">
        <v>351722</v>
      </c>
      <c r="K295" s="708">
        <v>0</v>
      </c>
      <c r="L295" s="712">
        <v>406492</v>
      </c>
      <c r="M295" s="712"/>
      <c r="N295" s="708">
        <v>0</v>
      </c>
      <c r="O295" s="708">
        <v>0</v>
      </c>
      <c r="P295" s="708">
        <v>0</v>
      </c>
      <c r="Q295" s="712">
        <v>0</v>
      </c>
      <c r="R295" s="712"/>
      <c r="S295" s="708">
        <v>852540</v>
      </c>
      <c r="T295" s="713">
        <v>135497</v>
      </c>
      <c r="U295" s="713">
        <v>988037</v>
      </c>
    </row>
    <row r="296" spans="1:21" x14ac:dyDescent="0.25">
      <c r="A296" s="709">
        <v>51000.2</v>
      </c>
      <c r="B296" s="710" t="s">
        <v>1170</v>
      </c>
      <c r="C296" s="711">
        <v>1.63E-5</v>
      </c>
      <c r="D296" s="711">
        <v>1.95E-5</v>
      </c>
      <c r="E296" s="708" t="e">
        <v>#N/A</v>
      </c>
      <c r="F296" s="712">
        <v>0</v>
      </c>
      <c r="G296" s="712">
        <v>-996</v>
      </c>
      <c r="H296" s="712"/>
      <c r="I296" s="708">
        <v>273</v>
      </c>
      <c r="J296" s="708">
        <v>218</v>
      </c>
      <c r="K296" s="708">
        <v>0</v>
      </c>
      <c r="L296" s="712">
        <v>697</v>
      </c>
      <c r="M296" s="712"/>
      <c r="N296" s="708">
        <v>0</v>
      </c>
      <c r="O296" s="708">
        <v>0</v>
      </c>
      <c r="P296" s="708">
        <v>0</v>
      </c>
      <c r="Q296" s="712">
        <v>0</v>
      </c>
      <c r="R296" s="712"/>
      <c r="S296" s="708">
        <v>529</v>
      </c>
      <c r="T296" s="713">
        <v>232</v>
      </c>
      <c r="U296" s="713">
        <v>762</v>
      </c>
    </row>
    <row r="297" spans="1:21" x14ac:dyDescent="0.25">
      <c r="A297" s="709">
        <v>51000.3</v>
      </c>
      <c r="B297" s="710" t="s">
        <v>1171</v>
      </c>
      <c r="C297" s="711">
        <v>6.3610000000000001E-4</v>
      </c>
      <c r="D297" s="711">
        <v>6.8720000000000001E-4</v>
      </c>
      <c r="E297" s="708" t="e">
        <v>#N/A</v>
      </c>
      <c r="F297" s="712">
        <v>0</v>
      </c>
      <c r="G297" s="712">
        <v>-38878</v>
      </c>
      <c r="H297" s="712"/>
      <c r="I297" s="708">
        <v>10660</v>
      </c>
      <c r="J297" s="708">
        <v>8522</v>
      </c>
      <c r="K297" s="708">
        <v>0</v>
      </c>
      <c r="L297" s="712">
        <v>8579</v>
      </c>
      <c r="M297" s="712"/>
      <c r="N297" s="708">
        <v>0</v>
      </c>
      <c r="O297" s="708">
        <v>0</v>
      </c>
      <c r="P297" s="708">
        <v>0</v>
      </c>
      <c r="Q297" s="712">
        <v>0</v>
      </c>
      <c r="R297" s="712"/>
      <c r="S297" s="708">
        <v>20656</v>
      </c>
      <c r="T297" s="713">
        <v>2860</v>
      </c>
      <c r="U297" s="713">
        <v>23516</v>
      </c>
    </row>
    <row r="298" spans="1:21" x14ac:dyDescent="0.25">
      <c r="A298" s="709" t="s">
        <v>1157</v>
      </c>
      <c r="B298" s="710" t="s">
        <v>1657</v>
      </c>
      <c r="C298" s="711">
        <f>C178</f>
        <v>3.2499999999999997E-5</v>
      </c>
      <c r="D298" s="711">
        <f>D178</f>
        <v>2.4499999999999999E-5</v>
      </c>
      <c r="E298" s="708">
        <f>E178*0.5</f>
        <v>859</v>
      </c>
      <c r="F298" s="712">
        <f>F178*0.5</f>
        <v>-761</v>
      </c>
      <c r="G298" s="712">
        <f>G178*0.5</f>
        <v>-993</v>
      </c>
      <c r="H298" s="712"/>
      <c r="I298" s="708">
        <f>I178*0.5</f>
        <v>272</v>
      </c>
      <c r="J298" s="708">
        <f>J178*0.5</f>
        <v>218</v>
      </c>
      <c r="K298" s="708">
        <f>K178</f>
        <v>0</v>
      </c>
      <c r="L298" s="712">
        <f>L178</f>
        <v>0</v>
      </c>
      <c r="M298" s="712"/>
      <c r="N298" s="708">
        <v>0</v>
      </c>
      <c r="O298" s="708">
        <f>O178</f>
        <v>0</v>
      </c>
      <c r="P298" s="708">
        <f>P178</f>
        <v>0</v>
      </c>
      <c r="Q298" s="712">
        <f>Q178*0.5</f>
        <v>294</v>
      </c>
      <c r="R298" s="712"/>
      <c r="S298" s="708">
        <f>S178*0.5</f>
        <v>528</v>
      </c>
      <c r="T298" s="713">
        <f>T178*0.5</f>
        <v>-98</v>
      </c>
      <c r="U298" s="713">
        <f>U178*0.5</f>
        <v>430</v>
      </c>
    </row>
    <row r="299" spans="1:21" x14ac:dyDescent="0.25">
      <c r="A299" s="709"/>
      <c r="B299" s="710"/>
      <c r="C299" s="711"/>
      <c r="D299" s="711"/>
      <c r="E299" s="711"/>
      <c r="G299" s="712"/>
      <c r="H299" s="712"/>
      <c r="I299" s="708"/>
      <c r="J299" s="708"/>
      <c r="K299" s="708"/>
      <c r="L299" s="712"/>
      <c r="M299" s="712"/>
      <c r="N299" s="708"/>
      <c r="O299" s="708"/>
      <c r="P299" s="708"/>
      <c r="Q299" s="712"/>
      <c r="R299" s="712"/>
      <c r="S299" s="708"/>
      <c r="T299" s="713"/>
      <c r="U299" s="713"/>
    </row>
    <row r="300" spans="1:21" x14ac:dyDescent="0.25">
      <c r="A300" s="709"/>
      <c r="B300" s="715"/>
      <c r="C300" s="716">
        <v>1</v>
      </c>
      <c r="D300" s="716">
        <v>1</v>
      </c>
      <c r="E300" s="717">
        <v>61654000</v>
      </c>
      <c r="F300" s="717">
        <v>-62099998</v>
      </c>
      <c r="G300" s="718">
        <v>-61120000</v>
      </c>
      <c r="H300" s="719"/>
      <c r="I300" s="718">
        <v>16758000</v>
      </c>
      <c r="J300" s="718">
        <v>13397000</v>
      </c>
      <c r="K300" s="718">
        <v>0</v>
      </c>
      <c r="L300" s="718">
        <v>1710444</v>
      </c>
      <c r="M300" s="719"/>
      <c r="N300" s="718">
        <v>0</v>
      </c>
      <c r="O300" s="718">
        <v>0</v>
      </c>
      <c r="P300" s="718">
        <v>0</v>
      </c>
      <c r="Q300" s="718">
        <v>1710078</v>
      </c>
      <c r="R300" s="719"/>
      <c r="S300" s="718">
        <v>32473000</v>
      </c>
      <c r="T300" s="718">
        <v>122</v>
      </c>
      <c r="U300" s="718">
        <v>32473122</v>
      </c>
    </row>
    <row r="301" spans="1:21" x14ac:dyDescent="0.25">
      <c r="A301" s="709"/>
      <c r="B301" s="710"/>
      <c r="C301" s="711"/>
      <c r="D301" s="711"/>
      <c r="E301" s="711"/>
      <c r="G301" s="712"/>
      <c r="H301" s="712"/>
      <c r="I301" s="708"/>
      <c r="J301" s="708"/>
      <c r="K301" s="708"/>
      <c r="L301" s="712"/>
      <c r="M301" s="712"/>
      <c r="N301" s="708"/>
      <c r="O301" s="708"/>
      <c r="P301" s="708"/>
      <c r="Q301" s="712"/>
      <c r="R301" s="712"/>
      <c r="S301" s="708"/>
      <c r="T301" s="713"/>
      <c r="U301" s="713"/>
    </row>
    <row r="302" spans="1:21" x14ac:dyDescent="0.25">
      <c r="A302" s="709"/>
      <c r="B302" s="710" t="s">
        <v>1543</v>
      </c>
      <c r="C302" s="714" t="s">
        <v>533</v>
      </c>
      <c r="D302" s="711"/>
      <c r="E302" s="711"/>
      <c r="G302" s="712"/>
      <c r="H302" s="712"/>
      <c r="I302" s="708"/>
      <c r="J302" s="708"/>
      <c r="K302" s="708"/>
      <c r="L302" s="712"/>
      <c r="M302" s="712"/>
      <c r="N302" s="708"/>
      <c r="O302" s="708"/>
      <c r="P302" s="708"/>
      <c r="Q302" s="712"/>
      <c r="R302" s="712"/>
      <c r="S302" s="708"/>
      <c r="T302" s="713"/>
      <c r="U302" s="713"/>
    </row>
    <row r="303" spans="1:21" x14ac:dyDescent="0.25">
      <c r="A303" s="709"/>
      <c r="B303" s="710" t="s">
        <v>927</v>
      </c>
      <c r="C303" s="709">
        <v>33501</v>
      </c>
      <c r="D303" s="711"/>
      <c r="E303" s="711"/>
      <c r="G303" s="712"/>
      <c r="H303" s="712"/>
      <c r="I303" s="708"/>
      <c r="J303" s="708"/>
      <c r="K303" s="708"/>
      <c r="L303" s="712"/>
      <c r="M303" s="712"/>
      <c r="N303" s="708"/>
      <c r="O303" s="708"/>
      <c r="P303" s="708"/>
      <c r="Q303" s="712"/>
      <c r="R303" s="712"/>
      <c r="S303" s="708"/>
      <c r="T303" s="713"/>
      <c r="U303" s="713"/>
    </row>
    <row r="304" spans="1:21" x14ac:dyDescent="0.25">
      <c r="A304" s="709"/>
      <c r="B304" s="710" t="s">
        <v>990</v>
      </c>
      <c r="C304" s="709">
        <v>36301</v>
      </c>
      <c r="D304" s="711"/>
      <c r="E304" s="711"/>
      <c r="G304" s="712"/>
      <c r="H304" s="712"/>
      <c r="I304" s="708"/>
      <c r="J304" s="708"/>
      <c r="K304" s="708"/>
      <c r="L304" s="712"/>
      <c r="M304" s="712"/>
      <c r="N304" s="708"/>
      <c r="O304" s="708"/>
      <c r="P304" s="708"/>
      <c r="Q304" s="712"/>
      <c r="R304" s="712"/>
      <c r="S304" s="708"/>
      <c r="T304" s="713"/>
      <c r="U304" s="713"/>
    </row>
    <row r="305" spans="1:21" x14ac:dyDescent="0.25">
      <c r="A305" s="709"/>
      <c r="B305" s="710" t="s">
        <v>795</v>
      </c>
      <c r="C305" s="709">
        <v>10800</v>
      </c>
      <c r="D305" s="711"/>
      <c r="E305" s="711"/>
      <c r="G305" s="712"/>
      <c r="H305" s="712"/>
      <c r="I305" s="708"/>
      <c r="J305" s="708"/>
      <c r="K305" s="708"/>
      <c r="L305" s="712"/>
      <c r="M305" s="712"/>
      <c r="N305" s="708"/>
      <c r="O305" s="708"/>
      <c r="P305" s="708"/>
      <c r="Q305" s="712"/>
      <c r="R305" s="712"/>
      <c r="S305" s="708"/>
      <c r="T305" s="713"/>
      <c r="U305" s="713"/>
    </row>
    <row r="306" spans="1:21" x14ac:dyDescent="0.25">
      <c r="A306" s="709"/>
      <c r="B306" s="710" t="s">
        <v>851</v>
      </c>
      <c r="C306" s="709">
        <v>30105</v>
      </c>
      <c r="D306" s="711"/>
      <c r="E306" s="711"/>
      <c r="G306" s="712"/>
      <c r="H306" s="712"/>
      <c r="I306" s="708"/>
      <c r="J306" s="708"/>
      <c r="K306" s="708"/>
      <c r="L306" s="712"/>
      <c r="M306" s="712"/>
      <c r="N306" s="708"/>
      <c r="O306" s="708"/>
      <c r="P306" s="708"/>
      <c r="Q306" s="712"/>
      <c r="R306" s="712"/>
      <c r="S306" s="708"/>
      <c r="T306" s="713"/>
      <c r="U306" s="713"/>
    </row>
    <row r="307" spans="1:21" x14ac:dyDescent="0.25">
      <c r="A307" s="709"/>
      <c r="B307" s="710" t="s">
        <v>847</v>
      </c>
      <c r="C307" s="709">
        <v>30100</v>
      </c>
      <c r="D307" s="711"/>
      <c r="E307" s="711"/>
      <c r="G307" s="712"/>
      <c r="H307" s="712"/>
      <c r="I307" s="708"/>
      <c r="J307" s="708"/>
      <c r="K307" s="708"/>
      <c r="L307" s="712"/>
      <c r="M307" s="712"/>
      <c r="N307" s="708"/>
      <c r="O307" s="708"/>
      <c r="P307" s="708"/>
      <c r="Q307" s="712"/>
      <c r="R307" s="712"/>
      <c r="S307" s="708"/>
      <c r="T307" s="713"/>
      <c r="U307" s="713"/>
    </row>
    <row r="308" spans="1:21" x14ac:dyDescent="0.25">
      <c r="A308" s="709"/>
      <c r="B308" s="710" t="s">
        <v>852</v>
      </c>
      <c r="C308" s="709">
        <v>30200</v>
      </c>
      <c r="D308" s="711"/>
      <c r="E308" s="711"/>
      <c r="G308" s="712"/>
      <c r="H308" s="712"/>
      <c r="I308" s="708"/>
      <c r="J308" s="708"/>
      <c r="K308" s="708"/>
      <c r="L308" s="712"/>
      <c r="M308" s="712"/>
      <c r="N308" s="708"/>
      <c r="O308" s="708"/>
      <c r="P308" s="708"/>
      <c r="Q308" s="712"/>
      <c r="R308" s="712"/>
      <c r="S308" s="708"/>
      <c r="T308" s="713"/>
      <c r="U308" s="713"/>
    </row>
    <row r="309" spans="1:21" x14ac:dyDescent="0.25">
      <c r="A309" s="709"/>
      <c r="B309" s="710" t="s">
        <v>853</v>
      </c>
      <c r="C309" s="709">
        <v>30300</v>
      </c>
      <c r="D309" s="711"/>
      <c r="E309" s="711"/>
      <c r="G309" s="712"/>
      <c r="H309" s="712"/>
      <c r="I309" s="708"/>
      <c r="J309" s="708"/>
      <c r="K309" s="708"/>
      <c r="L309" s="712"/>
      <c r="M309" s="712"/>
      <c r="N309" s="708"/>
      <c r="O309" s="708"/>
      <c r="P309" s="708"/>
      <c r="Q309" s="712"/>
      <c r="R309" s="712"/>
      <c r="S309" s="708"/>
      <c r="T309" s="713"/>
      <c r="U309" s="713"/>
    </row>
    <row r="310" spans="1:21" x14ac:dyDescent="0.25">
      <c r="A310" s="709"/>
      <c r="B310" s="710" t="s">
        <v>1552</v>
      </c>
      <c r="C310" s="709">
        <v>34901</v>
      </c>
      <c r="D310" s="711"/>
      <c r="E310" s="711"/>
      <c r="G310" s="712"/>
      <c r="H310" s="712"/>
      <c r="I310" s="708"/>
      <c r="J310" s="708"/>
      <c r="K310" s="708"/>
      <c r="L310" s="712"/>
      <c r="M310" s="712"/>
      <c r="N310" s="708"/>
      <c r="O310" s="708"/>
      <c r="P310" s="708"/>
      <c r="Q310" s="712"/>
      <c r="R310" s="712"/>
      <c r="S310" s="708"/>
      <c r="T310" s="713"/>
      <c r="U310" s="713"/>
    </row>
    <row r="311" spans="1:21" x14ac:dyDescent="0.25">
      <c r="B311" s="710" t="s">
        <v>854</v>
      </c>
      <c r="C311" s="709">
        <v>30400</v>
      </c>
    </row>
    <row r="312" spans="1:21" s="715" customFormat="1" x14ac:dyDescent="0.25">
      <c r="B312" s="710" t="s">
        <v>826</v>
      </c>
      <c r="C312" s="709">
        <v>20100</v>
      </c>
      <c r="F312" s="702"/>
    </row>
    <row r="313" spans="1:21" x14ac:dyDescent="0.25">
      <c r="B313" s="710" t="s">
        <v>1009</v>
      </c>
      <c r="C313" s="709">
        <v>36901</v>
      </c>
    </row>
    <row r="314" spans="1:21" x14ac:dyDescent="0.25">
      <c r="B314" s="710" t="s">
        <v>923</v>
      </c>
      <c r="C314" s="709">
        <v>33402</v>
      </c>
    </row>
    <row r="315" spans="1:21" x14ac:dyDescent="0.25">
      <c r="B315" s="710" t="s">
        <v>856</v>
      </c>
      <c r="C315" s="709">
        <v>30500</v>
      </c>
    </row>
    <row r="316" spans="1:21" x14ac:dyDescent="0.25">
      <c r="B316" s="710" t="s">
        <v>1024</v>
      </c>
      <c r="C316" s="709">
        <v>37610</v>
      </c>
    </row>
    <row r="317" spans="1:21" x14ac:dyDescent="0.25">
      <c r="B317" s="710" t="s">
        <v>870</v>
      </c>
      <c r="C317" s="709">
        <v>31110</v>
      </c>
    </row>
    <row r="318" spans="1:21" x14ac:dyDescent="0.25">
      <c r="B318" s="710" t="s">
        <v>869</v>
      </c>
      <c r="C318" s="709">
        <v>31105</v>
      </c>
    </row>
    <row r="319" spans="1:21" x14ac:dyDescent="0.25">
      <c r="B319" s="710" t="s">
        <v>857</v>
      </c>
      <c r="C319" s="709">
        <v>30600</v>
      </c>
    </row>
    <row r="320" spans="1:21" x14ac:dyDescent="0.25">
      <c r="B320" s="710" t="s">
        <v>818</v>
      </c>
      <c r="C320" s="709">
        <v>18600</v>
      </c>
    </row>
    <row r="321" spans="2:3" x14ac:dyDescent="0.25">
      <c r="B321" s="710" t="s">
        <v>919</v>
      </c>
      <c r="C321" s="709">
        <v>33206</v>
      </c>
    </row>
    <row r="322" spans="2:3" x14ac:dyDescent="0.25">
      <c r="B322" s="710" t="s">
        <v>860</v>
      </c>
      <c r="C322" s="709">
        <v>30705</v>
      </c>
    </row>
    <row r="323" spans="2:3" x14ac:dyDescent="0.25">
      <c r="B323" s="710" t="s">
        <v>859</v>
      </c>
      <c r="C323" s="709">
        <v>30700</v>
      </c>
    </row>
    <row r="324" spans="2:3" x14ac:dyDescent="0.25">
      <c r="B324" s="710" t="s">
        <v>861</v>
      </c>
      <c r="C324" s="709">
        <v>30800</v>
      </c>
    </row>
    <row r="325" spans="2:3" x14ac:dyDescent="0.25">
      <c r="B325" s="710" t="s">
        <v>1031</v>
      </c>
      <c r="C325" s="709">
        <v>37901</v>
      </c>
    </row>
    <row r="326" spans="2:3" x14ac:dyDescent="0.25">
      <c r="B326" s="710" t="s">
        <v>863</v>
      </c>
      <c r="C326" s="709">
        <v>30905</v>
      </c>
    </row>
    <row r="327" spans="2:3" x14ac:dyDescent="0.25">
      <c r="B327" s="710" t="s">
        <v>862</v>
      </c>
      <c r="C327" s="709">
        <v>30900</v>
      </c>
    </row>
    <row r="328" spans="2:3" x14ac:dyDescent="0.25">
      <c r="B328" s="710" t="s">
        <v>945</v>
      </c>
      <c r="C328" s="709">
        <v>34505</v>
      </c>
    </row>
    <row r="329" spans="2:3" x14ac:dyDescent="0.25">
      <c r="B329" s="710" t="s">
        <v>1054</v>
      </c>
      <c r="C329" s="709">
        <v>38801</v>
      </c>
    </row>
    <row r="330" spans="2:3" x14ac:dyDescent="0.25">
      <c r="B330" s="710" t="s">
        <v>1046</v>
      </c>
      <c r="C330" s="709">
        <v>38601</v>
      </c>
    </row>
    <row r="331" spans="2:3" x14ac:dyDescent="0.25">
      <c r="B331" s="710" t="s">
        <v>865</v>
      </c>
      <c r="C331" s="709">
        <v>31005</v>
      </c>
    </row>
    <row r="332" spans="2:3" x14ac:dyDescent="0.25">
      <c r="B332" s="710" t="s">
        <v>864</v>
      </c>
      <c r="C332" s="709">
        <v>31000</v>
      </c>
    </row>
    <row r="333" spans="2:3" x14ac:dyDescent="0.25">
      <c r="B333" s="710" t="s">
        <v>866</v>
      </c>
      <c r="C333" s="709">
        <v>31100</v>
      </c>
    </row>
    <row r="334" spans="2:3" x14ac:dyDescent="0.25">
      <c r="B334" s="710" t="s">
        <v>871</v>
      </c>
      <c r="C334" s="709">
        <v>31200</v>
      </c>
    </row>
    <row r="335" spans="2:3" x14ac:dyDescent="0.25">
      <c r="B335" s="710" t="s">
        <v>873</v>
      </c>
      <c r="C335" s="709">
        <v>31300</v>
      </c>
    </row>
    <row r="336" spans="2:3" x14ac:dyDescent="0.25">
      <c r="B336" s="710" t="s">
        <v>877</v>
      </c>
      <c r="C336" s="709">
        <v>31405</v>
      </c>
    </row>
    <row r="337" spans="2:3" x14ac:dyDescent="0.25">
      <c r="B337" s="710" t="s">
        <v>876</v>
      </c>
      <c r="C337" s="709">
        <v>31400</v>
      </c>
    </row>
    <row r="338" spans="2:3" x14ac:dyDescent="0.25">
      <c r="B338" s="710" t="s">
        <v>878</v>
      </c>
      <c r="C338" s="709">
        <v>31500</v>
      </c>
    </row>
    <row r="339" spans="2:3" x14ac:dyDescent="0.25">
      <c r="B339" s="710" t="s">
        <v>998</v>
      </c>
      <c r="C339" s="709">
        <v>36505</v>
      </c>
    </row>
    <row r="340" spans="2:3" x14ac:dyDescent="0.25">
      <c r="B340" s="710" t="s">
        <v>996</v>
      </c>
      <c r="C340" s="709">
        <v>36501</v>
      </c>
    </row>
    <row r="341" spans="2:3" x14ac:dyDescent="0.25">
      <c r="B341" s="710" t="s">
        <v>874</v>
      </c>
      <c r="C341" s="709">
        <v>31301</v>
      </c>
    </row>
    <row r="342" spans="2:3" x14ac:dyDescent="0.25">
      <c r="B342" s="710" t="s">
        <v>881</v>
      </c>
      <c r="C342" s="709">
        <v>31605</v>
      </c>
    </row>
    <row r="343" spans="2:3" x14ac:dyDescent="0.25">
      <c r="B343" s="710" t="s">
        <v>879</v>
      </c>
      <c r="C343" s="709">
        <v>31600</v>
      </c>
    </row>
    <row r="344" spans="2:3" x14ac:dyDescent="0.25">
      <c r="B344" s="710" t="s">
        <v>1065</v>
      </c>
      <c r="C344" s="709">
        <v>39209</v>
      </c>
    </row>
    <row r="345" spans="2:3" x14ac:dyDescent="0.25">
      <c r="B345" s="710" t="s">
        <v>882</v>
      </c>
      <c r="C345" s="709">
        <v>31700</v>
      </c>
    </row>
    <row r="346" spans="2:3" x14ac:dyDescent="0.25">
      <c r="B346" s="710" t="s">
        <v>883</v>
      </c>
      <c r="C346" s="709">
        <v>31800</v>
      </c>
    </row>
    <row r="347" spans="2:3" x14ac:dyDescent="0.25">
      <c r="B347" s="710" t="s">
        <v>884</v>
      </c>
      <c r="C347" s="709">
        <v>31805</v>
      </c>
    </row>
    <row r="348" spans="2:3" x14ac:dyDescent="0.25">
      <c r="B348" s="710" t="s">
        <v>962</v>
      </c>
      <c r="C348" s="709">
        <v>35305</v>
      </c>
    </row>
    <row r="349" spans="2:3" x14ac:dyDescent="0.25">
      <c r="B349" s="710" t="s">
        <v>915</v>
      </c>
      <c r="C349" s="709">
        <v>33202</v>
      </c>
    </row>
    <row r="350" spans="2:3" x14ac:dyDescent="0.25">
      <c r="B350" s="710" t="s">
        <v>979</v>
      </c>
      <c r="C350" s="709">
        <v>36005</v>
      </c>
    </row>
    <row r="351" spans="2:3" x14ac:dyDescent="0.25">
      <c r="B351" s="710" t="s">
        <v>1557</v>
      </c>
      <c r="C351" s="709">
        <v>36810</v>
      </c>
    </row>
    <row r="352" spans="2:3" x14ac:dyDescent="0.25">
      <c r="B352" s="710" t="s">
        <v>983</v>
      </c>
      <c r="C352" s="709">
        <v>36009</v>
      </c>
    </row>
    <row r="353" spans="2:3" x14ac:dyDescent="0.25">
      <c r="B353" s="710" t="s">
        <v>974</v>
      </c>
      <c r="C353" s="709">
        <v>36000</v>
      </c>
    </row>
    <row r="354" spans="2:3" x14ac:dyDescent="0.25">
      <c r="B354" s="710" t="s">
        <v>887</v>
      </c>
      <c r="C354" s="709">
        <v>31900</v>
      </c>
    </row>
    <row r="355" spans="2:3" x14ac:dyDescent="0.25">
      <c r="B355" s="710" t="s">
        <v>888</v>
      </c>
      <c r="C355" s="709">
        <v>32000</v>
      </c>
    </row>
    <row r="356" spans="2:3" x14ac:dyDescent="0.25">
      <c r="B356" s="710" t="s">
        <v>964</v>
      </c>
      <c r="C356" s="709">
        <v>35401</v>
      </c>
    </row>
    <row r="357" spans="2:3" x14ac:dyDescent="0.25">
      <c r="B357" s="710" t="s">
        <v>891</v>
      </c>
      <c r="C357" s="709">
        <v>32200</v>
      </c>
    </row>
    <row r="358" spans="2:3" x14ac:dyDescent="0.25">
      <c r="B358" s="710" t="s">
        <v>1548</v>
      </c>
      <c r="C358" s="709">
        <v>32305</v>
      </c>
    </row>
    <row r="359" spans="2:3" x14ac:dyDescent="0.25">
      <c r="B359" s="710" t="s">
        <v>892</v>
      </c>
      <c r="C359" s="709">
        <v>32300</v>
      </c>
    </row>
    <row r="360" spans="2:3" x14ac:dyDescent="0.25">
      <c r="B360" s="710" t="s">
        <v>1039</v>
      </c>
      <c r="C360" s="709">
        <v>38210</v>
      </c>
    </row>
    <row r="361" spans="2:3" x14ac:dyDescent="0.25">
      <c r="B361" s="710" t="s">
        <v>848</v>
      </c>
      <c r="C361" s="709">
        <v>30102</v>
      </c>
    </row>
    <row r="362" spans="2:3" x14ac:dyDescent="0.25">
      <c r="B362" s="710" t="s">
        <v>1003</v>
      </c>
      <c r="C362" s="709">
        <v>36705</v>
      </c>
    </row>
    <row r="363" spans="2:3" x14ac:dyDescent="0.25">
      <c r="B363" s="710" t="s">
        <v>1012</v>
      </c>
      <c r="C363" s="709">
        <v>37005</v>
      </c>
    </row>
    <row r="364" spans="2:3" x14ac:dyDescent="0.25">
      <c r="B364" s="710" t="s">
        <v>894</v>
      </c>
      <c r="C364" s="709">
        <v>32400</v>
      </c>
    </row>
    <row r="365" spans="2:3" x14ac:dyDescent="0.25">
      <c r="B365" s="710" t="s">
        <v>975</v>
      </c>
      <c r="C365" s="709">
        <v>36001</v>
      </c>
    </row>
    <row r="366" spans="2:3" x14ac:dyDescent="0.25">
      <c r="B366" s="710" t="s">
        <v>824</v>
      </c>
      <c r="C366" s="709">
        <v>19005</v>
      </c>
    </row>
    <row r="367" spans="2:3" x14ac:dyDescent="0.25">
      <c r="B367" s="710" t="s">
        <v>977</v>
      </c>
      <c r="C367" s="709">
        <v>36003</v>
      </c>
    </row>
    <row r="368" spans="2:3" x14ac:dyDescent="0.25">
      <c r="B368" s="710" t="s">
        <v>911</v>
      </c>
      <c r="C368" s="709">
        <v>33027</v>
      </c>
    </row>
    <row r="369" spans="2:3" x14ac:dyDescent="0.25">
      <c r="B369" s="710" t="s">
        <v>1554</v>
      </c>
      <c r="C369" s="709">
        <v>36004</v>
      </c>
    </row>
    <row r="370" spans="2:3" x14ac:dyDescent="0.25">
      <c r="B370" s="710" t="s">
        <v>899</v>
      </c>
      <c r="C370" s="709">
        <v>32505</v>
      </c>
    </row>
    <row r="371" spans="2:3" x14ac:dyDescent="0.25">
      <c r="B371" s="710" t="s">
        <v>900</v>
      </c>
      <c r="C371" s="709">
        <v>32600</v>
      </c>
    </row>
    <row r="372" spans="2:3" x14ac:dyDescent="0.25">
      <c r="B372" s="710" t="s">
        <v>902</v>
      </c>
      <c r="C372" s="709">
        <v>32700</v>
      </c>
    </row>
    <row r="373" spans="2:3" x14ac:dyDescent="0.25">
      <c r="B373" s="710" t="s">
        <v>903</v>
      </c>
      <c r="C373" s="709">
        <v>32800</v>
      </c>
    </row>
    <row r="374" spans="2:3" x14ac:dyDescent="0.25">
      <c r="B374" s="710" t="s">
        <v>906</v>
      </c>
      <c r="C374" s="709">
        <v>32905</v>
      </c>
    </row>
    <row r="375" spans="2:3" x14ac:dyDescent="0.25">
      <c r="B375" s="710" t="s">
        <v>904</v>
      </c>
      <c r="C375" s="709">
        <v>32900</v>
      </c>
    </row>
    <row r="376" spans="2:3" x14ac:dyDescent="0.25">
      <c r="B376" s="710" t="s">
        <v>909</v>
      </c>
      <c r="C376" s="709">
        <v>33000</v>
      </c>
    </row>
    <row r="377" spans="2:3" x14ac:dyDescent="0.25">
      <c r="B377" s="710" t="s">
        <v>797</v>
      </c>
      <c r="C377" s="709">
        <v>10900</v>
      </c>
    </row>
    <row r="378" spans="2:3" x14ac:dyDescent="0.25">
      <c r="B378" s="710" t="s">
        <v>810</v>
      </c>
      <c r="C378" s="709">
        <v>12510</v>
      </c>
    </row>
    <row r="379" spans="2:3" x14ac:dyDescent="0.25">
      <c r="B379" s="710" t="s">
        <v>792</v>
      </c>
      <c r="C379" s="709">
        <v>10400</v>
      </c>
    </row>
    <row r="380" spans="2:3" x14ac:dyDescent="0.25">
      <c r="B380" s="710" t="s">
        <v>1544</v>
      </c>
      <c r="C380" s="709">
        <v>10700</v>
      </c>
    </row>
    <row r="381" spans="2:3" x14ac:dyDescent="0.25">
      <c r="B381" s="710" t="s">
        <v>842</v>
      </c>
      <c r="C381" s="709">
        <v>22000</v>
      </c>
    </row>
    <row r="382" spans="2:3" x14ac:dyDescent="0.25">
      <c r="B382" s="710" t="s">
        <v>825</v>
      </c>
      <c r="C382" s="709">
        <v>19100</v>
      </c>
    </row>
    <row r="383" spans="2:3" x14ac:dyDescent="0.25">
      <c r="B383" s="710" t="s">
        <v>1546</v>
      </c>
      <c r="C383" s="709">
        <v>18400</v>
      </c>
    </row>
    <row r="384" spans="2:3" x14ac:dyDescent="0.25">
      <c r="B384" s="710" t="s">
        <v>912</v>
      </c>
      <c r="C384" s="709">
        <v>33100</v>
      </c>
    </row>
    <row r="385" spans="2:3" x14ac:dyDescent="0.25">
      <c r="B385" s="710" t="s">
        <v>914</v>
      </c>
      <c r="C385" s="709">
        <v>33200</v>
      </c>
    </row>
    <row r="386" spans="2:3" x14ac:dyDescent="0.25">
      <c r="B386" s="710" t="s">
        <v>918</v>
      </c>
      <c r="C386" s="709">
        <v>33205</v>
      </c>
    </row>
    <row r="387" spans="2:3" x14ac:dyDescent="0.25">
      <c r="B387" s="710" t="s">
        <v>828</v>
      </c>
      <c r="C387" s="709">
        <v>20300</v>
      </c>
    </row>
    <row r="388" spans="2:3" x14ac:dyDescent="0.25">
      <c r="B388" s="710" t="s">
        <v>1559</v>
      </c>
      <c r="C388" s="709">
        <v>39208</v>
      </c>
    </row>
    <row r="389" spans="2:3" x14ac:dyDescent="0.25">
      <c r="B389" s="710" t="s">
        <v>890</v>
      </c>
      <c r="C389" s="709">
        <v>32100</v>
      </c>
    </row>
    <row r="390" spans="2:3" x14ac:dyDescent="0.25">
      <c r="B390" s="710" t="s">
        <v>920</v>
      </c>
      <c r="C390" s="709">
        <v>33300</v>
      </c>
    </row>
    <row r="391" spans="2:3" x14ac:dyDescent="0.25">
      <c r="B391" s="710" t="s">
        <v>921</v>
      </c>
      <c r="C391" s="709">
        <v>33305</v>
      </c>
    </row>
    <row r="392" spans="2:3" x14ac:dyDescent="0.25">
      <c r="B392" s="710" t="s">
        <v>1011</v>
      </c>
      <c r="C392" s="709">
        <v>37000</v>
      </c>
    </row>
    <row r="393" spans="2:3" x14ac:dyDescent="0.25">
      <c r="B393" s="710" t="s">
        <v>829</v>
      </c>
      <c r="C393" s="709">
        <v>20400</v>
      </c>
    </row>
    <row r="394" spans="2:3" x14ac:dyDescent="0.25">
      <c r="B394" s="710" t="s">
        <v>1050</v>
      </c>
      <c r="C394" s="709">
        <v>38620</v>
      </c>
    </row>
    <row r="395" spans="2:3" x14ac:dyDescent="0.25">
      <c r="B395" s="710" t="s">
        <v>1061</v>
      </c>
      <c r="C395" s="709">
        <v>39201</v>
      </c>
    </row>
    <row r="396" spans="2:3" x14ac:dyDescent="0.25">
      <c r="B396" s="710" t="s">
        <v>802</v>
      </c>
      <c r="C396" s="709">
        <v>11300</v>
      </c>
    </row>
    <row r="397" spans="2:3" x14ac:dyDescent="0.25">
      <c r="B397" s="710" t="s">
        <v>868</v>
      </c>
      <c r="C397" s="709">
        <v>31102</v>
      </c>
    </row>
    <row r="398" spans="2:3" x14ac:dyDescent="0.25">
      <c r="B398" s="710" t="s">
        <v>867</v>
      </c>
      <c r="C398" s="709">
        <v>31101</v>
      </c>
    </row>
    <row r="399" spans="2:3" x14ac:dyDescent="0.25">
      <c r="B399" s="710" t="s">
        <v>830</v>
      </c>
      <c r="C399" s="709">
        <v>20600</v>
      </c>
    </row>
    <row r="400" spans="2:3" x14ac:dyDescent="0.25">
      <c r="B400" s="710" t="s">
        <v>901</v>
      </c>
      <c r="C400" s="709">
        <v>32605</v>
      </c>
    </row>
    <row r="401" spans="2:3" x14ac:dyDescent="0.25">
      <c r="B401" s="710" t="s">
        <v>1555</v>
      </c>
      <c r="C401" s="709">
        <v>36310</v>
      </c>
    </row>
    <row r="402" spans="2:3" x14ac:dyDescent="0.25">
      <c r="B402" s="710" t="s">
        <v>925</v>
      </c>
      <c r="C402" s="709">
        <v>33405</v>
      </c>
    </row>
    <row r="403" spans="2:3" x14ac:dyDescent="0.25">
      <c r="B403" s="710" t="s">
        <v>926</v>
      </c>
      <c r="C403" s="709">
        <v>33500</v>
      </c>
    </row>
    <row r="404" spans="2:3" x14ac:dyDescent="0.25">
      <c r="B404" s="710" t="s">
        <v>929</v>
      </c>
      <c r="C404" s="709">
        <v>33605</v>
      </c>
    </row>
    <row r="405" spans="2:3" x14ac:dyDescent="0.25">
      <c r="B405" s="710" t="s">
        <v>1000</v>
      </c>
      <c r="C405" s="709">
        <v>36601</v>
      </c>
    </row>
    <row r="406" spans="2:3" x14ac:dyDescent="0.25">
      <c r="B406" s="710" t="s">
        <v>928</v>
      </c>
      <c r="C406" s="709">
        <v>33600</v>
      </c>
    </row>
    <row r="407" spans="2:3" x14ac:dyDescent="0.25">
      <c r="B407" s="710" t="s">
        <v>930</v>
      </c>
      <c r="C407" s="709">
        <v>33700</v>
      </c>
    </row>
    <row r="408" spans="2:3" x14ac:dyDescent="0.25">
      <c r="B408" s="710" t="s">
        <v>808</v>
      </c>
      <c r="C408" s="709">
        <v>12160</v>
      </c>
    </row>
    <row r="409" spans="2:3" x14ac:dyDescent="0.25">
      <c r="B409" s="710" t="s">
        <v>806</v>
      </c>
      <c r="C409" s="709">
        <v>12100</v>
      </c>
    </row>
    <row r="410" spans="2:3" x14ac:dyDescent="0.25">
      <c r="B410" s="710" t="s">
        <v>931</v>
      </c>
      <c r="C410" s="709">
        <v>33800</v>
      </c>
    </row>
    <row r="411" spans="2:3" x14ac:dyDescent="0.25">
      <c r="B411" s="710" t="s">
        <v>858</v>
      </c>
      <c r="C411" s="709">
        <v>30601</v>
      </c>
    </row>
    <row r="412" spans="2:3" x14ac:dyDescent="0.25">
      <c r="B412" s="710" t="s">
        <v>932</v>
      </c>
      <c r="C412" s="709">
        <v>33900</v>
      </c>
    </row>
    <row r="413" spans="2:3" x14ac:dyDescent="0.25">
      <c r="B413" s="710" t="s">
        <v>1042</v>
      </c>
      <c r="C413" s="709">
        <v>38402</v>
      </c>
    </row>
    <row r="414" spans="2:3" x14ac:dyDescent="0.25">
      <c r="B414" s="710" t="s">
        <v>933</v>
      </c>
      <c r="C414" s="709">
        <v>34000</v>
      </c>
    </row>
    <row r="415" spans="2:3" x14ac:dyDescent="0.25">
      <c r="B415" s="710" t="s">
        <v>934</v>
      </c>
      <c r="C415" s="714">
        <v>34100</v>
      </c>
    </row>
    <row r="416" spans="2:3" x14ac:dyDescent="0.25">
      <c r="B416" s="710" t="s">
        <v>935</v>
      </c>
      <c r="C416" s="714">
        <v>34105</v>
      </c>
    </row>
    <row r="417" spans="2:3" x14ac:dyDescent="0.25">
      <c r="B417" s="710" t="s">
        <v>937</v>
      </c>
      <c r="C417" s="709">
        <v>34205</v>
      </c>
    </row>
    <row r="418" spans="2:3" x14ac:dyDescent="0.25">
      <c r="B418" s="710" t="s">
        <v>936</v>
      </c>
      <c r="C418" s="714">
        <v>34200</v>
      </c>
    </row>
    <row r="419" spans="2:3" x14ac:dyDescent="0.25">
      <c r="B419" s="710" t="s">
        <v>1067</v>
      </c>
      <c r="C419" s="709">
        <v>39301</v>
      </c>
    </row>
    <row r="420" spans="2:3" x14ac:dyDescent="0.25">
      <c r="B420" s="710" t="s">
        <v>940</v>
      </c>
      <c r="C420" s="709">
        <v>34300</v>
      </c>
    </row>
    <row r="421" spans="2:3" x14ac:dyDescent="0.25">
      <c r="B421" s="710" t="s">
        <v>941</v>
      </c>
      <c r="C421" s="709">
        <v>34400</v>
      </c>
    </row>
    <row r="422" spans="2:3" x14ac:dyDescent="0.25">
      <c r="B422" s="710" t="s">
        <v>942</v>
      </c>
      <c r="C422" s="709">
        <v>34405</v>
      </c>
    </row>
    <row r="423" spans="2:3" x14ac:dyDescent="0.25">
      <c r="B423" s="710" t="s">
        <v>809</v>
      </c>
      <c r="C423" s="709">
        <v>12220</v>
      </c>
    </row>
    <row r="424" spans="2:3" x14ac:dyDescent="0.25">
      <c r="B424" s="710" t="s">
        <v>916</v>
      </c>
      <c r="C424" s="709">
        <v>33203</v>
      </c>
    </row>
    <row r="425" spans="2:3" x14ac:dyDescent="0.25">
      <c r="B425" s="710" t="s">
        <v>1069</v>
      </c>
      <c r="C425" s="709">
        <v>39401</v>
      </c>
    </row>
    <row r="426" spans="2:3" x14ac:dyDescent="0.25">
      <c r="B426" s="710" t="s">
        <v>943</v>
      </c>
      <c r="C426" s="709">
        <v>34500</v>
      </c>
    </row>
    <row r="427" spans="2:3" x14ac:dyDescent="0.25">
      <c r="B427" s="710" t="s">
        <v>946</v>
      </c>
      <c r="C427" s="709">
        <v>34600</v>
      </c>
    </row>
    <row r="428" spans="2:3" x14ac:dyDescent="0.25">
      <c r="B428" s="710" t="s">
        <v>885</v>
      </c>
      <c r="C428" s="709">
        <v>31810</v>
      </c>
    </row>
    <row r="429" spans="2:3" x14ac:dyDescent="0.25">
      <c r="B429" s="710" t="s">
        <v>1170</v>
      </c>
      <c r="C429" s="709">
        <v>51000.2</v>
      </c>
    </row>
    <row r="430" spans="2:3" x14ac:dyDescent="0.25">
      <c r="B430" s="710" t="s">
        <v>1171</v>
      </c>
      <c r="C430" s="709">
        <v>51000.3</v>
      </c>
    </row>
    <row r="431" spans="2:3" x14ac:dyDescent="0.25">
      <c r="B431" s="710" t="s">
        <v>1169</v>
      </c>
      <c r="C431" s="709">
        <v>51000</v>
      </c>
    </row>
    <row r="432" spans="2:3" x14ac:dyDescent="0.25">
      <c r="B432" s="710" t="s">
        <v>948</v>
      </c>
      <c r="C432" s="709">
        <v>34700</v>
      </c>
    </row>
    <row r="433" spans="2:3" x14ac:dyDescent="0.25">
      <c r="B433" s="710" t="s">
        <v>949</v>
      </c>
      <c r="C433" s="709">
        <v>34800</v>
      </c>
    </row>
    <row r="434" spans="2:3" x14ac:dyDescent="0.25">
      <c r="B434" s="710" t="s">
        <v>799</v>
      </c>
      <c r="C434" s="709">
        <v>10930</v>
      </c>
    </row>
    <row r="435" spans="2:3" x14ac:dyDescent="0.25">
      <c r="B435" s="710" t="s">
        <v>811</v>
      </c>
      <c r="C435" s="709">
        <v>12600</v>
      </c>
    </row>
    <row r="436" spans="2:3" x14ac:dyDescent="0.25">
      <c r="B436" s="710" t="s">
        <v>1134</v>
      </c>
      <c r="C436" s="709">
        <v>33207</v>
      </c>
    </row>
    <row r="437" spans="2:3" x14ac:dyDescent="0.25">
      <c r="B437" s="710" t="s">
        <v>1550</v>
      </c>
      <c r="C437" s="709">
        <v>32901</v>
      </c>
    </row>
    <row r="438" spans="2:3" x14ac:dyDescent="0.25">
      <c r="B438" s="710" t="s">
        <v>1551</v>
      </c>
      <c r="C438" s="709">
        <v>34900</v>
      </c>
    </row>
    <row r="439" spans="2:3" x14ac:dyDescent="0.25">
      <c r="B439" s="710" t="s">
        <v>1036</v>
      </c>
      <c r="C439" s="709">
        <v>38105</v>
      </c>
    </row>
    <row r="440" spans="2:3" x14ac:dyDescent="0.25">
      <c r="B440" s="710" t="s">
        <v>955</v>
      </c>
      <c r="C440" s="709">
        <v>35000</v>
      </c>
    </row>
    <row r="441" spans="2:3" x14ac:dyDescent="0.25">
      <c r="B441" s="710" t="s">
        <v>913</v>
      </c>
      <c r="C441" s="709">
        <v>33105</v>
      </c>
    </row>
    <row r="442" spans="2:3" x14ac:dyDescent="0.25">
      <c r="B442" s="710" t="s">
        <v>957</v>
      </c>
      <c r="C442" s="709">
        <v>35100</v>
      </c>
    </row>
    <row r="443" spans="2:3" x14ac:dyDescent="0.25">
      <c r="B443" s="710" t="s">
        <v>958</v>
      </c>
      <c r="C443" s="709">
        <v>35105</v>
      </c>
    </row>
    <row r="444" spans="2:3" x14ac:dyDescent="0.25">
      <c r="B444" s="710" t="s">
        <v>960</v>
      </c>
      <c r="C444" s="709">
        <v>35200</v>
      </c>
    </row>
    <row r="445" spans="2:3" x14ac:dyDescent="0.25">
      <c r="B445" s="710" t="s">
        <v>875</v>
      </c>
      <c r="C445" s="709">
        <v>31320</v>
      </c>
    </row>
    <row r="446" spans="2:3" x14ac:dyDescent="0.25">
      <c r="B446" s="710" t="s">
        <v>976</v>
      </c>
      <c r="C446" s="709">
        <v>36002</v>
      </c>
    </row>
    <row r="447" spans="2:3" x14ac:dyDescent="0.25">
      <c r="B447" s="710" t="s">
        <v>985</v>
      </c>
      <c r="C447" s="709">
        <v>36102</v>
      </c>
    </row>
    <row r="448" spans="2:3" x14ac:dyDescent="0.25">
      <c r="B448" s="710" t="s">
        <v>1135</v>
      </c>
      <c r="C448" s="709">
        <v>33208</v>
      </c>
    </row>
    <row r="449" spans="2:3" x14ac:dyDescent="0.25">
      <c r="B449" s="710" t="s">
        <v>812</v>
      </c>
      <c r="C449" s="709">
        <v>12700</v>
      </c>
    </row>
    <row r="450" spans="2:3" x14ac:dyDescent="0.25">
      <c r="B450" s="710" t="s">
        <v>980</v>
      </c>
      <c r="C450" s="709">
        <v>36006</v>
      </c>
    </row>
    <row r="451" spans="2:3" x14ac:dyDescent="0.25">
      <c r="B451" s="710" t="s">
        <v>1553</v>
      </c>
      <c r="C451" s="709">
        <v>35300</v>
      </c>
    </row>
    <row r="452" spans="2:3" x14ac:dyDescent="0.25">
      <c r="B452" s="710" t="s">
        <v>966</v>
      </c>
      <c r="C452" s="709">
        <v>35405</v>
      </c>
    </row>
    <row r="453" spans="2:3" x14ac:dyDescent="0.25">
      <c r="B453" s="710" t="s">
        <v>963</v>
      </c>
      <c r="C453" s="709">
        <v>35400</v>
      </c>
    </row>
    <row r="454" spans="2:3" x14ac:dyDescent="0.25">
      <c r="B454" s="710" t="s">
        <v>907</v>
      </c>
      <c r="C454" s="709">
        <v>32910</v>
      </c>
    </row>
    <row r="455" spans="2:3" x14ac:dyDescent="0.25">
      <c r="B455" s="710" t="s">
        <v>967</v>
      </c>
      <c r="C455" s="709">
        <v>35500</v>
      </c>
    </row>
    <row r="456" spans="2:3" x14ac:dyDescent="0.25">
      <c r="B456" s="710" t="s">
        <v>807</v>
      </c>
      <c r="C456" s="709">
        <v>12150</v>
      </c>
    </row>
    <row r="457" spans="2:3" x14ac:dyDescent="0.25">
      <c r="B457" s="710" t="s">
        <v>968</v>
      </c>
      <c r="C457" s="709">
        <v>35600</v>
      </c>
    </row>
    <row r="458" spans="2:3" x14ac:dyDescent="0.25">
      <c r="B458" s="710" t="s">
        <v>969</v>
      </c>
      <c r="C458" s="709">
        <v>35700</v>
      </c>
    </row>
    <row r="459" spans="2:3" x14ac:dyDescent="0.25">
      <c r="B459" s="710" t="s">
        <v>971</v>
      </c>
      <c r="C459" s="709">
        <v>35805</v>
      </c>
    </row>
    <row r="460" spans="2:3" x14ac:dyDescent="0.25">
      <c r="B460" s="710" t="s">
        <v>970</v>
      </c>
      <c r="C460" s="709">
        <v>35800</v>
      </c>
    </row>
    <row r="461" spans="2:3" x14ac:dyDescent="0.25">
      <c r="B461" s="710" t="s">
        <v>986</v>
      </c>
      <c r="C461" s="709">
        <v>36105</v>
      </c>
    </row>
    <row r="462" spans="2:3" x14ac:dyDescent="0.25">
      <c r="B462" s="710" t="s">
        <v>972</v>
      </c>
      <c r="C462" s="709">
        <v>35900</v>
      </c>
    </row>
    <row r="463" spans="2:3" x14ac:dyDescent="0.25">
      <c r="B463" s="710" t="s">
        <v>973</v>
      </c>
      <c r="C463" s="709">
        <v>35905</v>
      </c>
    </row>
    <row r="464" spans="2:3" x14ac:dyDescent="0.25">
      <c r="B464" s="710" t="s">
        <v>1047</v>
      </c>
      <c r="C464" s="709">
        <v>38602</v>
      </c>
    </row>
    <row r="465" spans="2:3" x14ac:dyDescent="0.25">
      <c r="B465" s="710" t="s">
        <v>953</v>
      </c>
      <c r="C465" s="709">
        <v>34905</v>
      </c>
    </row>
    <row r="466" spans="2:3" x14ac:dyDescent="0.25">
      <c r="B466" s="710" t="s">
        <v>984</v>
      </c>
      <c r="C466" s="709">
        <v>36100</v>
      </c>
    </row>
    <row r="467" spans="2:3" x14ac:dyDescent="0.25">
      <c r="B467" s="710" t="s">
        <v>988</v>
      </c>
      <c r="C467" s="709">
        <v>36205</v>
      </c>
    </row>
    <row r="468" spans="2:3" x14ac:dyDescent="0.25">
      <c r="B468" s="710" t="s">
        <v>987</v>
      </c>
      <c r="C468" s="709">
        <v>36200</v>
      </c>
    </row>
    <row r="469" spans="2:3" x14ac:dyDescent="0.25">
      <c r="B469" s="710" t="s">
        <v>989</v>
      </c>
      <c r="C469" s="709">
        <v>36300</v>
      </c>
    </row>
    <row r="470" spans="2:3" x14ac:dyDescent="0.25">
      <c r="B470" s="710" t="s">
        <v>954</v>
      </c>
      <c r="C470" s="709">
        <v>34910</v>
      </c>
    </row>
    <row r="471" spans="2:3" x14ac:dyDescent="0.25">
      <c r="B471" s="710" t="s">
        <v>1049</v>
      </c>
      <c r="C471" s="709">
        <v>38610</v>
      </c>
    </row>
    <row r="472" spans="2:3" x14ac:dyDescent="0.25">
      <c r="B472" s="710" t="s">
        <v>944</v>
      </c>
      <c r="C472" s="709">
        <v>34501</v>
      </c>
    </row>
    <row r="473" spans="2:3" x14ac:dyDescent="0.25">
      <c r="B473" s="710" t="s">
        <v>1052</v>
      </c>
      <c r="C473" s="709">
        <v>38701</v>
      </c>
    </row>
    <row r="474" spans="2:3" x14ac:dyDescent="0.25">
      <c r="B474" s="710" t="s">
        <v>822</v>
      </c>
      <c r="C474" s="709">
        <v>18740</v>
      </c>
    </row>
    <row r="475" spans="2:3" x14ac:dyDescent="0.25">
      <c r="B475" s="710" t="s">
        <v>832</v>
      </c>
      <c r="C475" s="709">
        <v>20800</v>
      </c>
    </row>
    <row r="476" spans="2:3" x14ac:dyDescent="0.25">
      <c r="B476" s="710" t="s">
        <v>821</v>
      </c>
      <c r="C476" s="709">
        <v>18690</v>
      </c>
    </row>
    <row r="477" spans="2:3" x14ac:dyDescent="0.25">
      <c r="B477" s="710" t="s">
        <v>801</v>
      </c>
      <c r="C477" s="709">
        <v>10950</v>
      </c>
    </row>
    <row r="478" spans="2:3" x14ac:dyDescent="0.25">
      <c r="B478" s="710" t="s">
        <v>827</v>
      </c>
      <c r="C478" s="709">
        <v>20200</v>
      </c>
    </row>
    <row r="479" spans="2:3" x14ac:dyDescent="0.25">
      <c r="B479" s="710" t="s">
        <v>823</v>
      </c>
      <c r="C479" s="709">
        <v>18780</v>
      </c>
    </row>
    <row r="480" spans="2:3" x14ac:dyDescent="0.25">
      <c r="B480" s="710" t="s">
        <v>835</v>
      </c>
      <c r="C480" s="709">
        <v>21300</v>
      </c>
    </row>
    <row r="481" spans="2:3" x14ac:dyDescent="0.25">
      <c r="B481" s="710" t="s">
        <v>1168</v>
      </c>
      <c r="C481" s="709">
        <v>37001</v>
      </c>
    </row>
    <row r="482" spans="2:3" x14ac:dyDescent="0.25">
      <c r="B482" s="710" t="s">
        <v>910</v>
      </c>
      <c r="C482" s="709">
        <v>33001</v>
      </c>
    </row>
    <row r="483" spans="2:3" x14ac:dyDescent="0.25">
      <c r="B483" s="710" t="s">
        <v>1556</v>
      </c>
      <c r="C483" s="709">
        <v>36405</v>
      </c>
    </row>
    <row r="484" spans="2:3" x14ac:dyDescent="0.25">
      <c r="B484" s="710" t="s">
        <v>993</v>
      </c>
      <c r="C484" s="709">
        <v>36400</v>
      </c>
    </row>
    <row r="485" spans="2:3" x14ac:dyDescent="0.25">
      <c r="B485" s="710" t="s">
        <v>831</v>
      </c>
      <c r="C485" s="709">
        <v>20700</v>
      </c>
    </row>
    <row r="486" spans="2:3" x14ac:dyDescent="0.25">
      <c r="B486" s="710" t="s">
        <v>803</v>
      </c>
      <c r="C486" s="709">
        <v>11310</v>
      </c>
    </row>
    <row r="487" spans="2:3" x14ac:dyDescent="0.25">
      <c r="B487" s="710" t="s">
        <v>959</v>
      </c>
      <c r="C487" s="709">
        <v>35106</v>
      </c>
    </row>
    <row r="488" spans="2:3" x14ac:dyDescent="0.25">
      <c r="B488" s="710" t="s">
        <v>1549</v>
      </c>
      <c r="C488" s="709">
        <v>32500</v>
      </c>
    </row>
    <row r="489" spans="2:3" x14ac:dyDescent="0.25">
      <c r="B489" s="710" t="s">
        <v>995</v>
      </c>
      <c r="C489" s="709">
        <v>36500</v>
      </c>
    </row>
    <row r="490" spans="2:3" x14ac:dyDescent="0.25">
      <c r="B490" s="710" t="s">
        <v>886</v>
      </c>
      <c r="C490" s="709">
        <v>31820</v>
      </c>
    </row>
    <row r="491" spans="2:3" x14ac:dyDescent="0.25">
      <c r="B491" s="710" t="s">
        <v>791</v>
      </c>
      <c r="C491" s="709">
        <v>10200</v>
      </c>
    </row>
    <row r="492" spans="2:3" x14ac:dyDescent="0.25">
      <c r="B492" s="710" t="s">
        <v>999</v>
      </c>
      <c r="C492" s="709">
        <v>36600</v>
      </c>
    </row>
    <row r="493" spans="2:3" x14ac:dyDescent="0.25">
      <c r="B493" s="710" t="s">
        <v>796</v>
      </c>
      <c r="C493" s="709">
        <v>10850</v>
      </c>
    </row>
    <row r="494" spans="2:3" x14ac:dyDescent="0.25">
      <c r="B494" s="710" t="s">
        <v>798</v>
      </c>
      <c r="C494" s="709">
        <v>10910</v>
      </c>
    </row>
    <row r="495" spans="2:3" x14ac:dyDescent="0.25">
      <c r="B495" s="710" t="s">
        <v>800</v>
      </c>
      <c r="C495" s="709">
        <v>10940</v>
      </c>
    </row>
    <row r="496" spans="2:3" x14ac:dyDescent="0.25">
      <c r="B496" s="710" t="s">
        <v>1001</v>
      </c>
      <c r="C496" s="709">
        <v>36700</v>
      </c>
    </row>
    <row r="497" spans="2:3" x14ac:dyDescent="0.25">
      <c r="B497" s="710" t="s">
        <v>1006</v>
      </c>
      <c r="C497" s="709">
        <v>36802</v>
      </c>
    </row>
    <row r="498" spans="2:3" x14ac:dyDescent="0.25">
      <c r="B498" s="710" t="s">
        <v>1004</v>
      </c>
      <c r="C498" s="709">
        <v>36800</v>
      </c>
    </row>
    <row r="499" spans="2:3" x14ac:dyDescent="0.25">
      <c r="B499" s="710" t="s">
        <v>1005</v>
      </c>
      <c r="C499" s="709">
        <v>36801</v>
      </c>
    </row>
    <row r="500" spans="2:3" x14ac:dyDescent="0.25">
      <c r="B500" s="710" t="s">
        <v>1010</v>
      </c>
      <c r="C500" s="709">
        <v>36905</v>
      </c>
    </row>
    <row r="501" spans="2:3" x14ac:dyDescent="0.25">
      <c r="B501" s="710" t="s">
        <v>1008</v>
      </c>
      <c r="C501" s="709">
        <v>36900</v>
      </c>
    </row>
    <row r="502" spans="2:3" x14ac:dyDescent="0.25">
      <c r="B502" s="710" t="s">
        <v>1013</v>
      </c>
      <c r="C502" s="709">
        <v>37100</v>
      </c>
    </row>
    <row r="503" spans="2:3" x14ac:dyDescent="0.25">
      <c r="B503" s="710" t="s">
        <v>1014</v>
      </c>
      <c r="C503" s="709">
        <v>37200</v>
      </c>
    </row>
    <row r="504" spans="2:3" x14ac:dyDescent="0.25">
      <c r="B504" s="710" t="s">
        <v>1015</v>
      </c>
      <c r="C504" s="709">
        <v>37300</v>
      </c>
    </row>
    <row r="505" spans="2:3" x14ac:dyDescent="0.25">
      <c r="B505" s="710" t="s">
        <v>1017</v>
      </c>
      <c r="C505" s="709">
        <v>37305</v>
      </c>
    </row>
    <row r="506" spans="2:3" x14ac:dyDescent="0.25">
      <c r="B506" s="710" t="s">
        <v>982</v>
      </c>
      <c r="C506" s="709">
        <v>36008</v>
      </c>
    </row>
    <row r="507" spans="2:3" x14ac:dyDescent="0.25">
      <c r="B507" s="710" t="s">
        <v>1075</v>
      </c>
      <c r="C507" s="709">
        <v>39703</v>
      </c>
    </row>
    <row r="508" spans="2:3" x14ac:dyDescent="0.25">
      <c r="B508" s="710" t="s">
        <v>1136</v>
      </c>
      <c r="C508" s="709">
        <v>33209</v>
      </c>
    </row>
    <row r="509" spans="2:3" x14ac:dyDescent="0.25">
      <c r="B509" s="710" t="s">
        <v>1019</v>
      </c>
      <c r="C509" s="709">
        <v>37405</v>
      </c>
    </row>
    <row r="510" spans="2:3" x14ac:dyDescent="0.25">
      <c r="B510" s="710" t="s">
        <v>1018</v>
      </c>
      <c r="C510" s="709">
        <v>37400</v>
      </c>
    </row>
    <row r="511" spans="2:3" x14ac:dyDescent="0.25">
      <c r="B511" s="710" t="s">
        <v>1020</v>
      </c>
      <c r="C511" s="709">
        <v>37500</v>
      </c>
    </row>
    <row r="512" spans="2:3" x14ac:dyDescent="0.25">
      <c r="B512" s="710" t="s">
        <v>1023</v>
      </c>
      <c r="C512" s="709">
        <v>37605</v>
      </c>
    </row>
    <row r="513" spans="2:3" x14ac:dyDescent="0.25">
      <c r="B513" s="710" t="s">
        <v>1021</v>
      </c>
      <c r="C513" s="709">
        <v>37600</v>
      </c>
    </row>
    <row r="514" spans="2:3" x14ac:dyDescent="0.25">
      <c r="B514" s="710" t="s">
        <v>813</v>
      </c>
      <c r="C514" s="709">
        <v>13500</v>
      </c>
    </row>
    <row r="515" spans="2:3" x14ac:dyDescent="0.25">
      <c r="B515" s="710" t="s">
        <v>1025</v>
      </c>
      <c r="C515" s="709">
        <v>37700</v>
      </c>
    </row>
    <row r="516" spans="2:3" x14ac:dyDescent="0.25">
      <c r="B516" s="710" t="s">
        <v>1026</v>
      </c>
      <c r="C516" s="709">
        <v>37705</v>
      </c>
    </row>
    <row r="517" spans="2:3" x14ac:dyDescent="0.25">
      <c r="B517" s="710" t="s">
        <v>849</v>
      </c>
      <c r="C517" s="709">
        <v>30103</v>
      </c>
    </row>
    <row r="518" spans="2:3" x14ac:dyDescent="0.25">
      <c r="B518" s="710" t="s">
        <v>938</v>
      </c>
      <c r="C518" s="709">
        <v>34220</v>
      </c>
    </row>
    <row r="519" spans="2:3" x14ac:dyDescent="0.25">
      <c r="B519" s="710" t="s">
        <v>947</v>
      </c>
      <c r="C519" s="709">
        <v>34605</v>
      </c>
    </row>
    <row r="520" spans="2:3" x14ac:dyDescent="0.25">
      <c r="B520" s="710" t="s">
        <v>1029</v>
      </c>
      <c r="C520" s="709">
        <v>37805</v>
      </c>
    </row>
    <row r="521" spans="2:3" x14ac:dyDescent="0.25">
      <c r="B521" s="710" t="s">
        <v>1027</v>
      </c>
      <c r="C521" s="709">
        <v>37800</v>
      </c>
    </row>
    <row r="522" spans="2:3" x14ac:dyDescent="0.25">
      <c r="B522" s="710" t="s">
        <v>1032</v>
      </c>
      <c r="C522" s="709">
        <v>37905</v>
      </c>
    </row>
    <row r="523" spans="2:3" x14ac:dyDescent="0.25">
      <c r="B523" s="710" t="s">
        <v>1030</v>
      </c>
      <c r="C523" s="709">
        <v>37900</v>
      </c>
    </row>
    <row r="524" spans="2:3" x14ac:dyDescent="0.25">
      <c r="B524" s="710" t="s">
        <v>1034</v>
      </c>
      <c r="C524" s="709">
        <v>38005</v>
      </c>
    </row>
    <row r="525" spans="2:3" x14ac:dyDescent="0.25">
      <c r="B525" s="710" t="s">
        <v>1033</v>
      </c>
      <c r="C525" s="709">
        <v>38000</v>
      </c>
    </row>
    <row r="526" spans="2:3" x14ac:dyDescent="0.25">
      <c r="B526" s="710" t="s">
        <v>1016</v>
      </c>
      <c r="C526" s="709">
        <v>37301</v>
      </c>
    </row>
    <row r="527" spans="2:3" x14ac:dyDescent="0.25">
      <c r="B527" s="710" t="s">
        <v>1035</v>
      </c>
      <c r="C527" s="709">
        <v>38100</v>
      </c>
    </row>
    <row r="528" spans="2:3" x14ac:dyDescent="0.25">
      <c r="B528" s="710" t="s">
        <v>1038</v>
      </c>
      <c r="C528" s="709">
        <v>38205</v>
      </c>
    </row>
    <row r="529" spans="2:3" x14ac:dyDescent="0.25">
      <c r="B529" s="710" t="s">
        <v>1037</v>
      </c>
      <c r="C529" s="709">
        <v>38200</v>
      </c>
    </row>
    <row r="530" spans="2:3" x14ac:dyDescent="0.25">
      <c r="B530" s="710" t="s">
        <v>992</v>
      </c>
      <c r="C530" s="709">
        <v>36305</v>
      </c>
    </row>
    <row r="531" spans="2:3" x14ac:dyDescent="0.25">
      <c r="B531" s="710" t="s">
        <v>1040</v>
      </c>
      <c r="C531" s="709">
        <v>38300</v>
      </c>
    </row>
    <row r="532" spans="2:3" x14ac:dyDescent="0.25">
      <c r="B532" s="710" t="s">
        <v>814</v>
      </c>
      <c r="C532" s="709">
        <v>13700</v>
      </c>
    </row>
    <row r="533" spans="2:3" x14ac:dyDescent="0.25">
      <c r="B533" s="710" t="s">
        <v>897</v>
      </c>
      <c r="C533" s="709">
        <v>32420</v>
      </c>
    </row>
    <row r="534" spans="2:3" x14ac:dyDescent="0.25">
      <c r="B534" s="710" t="s">
        <v>981</v>
      </c>
      <c r="C534" s="709">
        <v>36007</v>
      </c>
    </row>
    <row r="535" spans="2:3" x14ac:dyDescent="0.25">
      <c r="B535" s="710" t="s">
        <v>855</v>
      </c>
      <c r="C535" s="709">
        <v>30405</v>
      </c>
    </row>
    <row r="536" spans="2:3" x14ac:dyDescent="0.25">
      <c r="B536" s="710" t="s">
        <v>1028</v>
      </c>
      <c r="C536" s="709">
        <v>37801</v>
      </c>
    </row>
    <row r="537" spans="2:3" x14ac:dyDescent="0.25">
      <c r="B537" s="710" t="s">
        <v>895</v>
      </c>
      <c r="C537" s="709">
        <v>32405</v>
      </c>
    </row>
    <row r="538" spans="2:3" x14ac:dyDescent="0.25">
      <c r="B538" s="710" t="s">
        <v>1062</v>
      </c>
      <c r="C538" s="709">
        <v>39204</v>
      </c>
    </row>
    <row r="539" spans="2:3" x14ac:dyDescent="0.25">
      <c r="B539" s="710" t="s">
        <v>956</v>
      </c>
      <c r="C539" s="709">
        <v>35005</v>
      </c>
    </row>
    <row r="540" spans="2:3" x14ac:dyDescent="0.25">
      <c r="B540" s="710" t="s">
        <v>1043</v>
      </c>
      <c r="C540" s="709">
        <v>38405</v>
      </c>
    </row>
    <row r="541" spans="2:3" x14ac:dyDescent="0.25">
      <c r="B541" s="710" t="s">
        <v>1041</v>
      </c>
      <c r="C541" s="709">
        <v>38400</v>
      </c>
    </row>
    <row r="542" spans="2:3" x14ac:dyDescent="0.25">
      <c r="B542" s="710" t="s">
        <v>991</v>
      </c>
      <c r="C542" s="709">
        <v>36302</v>
      </c>
    </row>
    <row r="543" spans="2:3" x14ac:dyDescent="0.25">
      <c r="B543" s="710" t="s">
        <v>793</v>
      </c>
      <c r="C543" s="709">
        <v>10500</v>
      </c>
    </row>
    <row r="544" spans="2:3" x14ac:dyDescent="0.25">
      <c r="B544" s="710" t="s">
        <v>805</v>
      </c>
      <c r="C544" s="709">
        <v>11900</v>
      </c>
    </row>
    <row r="545" spans="2:3" x14ac:dyDescent="0.25">
      <c r="B545" s="710" t="s">
        <v>1545</v>
      </c>
      <c r="C545" s="709">
        <v>12200</v>
      </c>
    </row>
    <row r="546" spans="2:3" x14ac:dyDescent="0.25">
      <c r="B546" s="710" t="s">
        <v>1165</v>
      </c>
      <c r="C546" s="709">
        <v>14300.2</v>
      </c>
    </row>
    <row r="547" spans="2:3" x14ac:dyDescent="0.25">
      <c r="B547" s="710" t="s">
        <v>1164</v>
      </c>
      <c r="C547" s="709">
        <v>14300</v>
      </c>
    </row>
    <row r="548" spans="2:3" x14ac:dyDescent="0.25">
      <c r="B548" s="710" t="s">
        <v>1044</v>
      </c>
      <c r="C548" s="709">
        <v>38500</v>
      </c>
    </row>
    <row r="549" spans="2:3" x14ac:dyDescent="0.25">
      <c r="B549" s="710" t="s">
        <v>952</v>
      </c>
      <c r="C549" s="709">
        <v>34903</v>
      </c>
    </row>
    <row r="550" spans="2:3" x14ac:dyDescent="0.25">
      <c r="B550" s="710" t="s">
        <v>1048</v>
      </c>
      <c r="C550" s="709">
        <v>38605</v>
      </c>
    </row>
    <row r="551" spans="2:3" x14ac:dyDescent="0.25">
      <c r="B551" s="710" t="s">
        <v>1045</v>
      </c>
      <c r="C551" s="709">
        <v>38600</v>
      </c>
    </row>
    <row r="552" spans="2:3" x14ac:dyDescent="0.25">
      <c r="B552" s="710" t="s">
        <v>1051</v>
      </c>
      <c r="C552" s="709">
        <v>38700</v>
      </c>
    </row>
    <row r="553" spans="2:3" x14ac:dyDescent="0.25">
      <c r="B553" s="710" t="s">
        <v>850</v>
      </c>
      <c r="C553" s="709">
        <v>30104</v>
      </c>
    </row>
    <row r="554" spans="2:3" x14ac:dyDescent="0.25">
      <c r="B554" s="710" t="s">
        <v>908</v>
      </c>
      <c r="C554" s="709">
        <v>32920</v>
      </c>
    </row>
    <row r="555" spans="2:3" x14ac:dyDescent="0.25">
      <c r="B555" s="710" t="s">
        <v>1053</v>
      </c>
      <c r="C555" s="709">
        <v>38800</v>
      </c>
    </row>
    <row r="556" spans="2:3" x14ac:dyDescent="0.25">
      <c r="B556" s="710" t="s">
        <v>889</v>
      </c>
      <c r="C556" s="709">
        <v>32005</v>
      </c>
    </row>
    <row r="557" spans="2:3" x14ac:dyDescent="0.25">
      <c r="B557" s="710" t="s">
        <v>1071</v>
      </c>
      <c r="C557" s="709">
        <v>39501</v>
      </c>
    </row>
    <row r="558" spans="2:3" x14ac:dyDescent="0.25">
      <c r="B558" s="710" t="s">
        <v>1055</v>
      </c>
      <c r="C558" s="709">
        <v>38900</v>
      </c>
    </row>
    <row r="559" spans="2:3" x14ac:dyDescent="0.25">
      <c r="B559" s="710" t="s">
        <v>834</v>
      </c>
      <c r="C559" s="709">
        <v>21200</v>
      </c>
    </row>
    <row r="560" spans="2:3" x14ac:dyDescent="0.25">
      <c r="B560" s="710" t="s">
        <v>838</v>
      </c>
      <c r="C560" s="709">
        <v>21550</v>
      </c>
    </row>
    <row r="561" spans="2:3" x14ac:dyDescent="0.25">
      <c r="B561" s="710" t="s">
        <v>1547</v>
      </c>
      <c r="C561" s="709">
        <v>21520</v>
      </c>
    </row>
    <row r="562" spans="2:3" x14ac:dyDescent="0.25">
      <c r="B562" s="710" t="s">
        <v>1167</v>
      </c>
      <c r="C562" s="709">
        <v>21525.200000000001</v>
      </c>
    </row>
    <row r="563" spans="2:3" x14ac:dyDescent="0.25">
      <c r="B563" s="710" t="s">
        <v>1166</v>
      </c>
      <c r="C563" s="709">
        <v>21525</v>
      </c>
    </row>
    <row r="564" spans="2:3" x14ac:dyDescent="0.25">
      <c r="B564" s="710" t="s">
        <v>1056</v>
      </c>
      <c r="C564" s="709">
        <v>39000</v>
      </c>
    </row>
    <row r="565" spans="2:3" x14ac:dyDescent="0.25">
      <c r="B565" s="710" t="s">
        <v>843</v>
      </c>
      <c r="C565" s="709">
        <v>23000</v>
      </c>
    </row>
    <row r="566" spans="2:3" x14ac:dyDescent="0.25">
      <c r="B566" s="710" t="s">
        <v>844</v>
      </c>
      <c r="C566" s="709">
        <v>23100</v>
      </c>
    </row>
    <row r="567" spans="2:3" x14ac:dyDescent="0.25">
      <c r="B567" s="710" t="s">
        <v>833</v>
      </c>
      <c r="C567" s="709">
        <v>20900</v>
      </c>
    </row>
    <row r="568" spans="2:3" x14ac:dyDescent="0.25">
      <c r="B568" s="710" t="s">
        <v>845</v>
      </c>
      <c r="C568" s="709">
        <v>23200</v>
      </c>
    </row>
    <row r="569" spans="2:3" x14ac:dyDescent="0.25">
      <c r="B569" s="710" t="s">
        <v>839</v>
      </c>
      <c r="C569" s="709">
        <v>21570</v>
      </c>
    </row>
    <row r="570" spans="2:3" x14ac:dyDescent="0.25">
      <c r="B570" s="710" t="s">
        <v>1022</v>
      </c>
      <c r="C570" s="709">
        <v>37601</v>
      </c>
    </row>
    <row r="571" spans="2:3" x14ac:dyDescent="0.25">
      <c r="B571" s="710" t="s">
        <v>1058</v>
      </c>
      <c r="C571" s="709">
        <v>39101</v>
      </c>
    </row>
    <row r="572" spans="2:3" x14ac:dyDescent="0.25">
      <c r="B572" s="710" t="s">
        <v>1057</v>
      </c>
      <c r="C572" s="709">
        <v>39100</v>
      </c>
    </row>
    <row r="573" spans="2:3" x14ac:dyDescent="0.25">
      <c r="B573" s="710" t="s">
        <v>1059</v>
      </c>
      <c r="C573" s="709">
        <v>39105</v>
      </c>
    </row>
    <row r="574" spans="2:3" x14ac:dyDescent="0.25">
      <c r="B574" s="710" t="s">
        <v>917</v>
      </c>
      <c r="C574" s="709">
        <v>33204</v>
      </c>
    </row>
    <row r="575" spans="2:3" x14ac:dyDescent="0.25">
      <c r="B575" s="710" t="s">
        <v>1558</v>
      </c>
      <c r="C575" s="709">
        <v>39200</v>
      </c>
    </row>
    <row r="576" spans="2:3" x14ac:dyDescent="0.25">
      <c r="B576" s="710" t="s">
        <v>1063</v>
      </c>
      <c r="C576" s="709">
        <v>39205</v>
      </c>
    </row>
    <row r="577" spans="2:3" x14ac:dyDescent="0.25">
      <c r="B577" s="710" t="s">
        <v>1066</v>
      </c>
      <c r="C577" s="709">
        <v>39300</v>
      </c>
    </row>
    <row r="578" spans="2:3" x14ac:dyDescent="0.25">
      <c r="B578" s="710" t="s">
        <v>1068</v>
      </c>
      <c r="C578" s="709">
        <v>39400</v>
      </c>
    </row>
    <row r="579" spans="2:3" x14ac:dyDescent="0.25">
      <c r="B579" s="710" t="s">
        <v>1070</v>
      </c>
      <c r="C579" s="709">
        <v>39500</v>
      </c>
    </row>
    <row r="580" spans="2:3" x14ac:dyDescent="0.25">
      <c r="B580" s="710" t="s">
        <v>1073</v>
      </c>
      <c r="C580" s="709">
        <v>39605</v>
      </c>
    </row>
    <row r="581" spans="2:3" x14ac:dyDescent="0.25">
      <c r="B581" s="710" t="s">
        <v>1072</v>
      </c>
      <c r="C581" s="709">
        <v>39600</v>
      </c>
    </row>
    <row r="582" spans="2:3" x14ac:dyDescent="0.25">
      <c r="B582" s="710" t="s">
        <v>939</v>
      </c>
      <c r="C582" s="709">
        <v>34230</v>
      </c>
    </row>
    <row r="583" spans="2:3" x14ac:dyDescent="0.25">
      <c r="B583" s="710" t="s">
        <v>840</v>
      </c>
      <c r="C583" s="709">
        <v>21800</v>
      </c>
    </row>
    <row r="584" spans="2:3" x14ac:dyDescent="0.25">
      <c r="B584" s="710" t="s">
        <v>872</v>
      </c>
      <c r="C584" s="709">
        <v>31205</v>
      </c>
    </row>
    <row r="585" spans="2:3" x14ac:dyDescent="0.25">
      <c r="B585" s="710" t="s">
        <v>896</v>
      </c>
      <c r="C585" s="709">
        <v>32410</v>
      </c>
    </row>
    <row r="586" spans="2:3" x14ac:dyDescent="0.25">
      <c r="B586" s="710" t="s">
        <v>804</v>
      </c>
      <c r="C586" s="709">
        <v>11600</v>
      </c>
    </row>
    <row r="587" spans="2:3" x14ac:dyDescent="0.25">
      <c r="B587" s="710" t="s">
        <v>1076</v>
      </c>
      <c r="C587" s="709">
        <v>39705</v>
      </c>
    </row>
    <row r="588" spans="2:3" x14ac:dyDescent="0.25">
      <c r="B588" s="710" t="s">
        <v>1074</v>
      </c>
      <c r="C588" s="709">
        <v>39700</v>
      </c>
    </row>
    <row r="589" spans="2:3" x14ac:dyDescent="0.25">
      <c r="B589" s="710" t="s">
        <v>997</v>
      </c>
      <c r="C589" s="709">
        <v>36502</v>
      </c>
    </row>
    <row r="590" spans="2:3" x14ac:dyDescent="0.25">
      <c r="B590" s="710" t="s">
        <v>1078</v>
      </c>
      <c r="C590" s="709">
        <v>39805</v>
      </c>
    </row>
    <row r="591" spans="2:3" x14ac:dyDescent="0.25">
      <c r="B591" s="710" t="s">
        <v>1077</v>
      </c>
      <c r="C591" s="709">
        <v>39800</v>
      </c>
    </row>
    <row r="592" spans="2:3" x14ac:dyDescent="0.25">
      <c r="B592" s="710" t="s">
        <v>841</v>
      </c>
      <c r="C592" s="709">
        <v>21900</v>
      </c>
    </row>
    <row r="593" spans="2:3" x14ac:dyDescent="0.25">
      <c r="B593" s="710" t="s">
        <v>922</v>
      </c>
      <c r="C593" s="709">
        <v>33400</v>
      </c>
    </row>
    <row r="594" spans="2:3" x14ac:dyDescent="0.25">
      <c r="B594" s="710" t="s">
        <v>1079</v>
      </c>
      <c r="C594" s="709">
        <v>39900</v>
      </c>
    </row>
    <row r="595" spans="2:3" x14ac:dyDescent="0.25">
      <c r="B595" s="710" t="s">
        <v>846</v>
      </c>
      <c r="C595" s="709">
        <v>30000</v>
      </c>
    </row>
    <row r="596" spans="2:3" x14ac:dyDescent="0.25">
      <c r="B596" s="710" t="s">
        <v>1002</v>
      </c>
      <c r="C596" s="709">
        <v>36701</v>
      </c>
    </row>
    <row r="597" spans="2:3" x14ac:dyDescent="0.25">
      <c r="B597" s="700" t="s">
        <v>1649</v>
      </c>
      <c r="C597" s="709" t="s">
        <v>1525</v>
      </c>
    </row>
  </sheetData>
  <pageMargins left="0.25" right="0.25" top="0.75" bottom="0.75" header="0.3" footer="0.3"/>
  <pageSetup paperSize="5" scale="50" fitToHeight="0" orientation="landscape" r:id="rId1"/>
  <headerFooter>
    <oddHeader>&amp;C&amp;"-,Bold"&amp;28Appendix B: Allocation of Pension Expense</oddHeader>
    <oddFooter>&amp;R&amp;G</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DACEB-F817-4CCD-8B4F-476C6433BE56}">
  <sheetPr codeName="Sheet21"/>
  <dimension ref="A1:U601"/>
  <sheetViews>
    <sheetView topLeftCell="A280" workbookViewId="0">
      <selection sqref="A1:B2"/>
    </sheetView>
  </sheetViews>
  <sheetFormatPr defaultRowHeight="15" x14ac:dyDescent="0.25"/>
  <cols>
    <col min="1" max="1" width="15.28515625" style="774" customWidth="1"/>
    <col min="2" max="2" width="69.7109375" style="774" customWidth="1"/>
    <col min="3" max="4" width="13.85546875" style="774" customWidth="1"/>
    <col min="5" max="5" width="21.7109375" style="774" customWidth="1"/>
    <col min="6" max="6" width="18.28515625" style="773" customWidth="1"/>
    <col min="7" max="7" width="18.28515625" style="806" customWidth="1"/>
    <col min="8" max="8" width="3.85546875" style="774" customWidth="1"/>
    <col min="9" max="9" width="18.28515625" style="774" customWidth="1"/>
    <col min="10" max="10" width="20" style="806" customWidth="1"/>
    <col min="11" max="11" width="15.5703125" style="774" customWidth="1"/>
    <col min="12" max="12" width="19.42578125" style="774" customWidth="1"/>
    <col min="13" max="13" width="3.85546875" style="774" customWidth="1"/>
    <col min="14" max="14" width="18.28515625" style="774" customWidth="1"/>
    <col min="15" max="15" width="20" style="774" customWidth="1"/>
    <col min="16" max="16" width="14.42578125" style="774" customWidth="1"/>
    <col min="17" max="17" width="19.42578125" style="774" customWidth="1"/>
    <col min="18" max="18" width="3.85546875" style="774" customWidth="1"/>
    <col min="19" max="19" width="15" style="774" customWidth="1"/>
    <col min="20" max="20" width="22.42578125" style="774" customWidth="1"/>
    <col min="21" max="21" width="14.85546875" style="774" customWidth="1"/>
    <col min="22" max="16384" width="9.140625" style="774"/>
  </cols>
  <sheetData>
    <row r="1" spans="1:21" x14ac:dyDescent="0.25">
      <c r="A1" s="774" t="s">
        <v>1662</v>
      </c>
    </row>
    <row r="2" spans="1:21" x14ac:dyDescent="0.25">
      <c r="A2" s="774" t="s">
        <v>1663</v>
      </c>
    </row>
    <row r="3" spans="1:21" x14ac:dyDescent="0.25">
      <c r="I3" s="1263" t="s">
        <v>778</v>
      </c>
      <c r="J3" s="1263"/>
      <c r="K3" s="1263"/>
      <c r="L3" s="1263"/>
      <c r="N3" s="1263" t="s">
        <v>779</v>
      </c>
      <c r="O3" s="1263"/>
      <c r="P3" s="1263"/>
      <c r="Q3" s="1263"/>
      <c r="S3" s="1263" t="s">
        <v>780</v>
      </c>
      <c r="T3" s="1263"/>
      <c r="U3" s="1263"/>
    </row>
    <row r="4" spans="1:21" ht="120" x14ac:dyDescent="0.25">
      <c r="A4" s="775" t="s">
        <v>781</v>
      </c>
      <c r="B4" s="775" t="s">
        <v>782</v>
      </c>
      <c r="C4" s="777" t="s">
        <v>1129</v>
      </c>
      <c r="D4" s="777" t="s">
        <v>1130</v>
      </c>
      <c r="E4" s="704" t="s">
        <v>1560</v>
      </c>
      <c r="F4" s="477" t="s">
        <v>1664</v>
      </c>
      <c r="G4" s="783" t="s">
        <v>1665</v>
      </c>
      <c r="I4" s="777" t="s">
        <v>784</v>
      </c>
      <c r="J4" s="783" t="s">
        <v>785</v>
      </c>
      <c r="K4" s="777" t="s">
        <v>786</v>
      </c>
      <c r="L4" s="777" t="s">
        <v>787</v>
      </c>
      <c r="N4" s="777" t="s">
        <v>784</v>
      </c>
      <c r="O4" s="777" t="s">
        <v>785</v>
      </c>
      <c r="P4" s="777" t="s">
        <v>786</v>
      </c>
      <c r="Q4" s="777" t="s">
        <v>787</v>
      </c>
      <c r="S4" s="777" t="s">
        <v>1542</v>
      </c>
      <c r="T4" s="777" t="s">
        <v>789</v>
      </c>
      <c r="U4" s="777" t="s">
        <v>1219</v>
      </c>
    </row>
    <row r="5" spans="1:21" ht="15" customHeight="1" x14ac:dyDescent="0.25">
      <c r="A5" s="776" t="s">
        <v>533</v>
      </c>
      <c r="B5" s="774" t="s">
        <v>1543</v>
      </c>
      <c r="C5" s="778">
        <v>0</v>
      </c>
      <c r="D5" s="778">
        <v>0</v>
      </c>
      <c r="E5" s="778">
        <v>0</v>
      </c>
      <c r="F5" s="778">
        <v>0</v>
      </c>
      <c r="G5" s="778">
        <v>0</v>
      </c>
      <c r="I5" s="781">
        <v>0</v>
      </c>
      <c r="J5" s="778">
        <v>0</v>
      </c>
      <c r="K5" s="778">
        <v>0</v>
      </c>
      <c r="L5" s="778">
        <v>0</v>
      </c>
      <c r="N5" s="778">
        <v>0</v>
      </c>
      <c r="O5" s="778">
        <v>0</v>
      </c>
      <c r="P5" s="778">
        <v>0</v>
      </c>
      <c r="Q5" s="778">
        <v>0</v>
      </c>
      <c r="R5" s="783"/>
      <c r="S5" s="778">
        <v>0</v>
      </c>
      <c r="T5" s="778">
        <v>0</v>
      </c>
      <c r="U5" s="778">
        <v>0</v>
      </c>
    </row>
    <row r="6" spans="1:21" ht="15" customHeight="1" x14ac:dyDescent="0.25">
      <c r="A6" s="776">
        <v>10200</v>
      </c>
      <c r="B6" s="774" t="s">
        <v>791</v>
      </c>
      <c r="C6" s="779">
        <v>9.435E-4</v>
      </c>
      <c r="D6" s="779">
        <v>9.6029999999999998E-4</v>
      </c>
      <c r="E6" s="781">
        <f>IFERROR(VLOOKUP(A6,'DIPNC Contributions 2018'!A:C,3,FALSE),0)</f>
        <v>22004</v>
      </c>
      <c r="F6" s="803">
        <v>-58694</v>
      </c>
      <c r="G6" s="803">
        <v>-28660</v>
      </c>
      <c r="I6" s="781">
        <v>49994</v>
      </c>
      <c r="J6" s="803">
        <v>22320</v>
      </c>
      <c r="K6" s="781">
        <v>5412</v>
      </c>
      <c r="L6" s="781">
        <v>1265</v>
      </c>
      <c r="N6" s="781">
        <v>0</v>
      </c>
      <c r="O6" s="781">
        <v>0</v>
      </c>
      <c r="P6" s="781">
        <v>0</v>
      </c>
      <c r="Q6" s="781">
        <v>1201</v>
      </c>
      <c r="R6" s="781"/>
      <c r="S6" s="781">
        <v>1794</v>
      </c>
      <c r="T6" s="781">
        <v>-390</v>
      </c>
      <c r="U6" s="781">
        <v>1404</v>
      </c>
    </row>
    <row r="7" spans="1:21" ht="15" customHeight="1" x14ac:dyDescent="0.25">
      <c r="A7" s="776">
        <v>10400</v>
      </c>
      <c r="B7" s="774" t="s">
        <v>792</v>
      </c>
      <c r="C7" s="779">
        <v>2.6879E-3</v>
      </c>
      <c r="D7" s="779">
        <v>2.8278000000000001E-3</v>
      </c>
      <c r="E7" s="781">
        <f>IFERROR(VLOOKUP(A7,'DIPNC Contributions 2018'!A:C,3,FALSE),0)</f>
        <v>67384</v>
      </c>
      <c r="F7" s="803">
        <v>-172835</v>
      </c>
      <c r="G7" s="803">
        <v>-81648</v>
      </c>
      <c r="I7" s="781">
        <v>142426</v>
      </c>
      <c r="J7" s="803">
        <v>63588</v>
      </c>
      <c r="K7" s="781">
        <v>15418</v>
      </c>
      <c r="L7" s="781">
        <v>24023</v>
      </c>
      <c r="N7" s="781">
        <v>0</v>
      </c>
      <c r="O7" s="781">
        <v>0</v>
      </c>
      <c r="P7" s="781">
        <v>0</v>
      </c>
      <c r="Q7" s="781">
        <v>0</v>
      </c>
      <c r="R7" s="781"/>
      <c r="S7" s="781">
        <v>5110</v>
      </c>
      <c r="T7" s="781">
        <v>7068</v>
      </c>
      <c r="U7" s="781">
        <v>12178</v>
      </c>
    </row>
    <row r="8" spans="1:21" ht="15" customHeight="1" x14ac:dyDescent="0.25">
      <c r="A8" s="776">
        <v>10500</v>
      </c>
      <c r="B8" s="774" t="s">
        <v>793</v>
      </c>
      <c r="C8" s="779">
        <v>6.9640000000000001E-4</v>
      </c>
      <c r="D8" s="779">
        <v>7.0100000000000002E-4</v>
      </c>
      <c r="E8" s="781">
        <f>IFERROR(VLOOKUP(A8,'DIPNC Contributions 2018'!A:C,3,FALSE),0)</f>
        <v>15635</v>
      </c>
      <c r="F8" s="803">
        <v>-42845</v>
      </c>
      <c r="G8" s="803">
        <v>-21154</v>
      </c>
      <c r="I8" s="781">
        <v>36901</v>
      </c>
      <c r="J8" s="803">
        <v>16475</v>
      </c>
      <c r="K8" s="781">
        <v>3995</v>
      </c>
      <c r="L8" s="781">
        <v>0</v>
      </c>
      <c r="N8" s="781">
        <v>0</v>
      </c>
      <c r="O8" s="781">
        <v>0</v>
      </c>
      <c r="P8" s="781">
        <v>0</v>
      </c>
      <c r="Q8" s="781">
        <v>2723</v>
      </c>
      <c r="R8" s="781"/>
      <c r="S8" s="781">
        <v>1324</v>
      </c>
      <c r="T8" s="781">
        <v>-1297</v>
      </c>
      <c r="U8" s="781">
        <v>27</v>
      </c>
    </row>
    <row r="9" spans="1:21" ht="15" customHeight="1" x14ac:dyDescent="0.25">
      <c r="A9" s="776">
        <v>10700</v>
      </c>
      <c r="B9" s="774" t="s">
        <v>1544</v>
      </c>
      <c r="C9" s="779">
        <v>4.1596000000000003E-3</v>
      </c>
      <c r="D9" s="779">
        <v>4.0867000000000004E-3</v>
      </c>
      <c r="E9" s="781">
        <f>IFERROR(VLOOKUP(A9,'DIPNC Contributions 2018'!A:C,3,FALSE),0)</f>
        <v>109406</v>
      </c>
      <c r="F9" s="803">
        <v>-249779</v>
      </c>
      <c r="G9" s="803">
        <v>-126352</v>
      </c>
      <c r="I9" s="781">
        <v>220409</v>
      </c>
      <c r="J9" s="803">
        <v>98404</v>
      </c>
      <c r="K9" s="781">
        <v>23859</v>
      </c>
      <c r="L9" s="781">
        <v>16556</v>
      </c>
      <c r="N9" s="781">
        <v>0</v>
      </c>
      <c r="O9" s="781">
        <v>0</v>
      </c>
      <c r="P9" s="781">
        <v>0</v>
      </c>
      <c r="Q9" s="781">
        <v>0</v>
      </c>
      <c r="R9" s="781"/>
      <c r="S9" s="781">
        <v>7907</v>
      </c>
      <c r="T9" s="781">
        <v>6710</v>
      </c>
      <c r="U9" s="781">
        <v>14617</v>
      </c>
    </row>
    <row r="10" spans="1:21" ht="15" customHeight="1" x14ac:dyDescent="0.25">
      <c r="A10" s="776">
        <v>10800</v>
      </c>
      <c r="B10" s="774" t="s">
        <v>795</v>
      </c>
      <c r="C10" s="779">
        <v>1.77567E-2</v>
      </c>
      <c r="D10" s="779">
        <v>1.74542E-2</v>
      </c>
      <c r="E10" s="781">
        <f>IFERROR(VLOOKUP(A10,'DIPNC Contributions 2018'!A:C,3,FALSE),0)</f>
        <v>453217</v>
      </c>
      <c r="F10" s="803">
        <v>-1066801</v>
      </c>
      <c r="G10" s="803">
        <v>-539378</v>
      </c>
      <c r="I10" s="781">
        <v>940892</v>
      </c>
      <c r="J10" s="803">
        <v>420070</v>
      </c>
      <c r="K10" s="781">
        <v>101852</v>
      </c>
      <c r="L10" s="781">
        <v>42427</v>
      </c>
      <c r="N10" s="781">
        <v>0</v>
      </c>
      <c r="O10" s="781">
        <v>0</v>
      </c>
      <c r="P10" s="781">
        <v>0</v>
      </c>
      <c r="Q10" s="781">
        <v>0</v>
      </c>
      <c r="R10" s="781"/>
      <c r="S10" s="781">
        <v>33755</v>
      </c>
      <c r="T10" s="781">
        <v>18243</v>
      </c>
      <c r="U10" s="781">
        <v>51998</v>
      </c>
    </row>
    <row r="11" spans="1:21" ht="15" customHeight="1" x14ac:dyDescent="0.25">
      <c r="A11" s="776">
        <v>10850</v>
      </c>
      <c r="B11" s="774" t="s">
        <v>796</v>
      </c>
      <c r="C11" s="779">
        <v>1.406E-4</v>
      </c>
      <c r="D11" s="779">
        <v>1.292E-4</v>
      </c>
      <c r="E11" s="781">
        <f>IFERROR(VLOOKUP(A11,'DIPNC Contributions 2018'!A:C,3,FALSE),0)</f>
        <v>5097</v>
      </c>
      <c r="F11" s="803">
        <v>-7897</v>
      </c>
      <c r="G11" s="803">
        <v>-4271</v>
      </c>
      <c r="I11" s="781">
        <v>7450</v>
      </c>
      <c r="J11" s="803">
        <v>3326</v>
      </c>
      <c r="K11" s="781">
        <v>806</v>
      </c>
      <c r="L11" s="781">
        <v>2299</v>
      </c>
      <c r="N11" s="781">
        <v>0</v>
      </c>
      <c r="O11" s="781">
        <v>0</v>
      </c>
      <c r="P11" s="781">
        <v>0</v>
      </c>
      <c r="Q11" s="781">
        <v>0</v>
      </c>
      <c r="R11" s="781"/>
      <c r="S11" s="781">
        <v>267</v>
      </c>
      <c r="T11" s="781">
        <v>930</v>
      </c>
      <c r="U11" s="781">
        <v>1197</v>
      </c>
    </row>
    <row r="12" spans="1:21" ht="15" customHeight="1" x14ac:dyDescent="0.25">
      <c r="A12" s="776">
        <v>10900</v>
      </c>
      <c r="B12" s="774" t="s">
        <v>797</v>
      </c>
      <c r="C12" s="779">
        <v>1.2922000000000001E-3</v>
      </c>
      <c r="D12" s="779">
        <v>1.5231999999999999E-3</v>
      </c>
      <c r="E12" s="781">
        <f>IFERROR(VLOOKUP(A12,'DIPNC Contributions 2018'!A:C,3,FALSE),0)</f>
        <v>40800</v>
      </c>
      <c r="F12" s="803">
        <v>-93098</v>
      </c>
      <c r="G12" s="803">
        <v>-39252</v>
      </c>
      <c r="I12" s="781">
        <v>68471</v>
      </c>
      <c r="J12" s="803">
        <v>30570</v>
      </c>
      <c r="K12" s="781">
        <v>7412</v>
      </c>
      <c r="L12" s="781">
        <v>45200</v>
      </c>
      <c r="N12" s="781">
        <v>0</v>
      </c>
      <c r="O12" s="781">
        <v>0</v>
      </c>
      <c r="P12" s="781">
        <v>0</v>
      </c>
      <c r="Q12" s="781">
        <v>0</v>
      </c>
      <c r="R12" s="781"/>
      <c r="S12" s="781">
        <v>2456</v>
      </c>
      <c r="T12" s="781">
        <v>13552</v>
      </c>
      <c r="U12" s="781">
        <v>16008</v>
      </c>
    </row>
    <row r="13" spans="1:21" ht="15" customHeight="1" x14ac:dyDescent="0.25">
      <c r="A13" s="776">
        <v>10910</v>
      </c>
      <c r="B13" s="774" t="s">
        <v>798</v>
      </c>
      <c r="C13" s="779">
        <v>2.6790000000000001E-4</v>
      </c>
      <c r="D13" s="779">
        <v>2.6190000000000002E-4</v>
      </c>
      <c r="E13" s="781">
        <f>IFERROR(VLOOKUP(A13,'DIPNC Contributions 2018'!A:C,3,FALSE),0)</f>
        <v>6366</v>
      </c>
      <c r="F13" s="803">
        <v>-16007</v>
      </c>
      <c r="G13" s="803">
        <v>-8138</v>
      </c>
      <c r="I13" s="781">
        <v>14195</v>
      </c>
      <c r="J13" s="803">
        <v>6338</v>
      </c>
      <c r="K13" s="781">
        <v>1537</v>
      </c>
      <c r="L13" s="781">
        <v>0</v>
      </c>
      <c r="N13" s="781">
        <v>0</v>
      </c>
      <c r="O13" s="781">
        <v>0</v>
      </c>
      <c r="P13" s="781">
        <v>0</v>
      </c>
      <c r="Q13" s="781">
        <v>1282</v>
      </c>
      <c r="R13" s="781"/>
      <c r="S13" s="781">
        <v>509</v>
      </c>
      <c r="T13" s="781">
        <v>-514</v>
      </c>
      <c r="U13" s="781">
        <v>-5</v>
      </c>
    </row>
    <row r="14" spans="1:21" ht="15" customHeight="1" x14ac:dyDescent="0.25">
      <c r="A14" s="776">
        <v>10930</v>
      </c>
      <c r="B14" s="774" t="s">
        <v>799</v>
      </c>
      <c r="C14" s="779">
        <v>2.2650999999999999E-3</v>
      </c>
      <c r="D14" s="779">
        <v>2.3619000000000001E-3</v>
      </c>
      <c r="E14" s="781">
        <f>IFERROR(VLOOKUP(A14,'DIPNC Contributions 2018'!A:C,3,FALSE),0)</f>
        <v>67927</v>
      </c>
      <c r="F14" s="803">
        <v>-144359</v>
      </c>
      <c r="G14" s="803">
        <v>-68805</v>
      </c>
      <c r="I14" s="781">
        <v>120023</v>
      </c>
      <c r="J14" s="803">
        <v>53585</v>
      </c>
      <c r="K14" s="781">
        <v>12993</v>
      </c>
      <c r="L14" s="781">
        <v>29649</v>
      </c>
      <c r="N14" s="781">
        <v>0</v>
      </c>
      <c r="O14" s="781">
        <v>0</v>
      </c>
      <c r="P14" s="781">
        <v>0</v>
      </c>
      <c r="Q14" s="781">
        <v>0</v>
      </c>
      <c r="R14" s="781"/>
      <c r="S14" s="781">
        <v>4306</v>
      </c>
      <c r="T14" s="781">
        <v>8026</v>
      </c>
      <c r="U14" s="781">
        <v>12332</v>
      </c>
    </row>
    <row r="15" spans="1:21" ht="15" customHeight="1" x14ac:dyDescent="0.25">
      <c r="A15" s="776">
        <v>10940</v>
      </c>
      <c r="B15" s="774" t="s">
        <v>800</v>
      </c>
      <c r="C15" s="779">
        <v>5.9000000000000003E-4</v>
      </c>
      <c r="D15" s="779">
        <v>5.8889999999999995E-4</v>
      </c>
      <c r="E15" s="781">
        <f>IFERROR(VLOOKUP(A15,'DIPNC Contributions 2018'!A:C,3,FALSE),0)</f>
        <v>16717</v>
      </c>
      <c r="F15" s="803">
        <v>-35994</v>
      </c>
      <c r="G15" s="803">
        <v>-17922</v>
      </c>
      <c r="I15" s="781">
        <v>31263</v>
      </c>
      <c r="J15" s="803">
        <v>13958</v>
      </c>
      <c r="K15" s="781">
        <v>3384</v>
      </c>
      <c r="L15" s="781">
        <v>6787</v>
      </c>
      <c r="N15" s="781">
        <v>0</v>
      </c>
      <c r="O15" s="781">
        <v>0</v>
      </c>
      <c r="P15" s="781">
        <v>0</v>
      </c>
      <c r="Q15" s="781">
        <v>0</v>
      </c>
      <c r="R15" s="781"/>
      <c r="S15" s="781">
        <v>1122</v>
      </c>
      <c r="T15" s="781">
        <v>2588</v>
      </c>
      <c r="U15" s="781">
        <v>3710</v>
      </c>
    </row>
    <row r="16" spans="1:21" ht="15" customHeight="1" x14ac:dyDescent="0.25">
      <c r="A16" s="776">
        <v>10950</v>
      </c>
      <c r="B16" s="774" t="s">
        <v>801</v>
      </c>
      <c r="C16" s="779">
        <v>7.8220000000000004E-4</v>
      </c>
      <c r="D16" s="779">
        <v>7.5250000000000002E-4</v>
      </c>
      <c r="E16" s="781">
        <f>IFERROR(VLOOKUP(A16,'DIPNC Contributions 2018'!A:C,3,FALSE),0)</f>
        <v>18511</v>
      </c>
      <c r="F16" s="803">
        <v>-45993</v>
      </c>
      <c r="G16" s="803">
        <v>-23760</v>
      </c>
      <c r="I16" s="781">
        <v>41447</v>
      </c>
      <c r="J16" s="803">
        <v>18505</v>
      </c>
      <c r="K16" s="781">
        <v>4487</v>
      </c>
      <c r="L16" s="781">
        <v>1525</v>
      </c>
      <c r="N16" s="781">
        <v>0</v>
      </c>
      <c r="O16" s="781">
        <v>0</v>
      </c>
      <c r="P16" s="781">
        <v>0</v>
      </c>
      <c r="Q16" s="781">
        <v>2133</v>
      </c>
      <c r="R16" s="781"/>
      <c r="S16" s="781">
        <v>1487</v>
      </c>
      <c r="T16" s="781">
        <v>406</v>
      </c>
      <c r="U16" s="781">
        <v>1893</v>
      </c>
    </row>
    <row r="17" spans="1:21" ht="15" customHeight="1" x14ac:dyDescent="0.25">
      <c r="A17" s="776">
        <v>11300</v>
      </c>
      <c r="B17" s="774" t="s">
        <v>802</v>
      </c>
      <c r="C17" s="779">
        <v>4.0403000000000001E-3</v>
      </c>
      <c r="D17" s="779">
        <v>4.1510000000000002E-3</v>
      </c>
      <c r="E17" s="781">
        <f>IFERROR(VLOOKUP(A17,'DIPNC Contributions 2018'!A:C,3,FALSE),0)</f>
        <v>114273</v>
      </c>
      <c r="F17" s="803">
        <v>-253709</v>
      </c>
      <c r="G17" s="803">
        <v>-122728</v>
      </c>
      <c r="I17" s="781">
        <v>214087</v>
      </c>
      <c r="J17" s="803">
        <v>95581</v>
      </c>
      <c r="K17" s="781">
        <v>23175</v>
      </c>
      <c r="L17" s="781">
        <v>64749</v>
      </c>
      <c r="N17" s="781">
        <v>0</v>
      </c>
      <c r="O17" s="781">
        <v>0</v>
      </c>
      <c r="P17" s="781">
        <v>0</v>
      </c>
      <c r="Q17" s="781">
        <v>0</v>
      </c>
      <c r="R17" s="781"/>
      <c r="S17" s="781">
        <v>7681</v>
      </c>
      <c r="T17" s="781">
        <v>23832</v>
      </c>
      <c r="U17" s="781">
        <v>31513</v>
      </c>
    </row>
    <row r="18" spans="1:21" ht="15" customHeight="1" x14ac:dyDescent="0.25">
      <c r="A18" s="776">
        <v>11310</v>
      </c>
      <c r="B18" s="774" t="s">
        <v>803</v>
      </c>
      <c r="C18" s="779">
        <v>4.7600000000000002E-4</v>
      </c>
      <c r="D18" s="779">
        <v>4.4979999999999998E-4</v>
      </c>
      <c r="E18" s="781">
        <f>IFERROR(VLOOKUP(A18,'DIPNC Contributions 2018'!A:C,3,FALSE),0)</f>
        <v>12385</v>
      </c>
      <c r="F18" s="803">
        <v>-27492</v>
      </c>
      <c r="G18" s="803">
        <v>-14459</v>
      </c>
      <c r="I18" s="781">
        <v>25222</v>
      </c>
      <c r="J18" s="803">
        <v>11261</v>
      </c>
      <c r="K18" s="781">
        <v>2730</v>
      </c>
      <c r="L18" s="781">
        <v>2040</v>
      </c>
      <c r="N18" s="781">
        <v>0</v>
      </c>
      <c r="O18" s="781">
        <v>0</v>
      </c>
      <c r="P18" s="781">
        <v>0</v>
      </c>
      <c r="Q18" s="781">
        <v>974</v>
      </c>
      <c r="R18" s="781"/>
      <c r="S18" s="781">
        <v>905</v>
      </c>
      <c r="T18" s="781">
        <v>858</v>
      </c>
      <c r="U18" s="781">
        <v>1763</v>
      </c>
    </row>
    <row r="19" spans="1:21" ht="15" customHeight="1" x14ac:dyDescent="0.25">
      <c r="A19" s="776">
        <v>11600</v>
      </c>
      <c r="B19" s="774" t="s">
        <v>804</v>
      </c>
      <c r="C19" s="779">
        <v>1.8939E-3</v>
      </c>
      <c r="D19" s="779">
        <v>1.9070999999999999E-3</v>
      </c>
      <c r="E19" s="781">
        <f>IFERROR(VLOOKUP(A19,'DIPNC Contributions 2018'!A:C,3,FALSE),0)</f>
        <v>44304</v>
      </c>
      <c r="F19" s="803">
        <v>-116562</v>
      </c>
      <c r="G19" s="803">
        <v>-57529</v>
      </c>
      <c r="I19" s="781">
        <v>100354</v>
      </c>
      <c r="J19" s="803">
        <v>44804</v>
      </c>
      <c r="K19" s="781">
        <v>10863</v>
      </c>
      <c r="L19" s="781">
        <v>1090</v>
      </c>
      <c r="N19" s="781">
        <v>0</v>
      </c>
      <c r="O19" s="781">
        <v>0</v>
      </c>
      <c r="P19" s="781">
        <v>0</v>
      </c>
      <c r="Q19" s="781">
        <v>0</v>
      </c>
      <c r="R19" s="781"/>
      <c r="S19" s="781">
        <v>3600</v>
      </c>
      <c r="T19" s="781">
        <v>196</v>
      </c>
      <c r="U19" s="781">
        <v>3796</v>
      </c>
    </row>
    <row r="20" spans="1:21" ht="15" customHeight="1" x14ac:dyDescent="0.25">
      <c r="A20" s="776">
        <v>11900</v>
      </c>
      <c r="B20" s="774" t="s">
        <v>805</v>
      </c>
      <c r="C20" s="779">
        <v>1.9340000000000001E-4</v>
      </c>
      <c r="D20" s="779">
        <v>1.8780000000000001E-4</v>
      </c>
      <c r="E20" s="781">
        <f>IFERROR(VLOOKUP(A20,'DIPNC Contributions 2018'!A:C,3,FALSE),0)</f>
        <v>4696</v>
      </c>
      <c r="F20" s="803">
        <v>-11478</v>
      </c>
      <c r="G20" s="803">
        <v>-5875</v>
      </c>
      <c r="I20" s="781">
        <v>10248</v>
      </c>
      <c r="J20" s="803">
        <v>4575</v>
      </c>
      <c r="K20" s="781">
        <v>1109</v>
      </c>
      <c r="L20" s="781">
        <v>1087</v>
      </c>
      <c r="N20" s="781">
        <v>0</v>
      </c>
      <c r="O20" s="781">
        <v>0</v>
      </c>
      <c r="P20" s="781">
        <v>0</v>
      </c>
      <c r="Q20" s="781">
        <v>290</v>
      </c>
      <c r="R20" s="781"/>
      <c r="S20" s="781">
        <v>368</v>
      </c>
      <c r="T20" s="781">
        <v>495</v>
      </c>
      <c r="U20" s="781">
        <v>863</v>
      </c>
    </row>
    <row r="21" spans="1:21" ht="15" customHeight="1" x14ac:dyDescent="0.25">
      <c r="A21" s="776">
        <v>12100</v>
      </c>
      <c r="B21" s="774" t="s">
        <v>806</v>
      </c>
      <c r="C21" s="779">
        <v>2.1809999999999999E-4</v>
      </c>
      <c r="D21" s="779">
        <v>2.3780000000000001E-4</v>
      </c>
      <c r="E21" s="781">
        <f>IFERROR(VLOOKUP(A21,'DIPNC Contributions 2018'!A:C,3,FALSE),0)</f>
        <v>5489</v>
      </c>
      <c r="F21" s="803">
        <v>-14534</v>
      </c>
      <c r="G21" s="803">
        <v>-6625</v>
      </c>
      <c r="I21" s="781">
        <v>11557</v>
      </c>
      <c r="J21" s="803">
        <v>5160</v>
      </c>
      <c r="K21" s="781">
        <v>1251</v>
      </c>
      <c r="L21" s="781">
        <v>2263</v>
      </c>
      <c r="N21" s="781">
        <v>0</v>
      </c>
      <c r="O21" s="781">
        <v>0</v>
      </c>
      <c r="P21" s="781">
        <v>0</v>
      </c>
      <c r="Q21" s="781">
        <v>0</v>
      </c>
      <c r="R21" s="781"/>
      <c r="S21" s="781">
        <v>415</v>
      </c>
      <c r="T21" s="781">
        <v>506</v>
      </c>
      <c r="U21" s="781">
        <v>921</v>
      </c>
    </row>
    <row r="22" spans="1:21" ht="15" customHeight="1" x14ac:dyDescent="0.25">
      <c r="A22" s="776">
        <v>12150</v>
      </c>
      <c r="B22" s="774" t="s">
        <v>807</v>
      </c>
      <c r="C22" s="779">
        <v>4.0599999999999998E-5</v>
      </c>
      <c r="D22" s="779">
        <v>3.6900000000000002E-5</v>
      </c>
      <c r="E22" s="781">
        <f>IFERROR(VLOOKUP(A22,'DIPNC Contributions 2018'!A:C,3,FALSE),0)</f>
        <v>821</v>
      </c>
      <c r="F22" s="803">
        <v>-2255</v>
      </c>
      <c r="G22" s="803">
        <v>-1233</v>
      </c>
      <c r="I22" s="781">
        <v>2151</v>
      </c>
      <c r="J22" s="803">
        <v>960</v>
      </c>
      <c r="K22" s="781">
        <v>233</v>
      </c>
      <c r="L22" s="781">
        <v>0</v>
      </c>
      <c r="N22" s="781">
        <v>0</v>
      </c>
      <c r="O22" s="781">
        <v>0</v>
      </c>
      <c r="P22" s="781">
        <v>0</v>
      </c>
      <c r="Q22" s="781">
        <v>608</v>
      </c>
      <c r="R22" s="781"/>
      <c r="S22" s="781">
        <v>77</v>
      </c>
      <c r="T22" s="781">
        <v>-171</v>
      </c>
      <c r="U22" s="781">
        <v>-94</v>
      </c>
    </row>
    <row r="23" spans="1:21" ht="15" customHeight="1" x14ac:dyDescent="0.25">
      <c r="A23" s="776">
        <v>12160</v>
      </c>
      <c r="B23" s="774" t="s">
        <v>808</v>
      </c>
      <c r="C23" s="779">
        <v>1.6348999999999999E-3</v>
      </c>
      <c r="D23" s="779">
        <v>1.6502000000000001E-3</v>
      </c>
      <c r="E23" s="781">
        <f>IFERROR(VLOOKUP(A23,'DIPNC Contributions 2018'!A:C,3,FALSE),0)</f>
        <v>44091</v>
      </c>
      <c r="F23" s="803">
        <v>-100860</v>
      </c>
      <c r="G23" s="803">
        <v>-49662</v>
      </c>
      <c r="I23" s="781">
        <v>86630</v>
      </c>
      <c r="J23" s="803">
        <v>38677</v>
      </c>
      <c r="K23" s="781">
        <v>9378</v>
      </c>
      <c r="L23" s="781">
        <v>15389</v>
      </c>
      <c r="N23" s="781">
        <v>0</v>
      </c>
      <c r="O23" s="781">
        <v>0</v>
      </c>
      <c r="P23" s="781">
        <v>0</v>
      </c>
      <c r="Q23" s="781">
        <v>0</v>
      </c>
      <c r="R23" s="781"/>
      <c r="S23" s="781">
        <v>3108</v>
      </c>
      <c r="T23" s="781">
        <v>5620</v>
      </c>
      <c r="U23" s="781">
        <v>8728</v>
      </c>
    </row>
    <row r="24" spans="1:21" ht="15" customHeight="1" x14ac:dyDescent="0.25">
      <c r="A24" s="776">
        <v>12200</v>
      </c>
      <c r="B24" s="774" t="s">
        <v>1545</v>
      </c>
      <c r="C24" s="779">
        <v>1.3E-6</v>
      </c>
      <c r="D24" s="779">
        <v>3.0000000000000001E-6</v>
      </c>
      <c r="E24" s="781">
        <f>IFERROR(VLOOKUP(A24,'DIPNC Contributions 2018'!A:C,3,FALSE),0)</f>
        <v>0</v>
      </c>
      <c r="F24" s="803">
        <v>-183</v>
      </c>
      <c r="G24" s="803">
        <v>-39</v>
      </c>
      <c r="I24" s="781">
        <v>69</v>
      </c>
      <c r="J24" s="803">
        <v>31</v>
      </c>
      <c r="K24" s="781">
        <v>7</v>
      </c>
      <c r="L24" s="781">
        <v>107</v>
      </c>
      <c r="N24" s="781">
        <v>0</v>
      </c>
      <c r="O24" s="781">
        <v>0</v>
      </c>
      <c r="P24" s="781">
        <v>0</v>
      </c>
      <c r="Q24" s="781">
        <v>0</v>
      </c>
      <c r="R24" s="781"/>
      <c r="S24" s="781">
        <v>2</v>
      </c>
      <c r="T24" s="781">
        <v>18</v>
      </c>
      <c r="U24" s="781">
        <v>20</v>
      </c>
    </row>
    <row r="25" spans="1:21" ht="15" customHeight="1" x14ac:dyDescent="0.25">
      <c r="A25" s="776">
        <v>12220</v>
      </c>
      <c r="B25" s="774" t="s">
        <v>809</v>
      </c>
      <c r="C25" s="779">
        <v>4.1906800000000001E-2</v>
      </c>
      <c r="D25" s="779">
        <v>4.1776199999999999E-2</v>
      </c>
      <c r="E25" s="781">
        <f>IFERROR(VLOOKUP(A25,'DIPNC Contributions 2018'!A:C,3,FALSE),0)</f>
        <v>1114341</v>
      </c>
      <c r="F25" s="803">
        <v>-2553361</v>
      </c>
      <c r="G25" s="803">
        <v>-1272961</v>
      </c>
      <c r="I25" s="781">
        <v>2220558</v>
      </c>
      <c r="J25" s="803">
        <v>991389</v>
      </c>
      <c r="K25" s="781">
        <v>240377</v>
      </c>
      <c r="L25" s="781">
        <v>278119</v>
      </c>
      <c r="N25" s="781">
        <v>0</v>
      </c>
      <c r="O25" s="781">
        <v>0</v>
      </c>
      <c r="P25" s="781">
        <v>0</v>
      </c>
      <c r="Q25" s="781">
        <v>0</v>
      </c>
      <c r="R25" s="781"/>
      <c r="S25" s="781">
        <v>79665</v>
      </c>
      <c r="T25" s="781">
        <v>104057</v>
      </c>
      <c r="U25" s="781">
        <v>183722</v>
      </c>
    </row>
    <row r="26" spans="1:21" ht="15" customHeight="1" x14ac:dyDescent="0.25">
      <c r="A26" s="776">
        <v>12510</v>
      </c>
      <c r="B26" s="774" t="s">
        <v>810</v>
      </c>
      <c r="C26" s="779">
        <v>3.9316999999999998E-3</v>
      </c>
      <c r="D26" s="779">
        <v>4.5719999999999997E-3</v>
      </c>
      <c r="E26" s="781">
        <f>IFERROR(VLOOKUP(A26,'DIPNC Contributions 2018'!A:C,3,FALSE),0)</f>
        <v>121797</v>
      </c>
      <c r="F26" s="803">
        <v>-279441</v>
      </c>
      <c r="G26" s="803">
        <v>-119429</v>
      </c>
      <c r="I26" s="781">
        <v>208333</v>
      </c>
      <c r="J26" s="803">
        <v>93012</v>
      </c>
      <c r="K26" s="781">
        <v>22552</v>
      </c>
      <c r="L26" s="781">
        <v>114256</v>
      </c>
      <c r="N26" s="781">
        <v>0</v>
      </c>
      <c r="O26" s="781">
        <v>0</v>
      </c>
      <c r="P26" s="781">
        <v>0</v>
      </c>
      <c r="Q26" s="781">
        <v>0</v>
      </c>
      <c r="R26" s="781"/>
      <c r="S26" s="781">
        <v>7474</v>
      </c>
      <c r="T26" s="781">
        <v>31898</v>
      </c>
      <c r="U26" s="781">
        <v>39372</v>
      </c>
    </row>
    <row r="27" spans="1:21" ht="15" customHeight="1" x14ac:dyDescent="0.25">
      <c r="A27" s="776">
        <v>12600</v>
      </c>
      <c r="B27" s="774" t="s">
        <v>811</v>
      </c>
      <c r="C27" s="779">
        <v>1.7327E-3</v>
      </c>
      <c r="D27" s="779">
        <v>1.2474999999999999E-3</v>
      </c>
      <c r="E27" s="781">
        <f>IFERROR(VLOOKUP(A27,'DIPNC Contributions 2018'!A:C,3,FALSE),0)</f>
        <v>44822</v>
      </c>
      <c r="F27" s="803">
        <v>-76247</v>
      </c>
      <c r="G27" s="803">
        <v>-52632</v>
      </c>
      <c r="I27" s="781">
        <v>91812</v>
      </c>
      <c r="J27" s="803">
        <v>40990</v>
      </c>
      <c r="K27" s="781">
        <v>9939</v>
      </c>
      <c r="L27" s="781">
        <v>10823</v>
      </c>
      <c r="N27" s="781">
        <v>0</v>
      </c>
      <c r="O27" s="781">
        <v>0</v>
      </c>
      <c r="P27" s="781">
        <v>0</v>
      </c>
      <c r="Q27" s="781">
        <v>34270</v>
      </c>
      <c r="R27" s="781"/>
      <c r="S27" s="781">
        <v>3294</v>
      </c>
      <c r="T27" s="781">
        <v>-301</v>
      </c>
      <c r="U27" s="781">
        <v>2993</v>
      </c>
    </row>
    <row r="28" spans="1:21" ht="15" customHeight="1" x14ac:dyDescent="0.25">
      <c r="A28" s="776">
        <v>12700</v>
      </c>
      <c r="B28" s="774" t="s">
        <v>812</v>
      </c>
      <c r="C28" s="779">
        <v>9.8170000000000006E-4</v>
      </c>
      <c r="D28" s="779">
        <v>9.745E-4</v>
      </c>
      <c r="E28" s="781">
        <f>IFERROR(VLOOKUP(A28,'DIPNC Contributions 2018'!A:C,3,FALSE),0)</f>
        <v>28334</v>
      </c>
      <c r="F28" s="803">
        <v>-59561</v>
      </c>
      <c r="G28" s="803">
        <v>-29820</v>
      </c>
      <c r="I28" s="781">
        <v>52018</v>
      </c>
      <c r="J28" s="803">
        <v>23224</v>
      </c>
      <c r="K28" s="781">
        <v>5631</v>
      </c>
      <c r="L28" s="781">
        <v>11288</v>
      </c>
      <c r="N28" s="781">
        <v>0</v>
      </c>
      <c r="O28" s="781">
        <v>0</v>
      </c>
      <c r="P28" s="781">
        <v>0</v>
      </c>
      <c r="Q28" s="781">
        <v>0</v>
      </c>
      <c r="R28" s="781"/>
      <c r="S28" s="781">
        <v>1866</v>
      </c>
      <c r="T28" s="781">
        <v>4295</v>
      </c>
      <c r="U28" s="781">
        <v>6161</v>
      </c>
    </row>
    <row r="29" spans="1:21" ht="15" customHeight="1" x14ac:dyDescent="0.25">
      <c r="A29" s="776">
        <v>13500</v>
      </c>
      <c r="B29" s="774" t="s">
        <v>813</v>
      </c>
      <c r="C29" s="779">
        <v>3.9201000000000001E-3</v>
      </c>
      <c r="D29" s="779">
        <v>3.8817999999999999E-3</v>
      </c>
      <c r="E29" s="781">
        <f>IFERROR(VLOOKUP(A29,'DIPNC Contributions 2018'!A:C,3,FALSE),0)</f>
        <v>101042</v>
      </c>
      <c r="F29" s="803">
        <v>-237256</v>
      </c>
      <c r="G29" s="803">
        <v>-119077</v>
      </c>
      <c r="I29" s="781">
        <v>207718</v>
      </c>
      <c r="J29" s="803">
        <v>92738</v>
      </c>
      <c r="K29" s="781">
        <v>22486</v>
      </c>
      <c r="L29" s="781">
        <v>16828</v>
      </c>
      <c r="N29" s="781">
        <v>0</v>
      </c>
      <c r="O29" s="781">
        <v>0</v>
      </c>
      <c r="P29" s="781">
        <v>0</v>
      </c>
      <c r="Q29" s="781">
        <v>0</v>
      </c>
      <c r="R29" s="781"/>
      <c r="S29" s="781">
        <v>7452</v>
      </c>
      <c r="T29" s="781">
        <v>6733</v>
      </c>
      <c r="U29" s="781">
        <v>14185</v>
      </c>
    </row>
    <row r="30" spans="1:21" ht="15" customHeight="1" x14ac:dyDescent="0.25">
      <c r="A30" s="776">
        <v>13700</v>
      </c>
      <c r="B30" s="774" t="s">
        <v>814</v>
      </c>
      <c r="C30" s="779">
        <v>4.1320000000000001E-4</v>
      </c>
      <c r="D30" s="779">
        <v>4.0979999999999999E-4</v>
      </c>
      <c r="E30" s="781">
        <f>IFERROR(VLOOKUP(A30,'DIPNC Contributions 2018'!A:C,3,FALSE),0)</f>
        <v>11964</v>
      </c>
      <c r="F30" s="803">
        <v>-25047</v>
      </c>
      <c r="G30" s="803">
        <v>-12551</v>
      </c>
      <c r="I30" s="781">
        <v>21895</v>
      </c>
      <c r="J30" s="803">
        <v>9775</v>
      </c>
      <c r="K30" s="781">
        <v>2370</v>
      </c>
      <c r="L30" s="781">
        <v>5948</v>
      </c>
      <c r="N30" s="781">
        <v>0</v>
      </c>
      <c r="O30" s="781">
        <v>0</v>
      </c>
      <c r="P30" s="781">
        <v>0</v>
      </c>
      <c r="Q30" s="781">
        <v>0</v>
      </c>
      <c r="R30" s="781"/>
      <c r="S30" s="781">
        <v>785</v>
      </c>
      <c r="T30" s="781">
        <v>2405</v>
      </c>
      <c r="U30" s="781">
        <v>3190</v>
      </c>
    </row>
    <row r="31" spans="1:21" ht="15" customHeight="1" x14ac:dyDescent="0.25">
      <c r="A31" s="776">
        <v>14300</v>
      </c>
      <c r="B31" s="774" t="s">
        <v>1164</v>
      </c>
      <c r="C31" s="779">
        <v>1.3531999999999999E-3</v>
      </c>
      <c r="D31" s="779">
        <v>1.4723E-3</v>
      </c>
      <c r="E31" s="781">
        <f>IFERROR(VLOOKUP(A31,'DIPNC Contributions 2018'!A:C,3,FALSE),0)</f>
        <v>36976</v>
      </c>
      <c r="F31" s="803">
        <v>-89987</v>
      </c>
      <c r="G31" s="803">
        <v>-41105</v>
      </c>
      <c r="I31" s="781">
        <v>71703</v>
      </c>
      <c r="J31" s="803">
        <v>32013</v>
      </c>
      <c r="K31" s="781">
        <v>7762</v>
      </c>
      <c r="L31" s="781">
        <v>10496</v>
      </c>
      <c r="N31" s="781">
        <v>0</v>
      </c>
      <c r="O31" s="781">
        <v>0</v>
      </c>
      <c r="P31" s="781">
        <v>0</v>
      </c>
      <c r="Q31" s="781">
        <v>3520</v>
      </c>
      <c r="R31" s="781"/>
      <c r="S31" s="781">
        <v>2572</v>
      </c>
      <c r="T31" s="781">
        <v>-11</v>
      </c>
      <c r="U31" s="781">
        <v>2561</v>
      </c>
    </row>
    <row r="32" spans="1:21" ht="15" customHeight="1" x14ac:dyDescent="0.25">
      <c r="A32" s="776">
        <v>14300.2</v>
      </c>
      <c r="B32" s="774" t="s">
        <v>1165</v>
      </c>
      <c r="C32" s="779">
        <v>1.4219999999999999E-4</v>
      </c>
      <c r="D32" s="779">
        <v>1.706E-4</v>
      </c>
      <c r="E32" s="781">
        <f>IFERROR(VLOOKUP(A32,'DIPNC Contributions 2018'!A:C,3,FALSE),0)</f>
        <v>0</v>
      </c>
      <c r="F32" s="803">
        <v>-10427</v>
      </c>
      <c r="G32" s="803">
        <v>-4319</v>
      </c>
      <c r="I32" s="781">
        <v>7535</v>
      </c>
      <c r="J32" s="803">
        <v>3364</v>
      </c>
      <c r="K32" s="781">
        <v>816</v>
      </c>
      <c r="L32" s="781">
        <v>3024</v>
      </c>
      <c r="N32" s="781">
        <v>0</v>
      </c>
      <c r="O32" s="781">
        <v>0</v>
      </c>
      <c r="P32" s="781">
        <v>0</v>
      </c>
      <c r="Q32" s="781">
        <v>0</v>
      </c>
      <c r="R32" s="781"/>
      <c r="S32" s="781">
        <v>270</v>
      </c>
      <c r="T32" s="781">
        <v>591</v>
      </c>
      <c r="U32" s="781">
        <v>861</v>
      </c>
    </row>
    <row r="33" spans="1:21" ht="15" customHeight="1" x14ac:dyDescent="0.25">
      <c r="A33" s="776">
        <v>18400</v>
      </c>
      <c r="B33" s="774" t="s">
        <v>1546</v>
      </c>
      <c r="C33" s="779">
        <v>4.8434000000000003E-3</v>
      </c>
      <c r="D33" s="779">
        <v>4.8634000000000004E-3</v>
      </c>
      <c r="E33" s="781">
        <f>IFERROR(VLOOKUP(A33,'DIPNC Contributions 2018'!A:C,3,FALSE),0)</f>
        <v>126394</v>
      </c>
      <c r="F33" s="803">
        <v>-297251</v>
      </c>
      <c r="G33" s="803">
        <v>-147123</v>
      </c>
      <c r="I33" s="781">
        <v>256642</v>
      </c>
      <c r="J33" s="803">
        <v>114580</v>
      </c>
      <c r="K33" s="781">
        <v>27782</v>
      </c>
      <c r="L33" s="781">
        <v>36836</v>
      </c>
      <c r="N33" s="781">
        <v>0</v>
      </c>
      <c r="O33" s="781">
        <v>0</v>
      </c>
      <c r="P33" s="781">
        <v>0</v>
      </c>
      <c r="Q33" s="781">
        <v>0</v>
      </c>
      <c r="R33" s="781"/>
      <c r="S33" s="781">
        <v>9207</v>
      </c>
      <c r="T33" s="781">
        <v>14142</v>
      </c>
      <c r="U33" s="781">
        <v>23349</v>
      </c>
    </row>
    <row r="34" spans="1:21" ht="15" customHeight="1" x14ac:dyDescent="0.25">
      <c r="A34" s="776">
        <v>18600</v>
      </c>
      <c r="B34" s="774" t="s">
        <v>818</v>
      </c>
      <c r="C34" s="779">
        <v>1.38E-5</v>
      </c>
      <c r="D34" s="779">
        <v>1.36E-5</v>
      </c>
      <c r="E34" s="781">
        <f>IFERROR(VLOOKUP(A34,'DIPNC Contributions 2018'!A:C,3,FALSE),0)</f>
        <v>365</v>
      </c>
      <c r="F34" s="803">
        <v>-831</v>
      </c>
      <c r="G34" s="803">
        <v>-419</v>
      </c>
      <c r="I34" s="781">
        <v>731</v>
      </c>
      <c r="J34" s="803">
        <v>326</v>
      </c>
      <c r="K34" s="781">
        <v>79</v>
      </c>
      <c r="L34" s="781">
        <v>250</v>
      </c>
      <c r="N34" s="781">
        <v>0</v>
      </c>
      <c r="O34" s="781">
        <v>0</v>
      </c>
      <c r="P34" s="781">
        <v>0</v>
      </c>
      <c r="Q34" s="781">
        <v>0</v>
      </c>
      <c r="R34" s="781"/>
      <c r="S34" s="781">
        <v>26</v>
      </c>
      <c r="T34" s="781">
        <v>118</v>
      </c>
      <c r="U34" s="781">
        <v>144</v>
      </c>
    </row>
    <row r="35" spans="1:21" ht="15" customHeight="1" x14ac:dyDescent="0.25">
      <c r="A35" s="776">
        <v>18690</v>
      </c>
      <c r="B35" s="774" t="s">
        <v>821</v>
      </c>
      <c r="C35" s="779">
        <v>0</v>
      </c>
      <c r="D35" s="779">
        <v>0</v>
      </c>
      <c r="E35" s="781">
        <f>IFERROR(VLOOKUP(A35,'DIPNC Contributions 2018'!A:C,3,FALSE),0)</f>
        <v>0</v>
      </c>
      <c r="F35" s="803">
        <v>0</v>
      </c>
      <c r="G35" s="803">
        <v>0</v>
      </c>
      <c r="I35" s="781">
        <v>0</v>
      </c>
      <c r="J35" s="803">
        <v>0</v>
      </c>
      <c r="K35" s="781">
        <v>0</v>
      </c>
      <c r="L35" s="781">
        <v>247</v>
      </c>
      <c r="N35" s="781">
        <v>0</v>
      </c>
      <c r="O35" s="781">
        <v>0</v>
      </c>
      <c r="P35" s="781">
        <v>0</v>
      </c>
      <c r="Q35" s="781">
        <v>0</v>
      </c>
      <c r="R35" s="781"/>
      <c r="S35" s="781">
        <v>0</v>
      </c>
      <c r="T35" s="781">
        <v>123</v>
      </c>
      <c r="U35" s="781">
        <v>123</v>
      </c>
    </row>
    <row r="36" spans="1:21" ht="15" customHeight="1" x14ac:dyDescent="0.25">
      <c r="A36" s="776">
        <v>18740</v>
      </c>
      <c r="B36" s="774" t="s">
        <v>822</v>
      </c>
      <c r="C36" s="779">
        <v>6.8000000000000001E-6</v>
      </c>
      <c r="D36" s="779">
        <v>6.8000000000000001E-6</v>
      </c>
      <c r="E36" s="781">
        <f>IFERROR(VLOOKUP(A36,'DIPNC Contributions 2018'!A:C,3,FALSE),0)</f>
        <v>187</v>
      </c>
      <c r="F36" s="803">
        <v>-416</v>
      </c>
      <c r="G36" s="803">
        <v>-207</v>
      </c>
      <c r="I36" s="781">
        <v>360</v>
      </c>
      <c r="J36" s="803">
        <v>161</v>
      </c>
      <c r="K36" s="781">
        <v>39</v>
      </c>
      <c r="L36" s="781">
        <v>52</v>
      </c>
      <c r="N36" s="781">
        <v>0</v>
      </c>
      <c r="O36" s="781">
        <v>0</v>
      </c>
      <c r="P36" s="781">
        <v>0</v>
      </c>
      <c r="Q36" s="781">
        <v>0</v>
      </c>
      <c r="R36" s="781"/>
      <c r="S36" s="781">
        <v>13</v>
      </c>
      <c r="T36" s="781">
        <v>18</v>
      </c>
      <c r="U36" s="781">
        <v>31</v>
      </c>
    </row>
    <row r="37" spans="1:21" ht="15" customHeight="1" x14ac:dyDescent="0.25">
      <c r="A37" s="776">
        <v>18780</v>
      </c>
      <c r="B37" s="774" t="s">
        <v>823</v>
      </c>
      <c r="C37" s="779">
        <v>1.7900000000000001E-5</v>
      </c>
      <c r="D37" s="779">
        <v>1.17E-5</v>
      </c>
      <c r="E37" s="781">
        <f>IFERROR(VLOOKUP(A37,'DIPNC Contributions 2018'!A:C,3,FALSE),0)</f>
        <v>396</v>
      </c>
      <c r="F37" s="803">
        <v>-715</v>
      </c>
      <c r="G37" s="803">
        <v>-544</v>
      </c>
      <c r="I37" s="781">
        <v>948</v>
      </c>
      <c r="J37" s="803">
        <v>423</v>
      </c>
      <c r="K37" s="781">
        <v>103</v>
      </c>
      <c r="L37" s="781">
        <v>170</v>
      </c>
      <c r="N37" s="781">
        <v>0</v>
      </c>
      <c r="O37" s="781">
        <v>0</v>
      </c>
      <c r="P37" s="781">
        <v>0</v>
      </c>
      <c r="Q37" s="781">
        <v>505</v>
      </c>
      <c r="R37" s="781"/>
      <c r="S37" s="781">
        <v>34</v>
      </c>
      <c r="T37" s="781">
        <v>1</v>
      </c>
      <c r="U37" s="781">
        <v>35</v>
      </c>
    </row>
    <row r="38" spans="1:21" ht="15" customHeight="1" x14ac:dyDescent="0.25">
      <c r="A38" s="776">
        <v>19005</v>
      </c>
      <c r="B38" s="774" t="s">
        <v>824</v>
      </c>
      <c r="C38" s="779">
        <v>6.6879999999999999E-4</v>
      </c>
      <c r="D38" s="779">
        <v>6.5430000000000002E-4</v>
      </c>
      <c r="E38" s="781">
        <f>IFERROR(VLOOKUP(A38,'DIPNC Contributions 2018'!A:C,3,FALSE),0)</f>
        <v>20279</v>
      </c>
      <c r="F38" s="803">
        <v>-39991</v>
      </c>
      <c r="G38" s="803">
        <v>-20315</v>
      </c>
      <c r="I38" s="781">
        <v>35438</v>
      </c>
      <c r="J38" s="803">
        <v>15822</v>
      </c>
      <c r="K38" s="781">
        <v>3836</v>
      </c>
      <c r="L38" s="781">
        <v>8718</v>
      </c>
      <c r="N38" s="781">
        <v>0</v>
      </c>
      <c r="O38" s="781">
        <v>0</v>
      </c>
      <c r="P38" s="781">
        <v>0</v>
      </c>
      <c r="Q38" s="781">
        <v>0</v>
      </c>
      <c r="R38" s="781"/>
      <c r="S38" s="781">
        <v>1271</v>
      </c>
      <c r="T38" s="781">
        <v>3412</v>
      </c>
      <c r="U38" s="781">
        <v>4683</v>
      </c>
    </row>
    <row r="39" spans="1:21" ht="15" customHeight="1" x14ac:dyDescent="0.25">
      <c r="A39" s="776">
        <v>19100</v>
      </c>
      <c r="B39" s="774" t="s">
        <v>825</v>
      </c>
      <c r="C39" s="779">
        <v>6.0961899999999999E-2</v>
      </c>
      <c r="D39" s="779">
        <v>6.1802999999999997E-2</v>
      </c>
      <c r="E39" s="781">
        <f>IFERROR(VLOOKUP(A39,'DIPNC Contributions 2018'!A:C,3,FALSE),0)</f>
        <v>1509748</v>
      </c>
      <c r="F39" s="803">
        <v>-3777399</v>
      </c>
      <c r="G39" s="803">
        <v>-1851779</v>
      </c>
      <c r="I39" s="781">
        <v>3230249</v>
      </c>
      <c r="J39" s="803">
        <v>1442176</v>
      </c>
      <c r="K39" s="781">
        <v>349677</v>
      </c>
      <c r="L39" s="781">
        <v>211377</v>
      </c>
      <c r="N39" s="781">
        <v>0</v>
      </c>
      <c r="O39" s="781">
        <v>0</v>
      </c>
      <c r="P39" s="781">
        <v>0</v>
      </c>
      <c r="Q39" s="781">
        <v>0</v>
      </c>
      <c r="R39" s="781"/>
      <c r="S39" s="781">
        <v>115889</v>
      </c>
      <c r="T39" s="781">
        <v>59678</v>
      </c>
      <c r="U39" s="781">
        <v>175567</v>
      </c>
    </row>
    <row r="40" spans="1:21" s="785" customFormat="1" ht="15" customHeight="1" x14ac:dyDescent="0.25">
      <c r="A40" s="784">
        <v>20100</v>
      </c>
      <c r="B40" s="785" t="s">
        <v>826</v>
      </c>
      <c r="C40" s="786">
        <v>1.04545E-2</v>
      </c>
      <c r="D40" s="786">
        <v>1.0502900000000001E-2</v>
      </c>
      <c r="E40" s="781">
        <f>IFERROR(VLOOKUP(A40,'DIPNC Contributions 2018'!A:C,3,FALSE),0)</f>
        <v>250533</v>
      </c>
      <c r="F40" s="804">
        <v>-641937</v>
      </c>
      <c r="G40" s="804">
        <v>-317566</v>
      </c>
      <c r="I40" s="787">
        <v>553964</v>
      </c>
      <c r="J40" s="804">
        <v>247322</v>
      </c>
      <c r="K40" s="787">
        <v>59967</v>
      </c>
      <c r="L40" s="787">
        <v>8993</v>
      </c>
      <c r="N40" s="787">
        <v>0</v>
      </c>
      <c r="O40" s="787">
        <v>0</v>
      </c>
      <c r="P40" s="787">
        <v>0</v>
      </c>
      <c r="Q40" s="787">
        <v>6155</v>
      </c>
      <c r="R40" s="787"/>
      <c r="S40" s="787">
        <v>19874</v>
      </c>
      <c r="T40" s="787">
        <v>-1578</v>
      </c>
      <c r="U40" s="787">
        <v>18296</v>
      </c>
    </row>
    <row r="41" spans="1:21" ht="15" customHeight="1" x14ac:dyDescent="0.25">
      <c r="A41" s="776">
        <v>20200</v>
      </c>
      <c r="B41" s="774" t="s">
        <v>827</v>
      </c>
      <c r="C41" s="779">
        <v>1.5100000000000001E-3</v>
      </c>
      <c r="D41" s="779">
        <v>1.4901000000000001E-3</v>
      </c>
      <c r="E41" s="781">
        <f>IFERROR(VLOOKUP(A41,'DIPNC Contributions 2018'!A:C,3,FALSE),0)</f>
        <v>39291</v>
      </c>
      <c r="F41" s="803">
        <v>-91075</v>
      </c>
      <c r="G41" s="803">
        <v>-45868</v>
      </c>
      <c r="I41" s="781">
        <v>80012</v>
      </c>
      <c r="J41" s="803">
        <v>35722</v>
      </c>
      <c r="K41" s="781">
        <v>8661</v>
      </c>
      <c r="L41" s="781">
        <v>1964</v>
      </c>
      <c r="N41" s="781">
        <v>0</v>
      </c>
      <c r="O41" s="781">
        <v>0</v>
      </c>
      <c r="P41" s="781">
        <v>0</v>
      </c>
      <c r="Q41" s="781">
        <v>0</v>
      </c>
      <c r="R41" s="781"/>
      <c r="S41" s="781">
        <v>2871</v>
      </c>
      <c r="T41" s="781">
        <v>363</v>
      </c>
      <c r="U41" s="781">
        <v>3234</v>
      </c>
    </row>
    <row r="42" spans="1:21" ht="15" customHeight="1" x14ac:dyDescent="0.25">
      <c r="A42" s="776">
        <v>20300</v>
      </c>
      <c r="B42" s="774" t="s">
        <v>828</v>
      </c>
      <c r="C42" s="779">
        <v>2.5275300000000001E-2</v>
      </c>
      <c r="D42" s="779">
        <v>2.4591399999999999E-2</v>
      </c>
      <c r="E42" s="781">
        <f>IFERROR(VLOOKUP(A42,'DIPNC Contributions 2018'!A:C,3,FALSE),0)</f>
        <v>581051</v>
      </c>
      <c r="F42" s="803">
        <v>-1503026</v>
      </c>
      <c r="G42" s="803">
        <v>-767763</v>
      </c>
      <c r="I42" s="781">
        <v>1339288</v>
      </c>
      <c r="J42" s="803">
        <v>597938</v>
      </c>
      <c r="K42" s="781">
        <v>144979</v>
      </c>
      <c r="L42" s="781">
        <v>0</v>
      </c>
      <c r="N42" s="781">
        <v>0</v>
      </c>
      <c r="O42" s="781">
        <v>0</v>
      </c>
      <c r="P42" s="781">
        <v>0</v>
      </c>
      <c r="Q42" s="781">
        <v>73250</v>
      </c>
      <c r="R42" s="781"/>
      <c r="S42" s="781">
        <v>48048</v>
      </c>
      <c r="T42" s="781">
        <v>-15943</v>
      </c>
      <c r="U42" s="781">
        <v>32105</v>
      </c>
    </row>
    <row r="43" spans="1:21" ht="15" customHeight="1" x14ac:dyDescent="0.25">
      <c r="A43" s="776">
        <v>20400</v>
      </c>
      <c r="B43" s="774" t="s">
        <v>829</v>
      </c>
      <c r="C43" s="779">
        <v>1.1643999999999999E-3</v>
      </c>
      <c r="D43" s="779">
        <v>1.1670000000000001E-3</v>
      </c>
      <c r="E43" s="781">
        <f>IFERROR(VLOOKUP(A43,'DIPNC Contributions 2018'!A:C,3,FALSE),0)</f>
        <v>29442</v>
      </c>
      <c r="F43" s="803">
        <v>-71327</v>
      </c>
      <c r="G43" s="803">
        <v>-35370</v>
      </c>
      <c r="I43" s="781">
        <v>61699</v>
      </c>
      <c r="J43" s="803">
        <v>27546</v>
      </c>
      <c r="K43" s="781">
        <v>6679</v>
      </c>
      <c r="L43" s="781">
        <v>6758</v>
      </c>
      <c r="N43" s="781">
        <v>0</v>
      </c>
      <c r="O43" s="781">
        <v>0</v>
      </c>
      <c r="P43" s="781">
        <v>0</v>
      </c>
      <c r="Q43" s="781">
        <v>0</v>
      </c>
      <c r="R43" s="781"/>
      <c r="S43" s="781">
        <v>2214</v>
      </c>
      <c r="T43" s="781">
        <v>2677</v>
      </c>
      <c r="U43" s="781">
        <v>4891</v>
      </c>
    </row>
    <row r="44" spans="1:21" ht="15" customHeight="1" x14ac:dyDescent="0.25">
      <c r="A44" s="776">
        <v>20600</v>
      </c>
      <c r="B44" s="774" t="s">
        <v>830</v>
      </c>
      <c r="C44" s="779">
        <v>2.9911E-3</v>
      </c>
      <c r="D44" s="779">
        <v>2.8403E-3</v>
      </c>
      <c r="E44" s="781">
        <f>IFERROR(VLOOKUP(A44,'DIPNC Contributions 2018'!A:C,3,FALSE),0)</f>
        <v>74125</v>
      </c>
      <c r="F44" s="803">
        <v>-173599</v>
      </c>
      <c r="G44" s="803">
        <v>-90858</v>
      </c>
      <c r="I44" s="781">
        <v>158492</v>
      </c>
      <c r="J44" s="803">
        <v>70760</v>
      </c>
      <c r="K44" s="781">
        <v>17157</v>
      </c>
      <c r="L44" s="781">
        <v>0</v>
      </c>
      <c r="N44" s="781">
        <v>0</v>
      </c>
      <c r="O44" s="781">
        <v>0</v>
      </c>
      <c r="P44" s="781">
        <v>0</v>
      </c>
      <c r="Q44" s="781">
        <v>8491</v>
      </c>
      <c r="R44" s="781"/>
      <c r="S44" s="781">
        <v>5686</v>
      </c>
      <c r="T44" s="781">
        <v>-1508</v>
      </c>
      <c r="U44" s="781">
        <v>4178</v>
      </c>
    </row>
    <row r="45" spans="1:21" ht="15" customHeight="1" x14ac:dyDescent="0.25">
      <c r="A45" s="776">
        <v>20700</v>
      </c>
      <c r="B45" s="774" t="s">
        <v>831</v>
      </c>
      <c r="C45" s="779">
        <v>5.9595999999999998E-3</v>
      </c>
      <c r="D45" s="779">
        <v>5.8345000000000003E-3</v>
      </c>
      <c r="E45" s="781">
        <f>IFERROR(VLOOKUP(A45,'DIPNC Contributions 2018'!A:C,3,FALSE),0)</f>
        <v>153663</v>
      </c>
      <c r="F45" s="803">
        <v>-356605</v>
      </c>
      <c r="G45" s="803">
        <v>-181029</v>
      </c>
      <c r="I45" s="781">
        <v>315787</v>
      </c>
      <c r="J45" s="803">
        <v>140986</v>
      </c>
      <c r="K45" s="781">
        <v>34184</v>
      </c>
      <c r="L45" s="781">
        <v>24434</v>
      </c>
      <c r="N45" s="781">
        <v>0</v>
      </c>
      <c r="O45" s="781">
        <v>0</v>
      </c>
      <c r="P45" s="781">
        <v>0</v>
      </c>
      <c r="Q45" s="781">
        <v>0</v>
      </c>
      <c r="R45" s="781"/>
      <c r="S45" s="781">
        <v>11329</v>
      </c>
      <c r="T45" s="781">
        <v>11392</v>
      </c>
      <c r="U45" s="781">
        <v>22721</v>
      </c>
    </row>
    <row r="46" spans="1:21" ht="15" customHeight="1" x14ac:dyDescent="0.25">
      <c r="A46" s="776">
        <v>20800</v>
      </c>
      <c r="B46" s="774" t="s">
        <v>832</v>
      </c>
      <c r="C46" s="779">
        <v>4.5859000000000004E-3</v>
      </c>
      <c r="D46" s="779">
        <v>4.7067000000000003E-3</v>
      </c>
      <c r="E46" s="781">
        <f>IFERROR(VLOOKUP(A46,'DIPNC Contributions 2018'!A:C,3,FALSE),0)</f>
        <v>116350</v>
      </c>
      <c r="F46" s="803">
        <v>-287674</v>
      </c>
      <c r="G46" s="803">
        <v>-139301</v>
      </c>
      <c r="I46" s="781">
        <v>242998</v>
      </c>
      <c r="J46" s="803">
        <v>108489</v>
      </c>
      <c r="K46" s="781">
        <v>26305</v>
      </c>
      <c r="L46" s="781">
        <v>24265</v>
      </c>
      <c r="N46" s="781">
        <v>0</v>
      </c>
      <c r="O46" s="781">
        <v>0</v>
      </c>
      <c r="P46" s="781">
        <v>0</v>
      </c>
      <c r="Q46" s="781">
        <v>0</v>
      </c>
      <c r="R46" s="781"/>
      <c r="S46" s="781">
        <v>8718</v>
      </c>
      <c r="T46" s="781">
        <v>6378</v>
      </c>
      <c r="U46" s="781">
        <v>15096</v>
      </c>
    </row>
    <row r="47" spans="1:21" ht="15" customHeight="1" x14ac:dyDescent="0.25">
      <c r="A47" s="776">
        <v>20900</v>
      </c>
      <c r="B47" s="774" t="s">
        <v>833</v>
      </c>
      <c r="C47" s="779">
        <v>9.8159000000000007E-3</v>
      </c>
      <c r="D47" s="779">
        <v>9.5709999999999996E-3</v>
      </c>
      <c r="E47" s="781">
        <f>IFERROR(VLOOKUP(A47,'DIPNC Contributions 2018'!A:C,3,FALSE),0)</f>
        <v>245132</v>
      </c>
      <c r="F47" s="803">
        <v>-584980</v>
      </c>
      <c r="G47" s="803">
        <v>-298168</v>
      </c>
      <c r="I47" s="781">
        <v>520125</v>
      </c>
      <c r="J47" s="803">
        <v>232215</v>
      </c>
      <c r="K47" s="781">
        <v>56304</v>
      </c>
      <c r="L47" s="781">
        <v>1599</v>
      </c>
      <c r="N47" s="781">
        <v>0</v>
      </c>
      <c r="O47" s="781">
        <v>0</v>
      </c>
      <c r="P47" s="781">
        <v>0</v>
      </c>
      <c r="Q47" s="781">
        <v>5782</v>
      </c>
      <c r="R47" s="781"/>
      <c r="S47" s="781">
        <v>18660</v>
      </c>
      <c r="T47" s="781">
        <v>-164</v>
      </c>
      <c r="U47" s="781">
        <v>18496</v>
      </c>
    </row>
    <row r="48" spans="1:21" ht="15" customHeight="1" x14ac:dyDescent="0.25">
      <c r="A48" s="776">
        <v>21200</v>
      </c>
      <c r="B48" s="774" t="s">
        <v>834</v>
      </c>
      <c r="C48" s="779">
        <v>3.0766999999999999E-3</v>
      </c>
      <c r="D48" s="779">
        <v>3.0814000000000002E-3</v>
      </c>
      <c r="E48" s="781">
        <f>IFERROR(VLOOKUP(A48,'DIPNC Contributions 2018'!A:C,3,FALSE),0)</f>
        <v>71609</v>
      </c>
      <c r="F48" s="803">
        <v>-188335</v>
      </c>
      <c r="G48" s="803">
        <v>-93458</v>
      </c>
      <c r="I48" s="781">
        <v>163028</v>
      </c>
      <c r="J48" s="803">
        <v>72785</v>
      </c>
      <c r="K48" s="781">
        <v>17648</v>
      </c>
      <c r="L48" s="781">
        <v>81</v>
      </c>
      <c r="N48" s="781">
        <v>0</v>
      </c>
      <c r="O48" s="781">
        <v>0</v>
      </c>
      <c r="P48" s="781">
        <v>0</v>
      </c>
      <c r="Q48" s="781">
        <v>144</v>
      </c>
      <c r="R48" s="781"/>
      <c r="S48" s="781">
        <v>5849</v>
      </c>
      <c r="T48" s="781">
        <v>-58</v>
      </c>
      <c r="U48" s="781">
        <v>5791</v>
      </c>
    </row>
    <row r="49" spans="1:21" ht="15" customHeight="1" x14ac:dyDescent="0.25">
      <c r="A49" s="776">
        <v>21300</v>
      </c>
      <c r="B49" s="774" t="s">
        <v>835</v>
      </c>
      <c r="C49" s="779">
        <v>3.8912299999999997E-2</v>
      </c>
      <c r="D49" s="779">
        <v>3.8517500000000003E-2</v>
      </c>
      <c r="E49" s="781">
        <f>IFERROR(VLOOKUP(A49,'DIPNC Contributions 2018'!A:C,3,FALSE),0)</f>
        <v>899008</v>
      </c>
      <c r="F49" s="803">
        <v>-2354190</v>
      </c>
      <c r="G49" s="803">
        <v>-1182000</v>
      </c>
      <c r="I49" s="781">
        <v>2061885</v>
      </c>
      <c r="J49" s="803">
        <v>920548</v>
      </c>
      <c r="K49" s="781">
        <v>223201</v>
      </c>
      <c r="L49" s="781">
        <v>0</v>
      </c>
      <c r="N49" s="781">
        <v>0</v>
      </c>
      <c r="O49" s="781">
        <v>0</v>
      </c>
      <c r="P49" s="781">
        <v>0</v>
      </c>
      <c r="Q49" s="781">
        <v>83260</v>
      </c>
      <c r="R49" s="781"/>
      <c r="S49" s="781">
        <v>73972</v>
      </c>
      <c r="T49" s="781">
        <v>-28225</v>
      </c>
      <c r="U49" s="781">
        <v>45747</v>
      </c>
    </row>
    <row r="50" spans="1:21" ht="15" customHeight="1" x14ac:dyDescent="0.25">
      <c r="A50" s="776">
        <v>21520</v>
      </c>
      <c r="B50" s="774" t="s">
        <v>1547</v>
      </c>
      <c r="C50" s="779">
        <v>6.9139199999999998E-2</v>
      </c>
      <c r="D50" s="779">
        <v>6.8096799999999999E-2</v>
      </c>
      <c r="E50" s="781">
        <f>IFERROR(VLOOKUP(A50,'DIPNC Contributions 2018'!A:C,3,FALSE),0)</f>
        <v>1601186</v>
      </c>
      <c r="F50" s="803">
        <v>-4162076</v>
      </c>
      <c r="G50" s="803">
        <v>-2100172</v>
      </c>
      <c r="I50" s="781">
        <v>3663548</v>
      </c>
      <c r="J50" s="803">
        <v>1635626</v>
      </c>
      <c r="K50" s="781">
        <v>396582</v>
      </c>
      <c r="L50" s="781">
        <v>0</v>
      </c>
      <c r="N50" s="781">
        <v>0</v>
      </c>
      <c r="O50" s="781">
        <v>0</v>
      </c>
      <c r="P50" s="781">
        <v>0</v>
      </c>
      <c r="Q50" s="781">
        <v>138826</v>
      </c>
      <c r="R50" s="781"/>
      <c r="S50" s="781">
        <v>131434</v>
      </c>
      <c r="T50" s="781">
        <v>-37798</v>
      </c>
      <c r="U50" s="781">
        <v>93636</v>
      </c>
    </row>
    <row r="51" spans="1:21" ht="15" customHeight="1" x14ac:dyDescent="0.25">
      <c r="A51" s="776">
        <v>21525</v>
      </c>
      <c r="B51" s="774" t="s">
        <v>1166</v>
      </c>
      <c r="C51" s="779">
        <v>1.6352000000000001E-3</v>
      </c>
      <c r="D51" s="779">
        <v>1.7635999999999999E-3</v>
      </c>
      <c r="E51" s="781">
        <f>IFERROR(VLOOKUP(A51,'DIPNC Contributions 2018'!A:C,3,FALSE),0)</f>
        <v>44621</v>
      </c>
      <c r="F51" s="803">
        <v>-107791</v>
      </c>
      <c r="G51" s="803">
        <v>-49671</v>
      </c>
      <c r="I51" s="781">
        <v>86646</v>
      </c>
      <c r="J51" s="803">
        <v>38684</v>
      </c>
      <c r="K51" s="781">
        <v>9380</v>
      </c>
      <c r="L51" s="781">
        <v>11459</v>
      </c>
      <c r="N51" s="781">
        <v>0</v>
      </c>
      <c r="O51" s="781">
        <v>0</v>
      </c>
      <c r="P51" s="781">
        <v>0</v>
      </c>
      <c r="Q51" s="781">
        <v>2820</v>
      </c>
      <c r="R51" s="781"/>
      <c r="S51" s="781">
        <v>3109</v>
      </c>
      <c r="T51" s="781">
        <v>500</v>
      </c>
      <c r="U51" s="781">
        <v>3609</v>
      </c>
    </row>
    <row r="52" spans="1:21" ht="15" customHeight="1" x14ac:dyDescent="0.25">
      <c r="A52" s="776">
        <v>21525.200000000001</v>
      </c>
      <c r="B52" s="774" t="s">
        <v>1167</v>
      </c>
      <c r="C52" s="779">
        <v>1.109E-4</v>
      </c>
      <c r="D52" s="779">
        <v>1.172E-4</v>
      </c>
      <c r="E52" s="781">
        <f>IFERROR(VLOOKUP(A52,'DIPNC Contributions 2018'!A:C,3,FALSE),0)</f>
        <v>0</v>
      </c>
      <c r="F52" s="803">
        <v>-7163</v>
      </c>
      <c r="G52" s="803">
        <v>-3369</v>
      </c>
      <c r="I52" s="781">
        <v>5876</v>
      </c>
      <c r="J52" s="803">
        <v>2624</v>
      </c>
      <c r="K52" s="781">
        <v>636</v>
      </c>
      <c r="L52" s="781">
        <v>4297</v>
      </c>
      <c r="N52" s="781">
        <v>0</v>
      </c>
      <c r="O52" s="781">
        <v>0</v>
      </c>
      <c r="P52" s="781">
        <v>0</v>
      </c>
      <c r="Q52" s="781">
        <v>0</v>
      </c>
      <c r="R52" s="781"/>
      <c r="S52" s="781">
        <v>211</v>
      </c>
      <c r="T52" s="781">
        <v>1371</v>
      </c>
      <c r="U52" s="781">
        <v>1582</v>
      </c>
    </row>
    <row r="53" spans="1:21" ht="15" customHeight="1" x14ac:dyDescent="0.25">
      <c r="A53" s="776">
        <v>21550</v>
      </c>
      <c r="B53" s="774" t="s">
        <v>838</v>
      </c>
      <c r="C53" s="779">
        <v>4.0275900000000003E-2</v>
      </c>
      <c r="D53" s="779">
        <v>4.00842E-2</v>
      </c>
      <c r="E53" s="781">
        <f>IFERROR(VLOOKUP(A53,'DIPNC Contributions 2018'!A:C,3,FALSE),0)</f>
        <v>920469</v>
      </c>
      <c r="F53" s="803">
        <v>-2449946</v>
      </c>
      <c r="G53" s="803">
        <v>-1223421</v>
      </c>
      <c r="I53" s="781">
        <v>2134139</v>
      </c>
      <c r="J53" s="803">
        <v>952807</v>
      </c>
      <c r="K53" s="781">
        <v>231023</v>
      </c>
      <c r="L53" s="781">
        <v>0</v>
      </c>
      <c r="N53" s="781">
        <v>0</v>
      </c>
      <c r="O53" s="781">
        <v>0</v>
      </c>
      <c r="P53" s="781">
        <v>0</v>
      </c>
      <c r="Q53" s="781">
        <v>207690</v>
      </c>
      <c r="R53" s="781"/>
      <c r="S53" s="781">
        <v>76564</v>
      </c>
      <c r="T53" s="781">
        <v>-92758</v>
      </c>
      <c r="U53" s="781">
        <v>-16194</v>
      </c>
    </row>
    <row r="54" spans="1:21" ht="15" customHeight="1" x14ac:dyDescent="0.25">
      <c r="A54" s="776">
        <v>21570</v>
      </c>
      <c r="B54" s="774" t="s">
        <v>839</v>
      </c>
      <c r="C54" s="779">
        <v>1.695E-4</v>
      </c>
      <c r="D54" s="779">
        <v>1.7090000000000001E-4</v>
      </c>
      <c r="E54" s="781">
        <f>IFERROR(VLOOKUP(A54,'DIPNC Contributions 2018'!A:C,3,FALSE),0)</f>
        <v>4622</v>
      </c>
      <c r="F54" s="803">
        <v>-10445</v>
      </c>
      <c r="G54" s="803">
        <v>-5149</v>
      </c>
      <c r="I54" s="781">
        <v>8981</v>
      </c>
      <c r="J54" s="803">
        <v>4010</v>
      </c>
      <c r="K54" s="781">
        <v>972</v>
      </c>
      <c r="L54" s="781">
        <v>1071</v>
      </c>
      <c r="N54" s="781">
        <v>0</v>
      </c>
      <c r="O54" s="781">
        <v>0</v>
      </c>
      <c r="P54" s="781">
        <v>0</v>
      </c>
      <c r="Q54" s="781">
        <v>0</v>
      </c>
      <c r="R54" s="781"/>
      <c r="S54" s="781">
        <v>322</v>
      </c>
      <c r="T54" s="781">
        <v>310</v>
      </c>
      <c r="U54" s="781">
        <v>632</v>
      </c>
    </row>
    <row r="55" spans="1:21" ht="15" customHeight="1" x14ac:dyDescent="0.25">
      <c r="A55" s="776">
        <v>21800</v>
      </c>
      <c r="B55" s="774" t="s">
        <v>840</v>
      </c>
      <c r="C55" s="779">
        <v>5.8300000000000001E-3</v>
      </c>
      <c r="D55" s="779">
        <v>5.7400000000000003E-3</v>
      </c>
      <c r="E55" s="781">
        <f>IFERROR(VLOOKUP(A55,'DIPNC Contributions 2018'!A:C,3,FALSE),0)</f>
        <v>132299</v>
      </c>
      <c r="F55" s="803">
        <v>-350829</v>
      </c>
      <c r="G55" s="803">
        <v>-177092</v>
      </c>
      <c r="I55" s="781">
        <v>308920</v>
      </c>
      <c r="J55" s="803">
        <v>137920</v>
      </c>
      <c r="K55" s="781">
        <v>33441</v>
      </c>
      <c r="L55" s="781">
        <v>0</v>
      </c>
      <c r="N55" s="781">
        <v>0</v>
      </c>
      <c r="O55" s="781">
        <v>0</v>
      </c>
      <c r="P55" s="781">
        <v>0</v>
      </c>
      <c r="Q55" s="781">
        <v>19406</v>
      </c>
      <c r="R55" s="781"/>
      <c r="S55" s="781">
        <v>11083</v>
      </c>
      <c r="T55" s="781">
        <v>-6206</v>
      </c>
      <c r="U55" s="781">
        <v>4877</v>
      </c>
    </row>
    <row r="56" spans="1:21" ht="15" customHeight="1" x14ac:dyDescent="0.25">
      <c r="A56" s="776">
        <v>21900</v>
      </c>
      <c r="B56" s="774" t="s">
        <v>841</v>
      </c>
      <c r="C56" s="779">
        <v>3.2499999999999999E-3</v>
      </c>
      <c r="D56" s="779">
        <v>3.2564999999999998E-3</v>
      </c>
      <c r="E56" s="781">
        <f>IFERROR(VLOOKUP(A56,'DIPNC Contributions 2018'!A:C,3,FALSE),0)</f>
        <v>80454</v>
      </c>
      <c r="F56" s="803">
        <v>-199037</v>
      </c>
      <c r="G56" s="803">
        <v>-98722</v>
      </c>
      <c r="I56" s="781">
        <v>172211</v>
      </c>
      <c r="J56" s="803">
        <v>76885</v>
      </c>
      <c r="K56" s="781">
        <v>18642</v>
      </c>
      <c r="L56" s="781">
        <v>10668</v>
      </c>
      <c r="N56" s="781">
        <v>0</v>
      </c>
      <c r="O56" s="781">
        <v>0</v>
      </c>
      <c r="P56" s="781">
        <v>0</v>
      </c>
      <c r="Q56" s="781">
        <v>0</v>
      </c>
      <c r="R56" s="781"/>
      <c r="S56" s="781">
        <v>6178</v>
      </c>
      <c r="T56" s="781">
        <v>3891</v>
      </c>
      <c r="U56" s="781">
        <v>10069</v>
      </c>
    </row>
    <row r="57" spans="1:21" ht="15" customHeight="1" x14ac:dyDescent="0.25">
      <c r="A57" s="776">
        <v>22000</v>
      </c>
      <c r="B57" s="774" t="s">
        <v>842</v>
      </c>
      <c r="C57" s="779">
        <v>3.0620999999999999E-3</v>
      </c>
      <c r="D57" s="779">
        <v>3.2236000000000001E-3</v>
      </c>
      <c r="E57" s="781">
        <f>IFERROR(VLOOKUP(A57,'DIPNC Contributions 2018'!A:C,3,FALSE),0)</f>
        <v>87832</v>
      </c>
      <c r="F57" s="803">
        <v>-197026</v>
      </c>
      <c r="G57" s="803">
        <v>-93014</v>
      </c>
      <c r="I57" s="781">
        <v>162255</v>
      </c>
      <c r="J57" s="803">
        <v>72440</v>
      </c>
      <c r="K57" s="781">
        <v>17564</v>
      </c>
      <c r="L57" s="781">
        <v>52739</v>
      </c>
      <c r="N57" s="781">
        <v>0</v>
      </c>
      <c r="O57" s="781">
        <v>0</v>
      </c>
      <c r="P57" s="781">
        <v>0</v>
      </c>
      <c r="Q57" s="781">
        <v>0</v>
      </c>
      <c r="R57" s="781"/>
      <c r="S57" s="781">
        <v>5821</v>
      </c>
      <c r="T57" s="781">
        <v>17520</v>
      </c>
      <c r="U57" s="781">
        <v>23341</v>
      </c>
    </row>
    <row r="58" spans="1:21" ht="15" customHeight="1" x14ac:dyDescent="0.25">
      <c r="A58" s="776">
        <v>23000</v>
      </c>
      <c r="B58" s="774" t="s">
        <v>843</v>
      </c>
      <c r="C58" s="779">
        <v>2.6072999999999999E-3</v>
      </c>
      <c r="D58" s="779">
        <v>2.6194999999999999E-3</v>
      </c>
      <c r="E58" s="781">
        <f>IFERROR(VLOOKUP(A58,'DIPNC Contributions 2018'!A:C,3,FALSE),0)</f>
        <v>59964</v>
      </c>
      <c r="F58" s="803">
        <v>-160104</v>
      </c>
      <c r="G58" s="803">
        <v>-79199</v>
      </c>
      <c r="I58" s="781">
        <v>138156</v>
      </c>
      <c r="J58" s="803">
        <v>61681</v>
      </c>
      <c r="K58" s="781">
        <v>14955</v>
      </c>
      <c r="L58" s="781">
        <v>95</v>
      </c>
      <c r="N58" s="781">
        <v>0</v>
      </c>
      <c r="O58" s="781">
        <v>0</v>
      </c>
      <c r="P58" s="781">
        <v>0</v>
      </c>
      <c r="Q58" s="781">
        <v>6556</v>
      </c>
      <c r="R58" s="781"/>
      <c r="S58" s="781">
        <v>4956</v>
      </c>
      <c r="T58" s="781">
        <v>-3262</v>
      </c>
      <c r="U58" s="781">
        <v>1694</v>
      </c>
    </row>
    <row r="59" spans="1:21" ht="15" customHeight="1" x14ac:dyDescent="0.25">
      <c r="A59" s="776">
        <v>23100</v>
      </c>
      <c r="B59" s="774" t="s">
        <v>844</v>
      </c>
      <c r="C59" s="779">
        <v>1.5203599999999999E-2</v>
      </c>
      <c r="D59" s="779">
        <v>1.5039200000000001E-2</v>
      </c>
      <c r="E59" s="781">
        <f>IFERROR(VLOOKUP(A59,'DIPNC Contributions 2018'!A:C,3,FALSE),0)</f>
        <v>357428</v>
      </c>
      <c r="F59" s="803">
        <v>-919196</v>
      </c>
      <c r="G59" s="803">
        <v>-461825</v>
      </c>
      <c r="I59" s="781">
        <v>805608</v>
      </c>
      <c r="J59" s="803">
        <v>359672</v>
      </c>
      <c r="K59" s="781">
        <v>87208</v>
      </c>
      <c r="L59" s="781">
        <v>0</v>
      </c>
      <c r="N59" s="781">
        <v>0</v>
      </c>
      <c r="O59" s="781">
        <v>0</v>
      </c>
      <c r="P59" s="781">
        <v>0</v>
      </c>
      <c r="Q59" s="781">
        <v>55769</v>
      </c>
      <c r="R59" s="781"/>
      <c r="S59" s="781">
        <v>28902</v>
      </c>
      <c r="T59" s="781">
        <v>-24145</v>
      </c>
      <c r="U59" s="781">
        <v>4757</v>
      </c>
    </row>
    <row r="60" spans="1:21" ht="15" customHeight="1" x14ac:dyDescent="0.25">
      <c r="A60" s="776">
        <v>23200</v>
      </c>
      <c r="B60" s="774" t="s">
        <v>845</v>
      </c>
      <c r="C60" s="779">
        <v>7.8347999999999994E-3</v>
      </c>
      <c r="D60" s="779">
        <v>7.6874999999999999E-3</v>
      </c>
      <c r="E60" s="781">
        <f>IFERROR(VLOOKUP(A60,'DIPNC Contributions 2018'!A:C,3,FALSE),0)</f>
        <v>189830</v>
      </c>
      <c r="F60" s="803">
        <v>-469860</v>
      </c>
      <c r="G60" s="803">
        <v>-237990</v>
      </c>
      <c r="I60" s="781">
        <v>415150</v>
      </c>
      <c r="J60" s="803">
        <v>185348</v>
      </c>
      <c r="K60" s="781">
        <v>44940</v>
      </c>
      <c r="L60" s="781">
        <v>0</v>
      </c>
      <c r="N60" s="781">
        <v>0</v>
      </c>
      <c r="O60" s="781">
        <v>0</v>
      </c>
      <c r="P60" s="781">
        <v>0</v>
      </c>
      <c r="Q60" s="781">
        <v>18022</v>
      </c>
      <c r="R60" s="781"/>
      <c r="S60" s="781">
        <v>14894</v>
      </c>
      <c r="T60" s="781">
        <v>-7064</v>
      </c>
      <c r="U60" s="781">
        <v>7830</v>
      </c>
    </row>
    <row r="61" spans="1:21" ht="15" customHeight="1" x14ac:dyDescent="0.25">
      <c r="A61" s="776">
        <v>30000</v>
      </c>
      <c r="B61" s="774" t="s">
        <v>846</v>
      </c>
      <c r="C61" s="779">
        <v>8.3569999999999998E-4</v>
      </c>
      <c r="D61" s="779">
        <v>8.7909999999999996E-4</v>
      </c>
      <c r="E61" s="781">
        <f>IFERROR(VLOOKUP(A61,'DIPNC Contributions 2018'!A:C,3,FALSE),0)</f>
        <v>19328</v>
      </c>
      <c r="F61" s="803">
        <v>-53731</v>
      </c>
      <c r="G61" s="803">
        <v>-25385</v>
      </c>
      <c r="I61" s="781">
        <v>44282</v>
      </c>
      <c r="J61" s="803">
        <v>19770</v>
      </c>
      <c r="K61" s="781">
        <v>4794</v>
      </c>
      <c r="L61" s="781">
        <v>3213</v>
      </c>
      <c r="N61" s="781">
        <v>0</v>
      </c>
      <c r="O61" s="781">
        <v>0</v>
      </c>
      <c r="P61" s="781">
        <v>0</v>
      </c>
      <c r="Q61" s="781">
        <v>304</v>
      </c>
      <c r="R61" s="781"/>
      <c r="S61" s="781">
        <v>1589</v>
      </c>
      <c r="T61" s="781">
        <v>383</v>
      </c>
      <c r="U61" s="781">
        <v>1972</v>
      </c>
    </row>
    <row r="62" spans="1:21" ht="15" customHeight="1" x14ac:dyDescent="0.25">
      <c r="A62" s="776">
        <v>30100</v>
      </c>
      <c r="B62" s="774" t="s">
        <v>847</v>
      </c>
      <c r="C62" s="779">
        <v>7.4697000000000001E-3</v>
      </c>
      <c r="D62" s="779">
        <v>7.5632E-3</v>
      </c>
      <c r="E62" s="781">
        <f>IFERROR(VLOOKUP(A62,'DIPNC Contributions 2018'!A:C,3,FALSE),0)</f>
        <v>163817</v>
      </c>
      <c r="F62" s="803">
        <v>-462263</v>
      </c>
      <c r="G62" s="803">
        <v>-226900</v>
      </c>
      <c r="I62" s="781">
        <v>395804</v>
      </c>
      <c r="J62" s="803">
        <v>176711</v>
      </c>
      <c r="K62" s="781">
        <v>42846</v>
      </c>
      <c r="L62" s="781">
        <v>0</v>
      </c>
      <c r="N62" s="781">
        <v>0</v>
      </c>
      <c r="O62" s="781">
        <v>0</v>
      </c>
      <c r="P62" s="781">
        <v>0</v>
      </c>
      <c r="Q62" s="781">
        <v>5762</v>
      </c>
      <c r="R62" s="781"/>
      <c r="S62" s="781">
        <v>14200</v>
      </c>
      <c r="T62" s="781">
        <v>-2221</v>
      </c>
      <c r="U62" s="781">
        <v>11979</v>
      </c>
    </row>
    <row r="63" spans="1:21" ht="15" customHeight="1" x14ac:dyDescent="0.25">
      <c r="A63" s="776">
        <v>30102</v>
      </c>
      <c r="B63" s="774" t="s">
        <v>848</v>
      </c>
      <c r="C63" s="779">
        <v>1.539E-4</v>
      </c>
      <c r="D63" s="779">
        <v>1.44E-4</v>
      </c>
      <c r="E63" s="781">
        <f>IFERROR(VLOOKUP(A63,'DIPNC Contributions 2018'!A:C,3,FALSE),0)</f>
        <v>3009</v>
      </c>
      <c r="F63" s="803">
        <v>-8801</v>
      </c>
      <c r="G63" s="803">
        <v>-4675</v>
      </c>
      <c r="I63" s="781">
        <v>8155</v>
      </c>
      <c r="J63" s="803">
        <v>3641</v>
      </c>
      <c r="K63" s="781">
        <v>883</v>
      </c>
      <c r="L63" s="781">
        <v>0</v>
      </c>
      <c r="N63" s="781">
        <v>0</v>
      </c>
      <c r="O63" s="781">
        <v>0</v>
      </c>
      <c r="P63" s="781">
        <v>0</v>
      </c>
      <c r="Q63" s="781">
        <v>1856</v>
      </c>
      <c r="R63" s="781"/>
      <c r="S63" s="781">
        <v>293</v>
      </c>
      <c r="T63" s="781">
        <v>-501</v>
      </c>
      <c r="U63" s="781">
        <v>-208</v>
      </c>
    </row>
    <row r="64" spans="1:21" ht="15" customHeight="1" x14ac:dyDescent="0.25">
      <c r="A64" s="776">
        <v>30103</v>
      </c>
      <c r="B64" s="774" t="s">
        <v>849</v>
      </c>
      <c r="C64" s="779">
        <v>2.0110000000000001E-4</v>
      </c>
      <c r="D64" s="779">
        <v>1.8780000000000001E-4</v>
      </c>
      <c r="E64" s="781">
        <f>IFERROR(VLOOKUP(A64,'DIPNC Contributions 2018'!A:C,3,FALSE),0)</f>
        <v>3903</v>
      </c>
      <c r="F64" s="803">
        <v>-11478</v>
      </c>
      <c r="G64" s="803">
        <v>-6109</v>
      </c>
      <c r="I64" s="781">
        <v>10656</v>
      </c>
      <c r="J64" s="803">
        <v>4757</v>
      </c>
      <c r="K64" s="781">
        <v>1154</v>
      </c>
      <c r="L64" s="781">
        <v>0</v>
      </c>
      <c r="N64" s="781">
        <v>0</v>
      </c>
      <c r="O64" s="781">
        <v>0</v>
      </c>
      <c r="P64" s="781">
        <v>0</v>
      </c>
      <c r="Q64" s="781">
        <v>2872</v>
      </c>
      <c r="R64" s="781"/>
      <c r="S64" s="781">
        <v>382</v>
      </c>
      <c r="T64" s="781">
        <v>-861</v>
      </c>
      <c r="U64" s="781">
        <v>-479</v>
      </c>
    </row>
    <row r="65" spans="1:21" ht="15" customHeight="1" x14ac:dyDescent="0.25">
      <c r="A65" s="776">
        <v>30104</v>
      </c>
      <c r="B65" s="774" t="s">
        <v>850</v>
      </c>
      <c r="C65" s="779">
        <v>1.2300000000000001E-4</v>
      </c>
      <c r="D65" s="779">
        <v>1.206E-4</v>
      </c>
      <c r="E65" s="781">
        <f>IFERROR(VLOOKUP(A65,'DIPNC Contributions 2018'!A:C,3,FALSE),0)</f>
        <v>2031</v>
      </c>
      <c r="F65" s="803">
        <v>-7371</v>
      </c>
      <c r="G65" s="803">
        <v>-3736</v>
      </c>
      <c r="I65" s="781">
        <v>6518</v>
      </c>
      <c r="J65" s="803">
        <v>2910</v>
      </c>
      <c r="K65" s="781">
        <v>706</v>
      </c>
      <c r="L65" s="781">
        <v>0</v>
      </c>
      <c r="N65" s="781">
        <v>0</v>
      </c>
      <c r="O65" s="781">
        <v>0</v>
      </c>
      <c r="P65" s="781">
        <v>0</v>
      </c>
      <c r="Q65" s="781">
        <v>2589</v>
      </c>
      <c r="R65" s="781"/>
      <c r="S65" s="781">
        <v>234</v>
      </c>
      <c r="T65" s="781">
        <v>-990</v>
      </c>
      <c r="U65" s="781">
        <v>-756</v>
      </c>
    </row>
    <row r="66" spans="1:21" ht="15" customHeight="1" x14ac:dyDescent="0.25">
      <c r="A66" s="776">
        <v>30105</v>
      </c>
      <c r="B66" s="774" t="s">
        <v>851</v>
      </c>
      <c r="C66" s="779">
        <v>8.1340000000000004E-4</v>
      </c>
      <c r="D66" s="779">
        <v>8.0239999999999999E-4</v>
      </c>
      <c r="E66" s="781">
        <f>IFERROR(VLOOKUP(A66,'DIPNC Contributions 2018'!A:C,3,FALSE),0)</f>
        <v>19644</v>
      </c>
      <c r="F66" s="803">
        <v>-49043</v>
      </c>
      <c r="G66" s="803">
        <v>-24708</v>
      </c>
      <c r="I66" s="781">
        <v>43100</v>
      </c>
      <c r="J66" s="803">
        <v>19243</v>
      </c>
      <c r="K66" s="781">
        <v>4666</v>
      </c>
      <c r="L66" s="781">
        <v>0</v>
      </c>
      <c r="N66" s="781">
        <v>0</v>
      </c>
      <c r="O66" s="781">
        <v>0</v>
      </c>
      <c r="P66" s="781">
        <v>0</v>
      </c>
      <c r="Q66" s="781">
        <v>732</v>
      </c>
      <c r="R66" s="781"/>
      <c r="S66" s="781">
        <v>1546</v>
      </c>
      <c r="T66" s="781">
        <v>-257</v>
      </c>
      <c r="U66" s="781">
        <v>1289</v>
      </c>
    </row>
    <row r="67" spans="1:21" ht="15" customHeight="1" x14ac:dyDescent="0.25">
      <c r="A67" s="776">
        <v>30200</v>
      </c>
      <c r="B67" s="774" t="s">
        <v>852</v>
      </c>
      <c r="C67" s="779">
        <v>1.7237000000000001E-3</v>
      </c>
      <c r="D67" s="779">
        <v>1.7181E-3</v>
      </c>
      <c r="E67" s="781">
        <f>IFERROR(VLOOKUP(A67,'DIPNC Contributions 2018'!A:C,3,FALSE),0)</f>
        <v>39423</v>
      </c>
      <c r="F67" s="803">
        <v>-105010</v>
      </c>
      <c r="G67" s="803">
        <v>-52359</v>
      </c>
      <c r="I67" s="781">
        <v>91335</v>
      </c>
      <c r="J67" s="803">
        <v>40778</v>
      </c>
      <c r="K67" s="781">
        <v>9887</v>
      </c>
      <c r="L67" s="781">
        <v>0</v>
      </c>
      <c r="N67" s="781">
        <v>0</v>
      </c>
      <c r="O67" s="781">
        <v>0</v>
      </c>
      <c r="P67" s="781">
        <v>0</v>
      </c>
      <c r="Q67" s="781">
        <v>1518</v>
      </c>
      <c r="R67" s="781"/>
      <c r="S67" s="781">
        <v>3277</v>
      </c>
      <c r="T67" s="781">
        <v>-361</v>
      </c>
      <c r="U67" s="781">
        <v>2916</v>
      </c>
    </row>
    <row r="68" spans="1:21" ht="15" customHeight="1" x14ac:dyDescent="0.25">
      <c r="A68" s="776">
        <v>30300</v>
      </c>
      <c r="B68" s="774" t="s">
        <v>853</v>
      </c>
      <c r="C68" s="779">
        <v>5.5539999999999995E-4</v>
      </c>
      <c r="D68" s="779">
        <v>5.5369999999999996E-4</v>
      </c>
      <c r="E68" s="781">
        <f>IFERROR(VLOOKUP(A68,'DIPNC Contributions 2018'!A:C,3,FALSE),0)</f>
        <v>12901</v>
      </c>
      <c r="F68" s="803">
        <v>-33842</v>
      </c>
      <c r="G68" s="803">
        <v>-16871</v>
      </c>
      <c r="I68" s="781">
        <v>29430</v>
      </c>
      <c r="J68" s="803">
        <v>13139</v>
      </c>
      <c r="K68" s="781">
        <v>3186</v>
      </c>
      <c r="L68" s="781">
        <v>1768</v>
      </c>
      <c r="N68" s="781">
        <v>0</v>
      </c>
      <c r="O68" s="781">
        <v>0</v>
      </c>
      <c r="P68" s="781">
        <v>0</v>
      </c>
      <c r="Q68" s="781">
        <v>207</v>
      </c>
      <c r="R68" s="781"/>
      <c r="S68" s="781">
        <v>1056</v>
      </c>
      <c r="T68" s="781">
        <v>850</v>
      </c>
      <c r="U68" s="781">
        <v>1906</v>
      </c>
    </row>
    <row r="69" spans="1:21" ht="15" customHeight="1" x14ac:dyDescent="0.25">
      <c r="A69" s="776">
        <v>30400</v>
      </c>
      <c r="B69" s="774" t="s">
        <v>854</v>
      </c>
      <c r="C69" s="779">
        <v>1.0134E-3</v>
      </c>
      <c r="D69" s="779">
        <v>1.0666E-3</v>
      </c>
      <c r="E69" s="781">
        <f>IFERROR(VLOOKUP(A69,'DIPNC Contributions 2018'!A:C,3,FALSE),0)</f>
        <v>25796</v>
      </c>
      <c r="F69" s="803">
        <v>-65191</v>
      </c>
      <c r="G69" s="803">
        <v>-30783</v>
      </c>
      <c r="I69" s="781">
        <v>53698</v>
      </c>
      <c r="J69" s="803">
        <v>23974</v>
      </c>
      <c r="K69" s="781">
        <v>5813</v>
      </c>
      <c r="L69" s="781">
        <v>9809</v>
      </c>
      <c r="N69" s="781">
        <v>0</v>
      </c>
      <c r="O69" s="781">
        <v>0</v>
      </c>
      <c r="P69" s="781">
        <v>0</v>
      </c>
      <c r="Q69" s="781">
        <v>0</v>
      </c>
      <c r="R69" s="781"/>
      <c r="S69" s="781">
        <v>1926</v>
      </c>
      <c r="T69" s="781">
        <v>2917</v>
      </c>
      <c r="U69" s="781">
        <v>4843</v>
      </c>
    </row>
    <row r="70" spans="1:21" ht="15" customHeight="1" x14ac:dyDescent="0.25">
      <c r="A70" s="776">
        <v>30405</v>
      </c>
      <c r="B70" s="774" t="s">
        <v>855</v>
      </c>
      <c r="C70" s="779">
        <v>6.7270000000000003E-4</v>
      </c>
      <c r="D70" s="779">
        <v>7.4379999999999997E-4</v>
      </c>
      <c r="E70" s="781">
        <f>IFERROR(VLOOKUP(A70,'DIPNC Contributions 2018'!A:C,3,FALSE),0)</f>
        <v>15214</v>
      </c>
      <c r="F70" s="803">
        <v>-45461</v>
      </c>
      <c r="G70" s="803">
        <v>-20434</v>
      </c>
      <c r="I70" s="781">
        <v>35645</v>
      </c>
      <c r="J70" s="803">
        <v>15914</v>
      </c>
      <c r="K70" s="781">
        <v>3859</v>
      </c>
      <c r="L70" s="781">
        <v>5121</v>
      </c>
      <c r="N70" s="781">
        <v>0</v>
      </c>
      <c r="O70" s="781">
        <v>0</v>
      </c>
      <c r="P70" s="781">
        <v>0</v>
      </c>
      <c r="Q70" s="781">
        <v>1043</v>
      </c>
      <c r="R70" s="781"/>
      <c r="S70" s="781">
        <v>1279</v>
      </c>
      <c r="T70" s="781">
        <v>331</v>
      </c>
      <c r="U70" s="781">
        <v>1610</v>
      </c>
    </row>
    <row r="71" spans="1:21" ht="15" customHeight="1" x14ac:dyDescent="0.25">
      <c r="A71" s="776">
        <v>30500</v>
      </c>
      <c r="B71" s="774" t="s">
        <v>856</v>
      </c>
      <c r="C71" s="779">
        <v>1.1007E-3</v>
      </c>
      <c r="D71" s="779">
        <v>1.1188000000000001E-3</v>
      </c>
      <c r="E71" s="781">
        <f>IFERROR(VLOOKUP(A71,'DIPNC Contributions 2018'!A:C,3,FALSE),0)</f>
        <v>25852</v>
      </c>
      <c r="F71" s="803">
        <v>-68381</v>
      </c>
      <c r="G71" s="803">
        <v>-33435</v>
      </c>
      <c r="I71" s="781">
        <v>58324</v>
      </c>
      <c r="J71" s="803">
        <v>26039</v>
      </c>
      <c r="K71" s="781">
        <v>6314</v>
      </c>
      <c r="L71" s="781">
        <v>3079</v>
      </c>
      <c r="N71" s="781">
        <v>0</v>
      </c>
      <c r="O71" s="781">
        <v>0</v>
      </c>
      <c r="P71" s="781">
        <v>0</v>
      </c>
      <c r="Q71" s="781">
        <v>0</v>
      </c>
      <c r="R71" s="781"/>
      <c r="S71" s="781">
        <v>2092</v>
      </c>
      <c r="T71" s="781">
        <v>1035</v>
      </c>
      <c r="U71" s="781">
        <v>3127</v>
      </c>
    </row>
    <row r="72" spans="1:21" ht="15" customHeight="1" x14ac:dyDescent="0.25">
      <c r="A72" s="776">
        <v>30600</v>
      </c>
      <c r="B72" s="774" t="s">
        <v>857</v>
      </c>
      <c r="C72" s="779">
        <v>8.4539999999999995E-4</v>
      </c>
      <c r="D72" s="779">
        <v>8.6399999999999997E-4</v>
      </c>
      <c r="E72" s="781">
        <f>IFERROR(VLOOKUP(A72,'DIPNC Contributions 2018'!A:C,3,FALSE),0)</f>
        <v>19529</v>
      </c>
      <c r="F72" s="803">
        <v>-52808</v>
      </c>
      <c r="G72" s="803">
        <v>-25680</v>
      </c>
      <c r="I72" s="781">
        <v>44796</v>
      </c>
      <c r="J72" s="803">
        <v>20000</v>
      </c>
      <c r="K72" s="781">
        <v>4849</v>
      </c>
      <c r="L72" s="781">
        <v>3086</v>
      </c>
      <c r="N72" s="781">
        <v>0</v>
      </c>
      <c r="O72" s="781">
        <v>0</v>
      </c>
      <c r="P72" s="781">
        <v>0</v>
      </c>
      <c r="Q72" s="781">
        <v>0</v>
      </c>
      <c r="R72" s="781"/>
      <c r="S72" s="781">
        <v>1607</v>
      </c>
      <c r="T72" s="781">
        <v>1125</v>
      </c>
      <c r="U72" s="781">
        <v>2732</v>
      </c>
    </row>
    <row r="73" spans="1:21" ht="15" customHeight="1" x14ac:dyDescent="0.25">
      <c r="A73" s="776">
        <v>30601</v>
      </c>
      <c r="B73" s="774" t="s">
        <v>858</v>
      </c>
      <c r="C73" s="779">
        <v>2.1100000000000001E-5</v>
      </c>
      <c r="D73" s="779">
        <v>2.02E-5</v>
      </c>
      <c r="E73" s="781">
        <f>IFERROR(VLOOKUP(A73,'DIPNC Contributions 2018'!A:C,3,FALSE),0)</f>
        <v>435</v>
      </c>
      <c r="F73" s="803">
        <v>-1235</v>
      </c>
      <c r="G73" s="803">
        <v>-641</v>
      </c>
      <c r="I73" s="781">
        <v>1118</v>
      </c>
      <c r="J73" s="803">
        <v>499</v>
      </c>
      <c r="K73" s="781">
        <v>121</v>
      </c>
      <c r="L73" s="781">
        <v>0</v>
      </c>
      <c r="N73" s="781">
        <v>0</v>
      </c>
      <c r="O73" s="781">
        <v>0</v>
      </c>
      <c r="P73" s="781">
        <v>0</v>
      </c>
      <c r="Q73" s="781">
        <v>132</v>
      </c>
      <c r="R73" s="781"/>
      <c r="S73" s="781">
        <v>40</v>
      </c>
      <c r="T73" s="781">
        <v>-26</v>
      </c>
      <c r="U73" s="781">
        <v>14</v>
      </c>
    </row>
    <row r="74" spans="1:21" ht="15" customHeight="1" x14ac:dyDescent="0.25">
      <c r="A74" s="776">
        <v>30700</v>
      </c>
      <c r="B74" s="774" t="s">
        <v>859</v>
      </c>
      <c r="C74" s="779">
        <v>2.2227000000000002E-3</v>
      </c>
      <c r="D74" s="779">
        <v>2.2522000000000002E-3</v>
      </c>
      <c r="E74" s="781">
        <f>IFERROR(VLOOKUP(A74,'DIPNC Contributions 2018'!A:C,3,FALSE),0)</f>
        <v>52053</v>
      </c>
      <c r="F74" s="803">
        <v>-137654</v>
      </c>
      <c r="G74" s="803">
        <v>-67517</v>
      </c>
      <c r="I74" s="781">
        <v>117776</v>
      </c>
      <c r="J74" s="803">
        <v>52582</v>
      </c>
      <c r="K74" s="781">
        <v>12749</v>
      </c>
      <c r="L74" s="781">
        <v>5254</v>
      </c>
      <c r="N74" s="781">
        <v>0</v>
      </c>
      <c r="O74" s="781">
        <v>0</v>
      </c>
      <c r="P74" s="781">
        <v>0</v>
      </c>
      <c r="Q74" s="781">
        <v>0</v>
      </c>
      <c r="R74" s="781"/>
      <c r="S74" s="781">
        <v>4225</v>
      </c>
      <c r="T74" s="781">
        <v>1835</v>
      </c>
      <c r="U74" s="781">
        <v>6060</v>
      </c>
    </row>
    <row r="75" spans="1:21" ht="15" customHeight="1" x14ac:dyDescent="0.25">
      <c r="A75" s="776">
        <v>30705</v>
      </c>
      <c r="B75" s="774" t="s">
        <v>860</v>
      </c>
      <c r="C75" s="779">
        <v>4.1389999999999998E-4</v>
      </c>
      <c r="D75" s="779">
        <v>4.283E-4</v>
      </c>
      <c r="E75" s="781">
        <f>IFERROR(VLOOKUP(A75,'DIPNC Contributions 2018'!A:C,3,FALSE),0)</f>
        <v>9838</v>
      </c>
      <c r="F75" s="803">
        <v>-26178</v>
      </c>
      <c r="G75" s="803">
        <v>-12573</v>
      </c>
      <c r="I75" s="781">
        <v>21932</v>
      </c>
      <c r="J75" s="803">
        <v>9792</v>
      </c>
      <c r="K75" s="781">
        <v>2374</v>
      </c>
      <c r="L75" s="781">
        <v>3192</v>
      </c>
      <c r="N75" s="781">
        <v>0</v>
      </c>
      <c r="O75" s="781">
        <v>0</v>
      </c>
      <c r="P75" s="781">
        <v>0</v>
      </c>
      <c r="Q75" s="781">
        <v>0</v>
      </c>
      <c r="R75" s="781"/>
      <c r="S75" s="781">
        <v>787</v>
      </c>
      <c r="T75" s="781">
        <v>1176</v>
      </c>
      <c r="U75" s="781">
        <v>1963</v>
      </c>
    </row>
    <row r="76" spans="1:21" ht="15" customHeight="1" x14ac:dyDescent="0.25">
      <c r="A76" s="776">
        <v>30800</v>
      </c>
      <c r="B76" s="774" t="s">
        <v>861</v>
      </c>
      <c r="C76" s="779">
        <v>7.4129999999999997E-4</v>
      </c>
      <c r="D76" s="779">
        <v>8.4210000000000003E-4</v>
      </c>
      <c r="E76" s="781">
        <f>IFERROR(VLOOKUP(A76,'DIPNC Contributions 2018'!A:C,3,FALSE),0)</f>
        <v>18673</v>
      </c>
      <c r="F76" s="803">
        <v>-51469</v>
      </c>
      <c r="G76" s="803">
        <v>-22518</v>
      </c>
      <c r="I76" s="781">
        <v>39280</v>
      </c>
      <c r="J76" s="803">
        <v>17537</v>
      </c>
      <c r="K76" s="781">
        <v>4252</v>
      </c>
      <c r="L76" s="781">
        <v>12672</v>
      </c>
      <c r="N76" s="781">
        <v>0</v>
      </c>
      <c r="O76" s="781">
        <v>0</v>
      </c>
      <c r="P76" s="781">
        <v>0</v>
      </c>
      <c r="Q76" s="781">
        <v>0</v>
      </c>
      <c r="R76" s="781"/>
      <c r="S76" s="781">
        <v>1409</v>
      </c>
      <c r="T76" s="781">
        <v>3325</v>
      </c>
      <c r="U76" s="781">
        <v>4734</v>
      </c>
    </row>
    <row r="77" spans="1:21" ht="15" customHeight="1" x14ac:dyDescent="0.25">
      <c r="A77" s="776">
        <v>30900</v>
      </c>
      <c r="B77" s="774" t="s">
        <v>862</v>
      </c>
      <c r="C77" s="779">
        <v>1.4385999999999999E-3</v>
      </c>
      <c r="D77" s="779">
        <v>1.4660000000000001E-3</v>
      </c>
      <c r="E77" s="781">
        <f>IFERROR(VLOOKUP(A77,'DIPNC Contributions 2018'!A:C,3,FALSE),0)</f>
        <v>35669</v>
      </c>
      <c r="F77" s="803">
        <v>-89602</v>
      </c>
      <c r="G77" s="803">
        <v>-43699</v>
      </c>
      <c r="I77" s="781">
        <v>76229</v>
      </c>
      <c r="J77" s="803">
        <v>34033</v>
      </c>
      <c r="K77" s="781">
        <v>8252</v>
      </c>
      <c r="L77" s="781">
        <v>8261</v>
      </c>
      <c r="N77" s="781">
        <v>0</v>
      </c>
      <c r="O77" s="781">
        <v>0</v>
      </c>
      <c r="P77" s="781">
        <v>0</v>
      </c>
      <c r="Q77" s="781">
        <v>0</v>
      </c>
      <c r="R77" s="781"/>
      <c r="S77" s="781">
        <v>2735</v>
      </c>
      <c r="T77" s="781">
        <v>2835</v>
      </c>
      <c r="U77" s="781">
        <v>5570</v>
      </c>
    </row>
    <row r="78" spans="1:21" ht="15" customHeight="1" x14ac:dyDescent="0.25">
      <c r="A78" s="776">
        <v>30905</v>
      </c>
      <c r="B78" s="774" t="s">
        <v>863</v>
      </c>
      <c r="C78" s="779">
        <v>2.7470000000000001E-4</v>
      </c>
      <c r="D78" s="779">
        <v>2.8459999999999998E-4</v>
      </c>
      <c r="E78" s="781">
        <f>IFERROR(VLOOKUP(A78,'DIPNC Contributions 2018'!A:C,3,FALSE),0)</f>
        <v>8332</v>
      </c>
      <c r="F78" s="803">
        <v>-17395</v>
      </c>
      <c r="G78" s="803">
        <v>-8344</v>
      </c>
      <c r="I78" s="781">
        <v>14556</v>
      </c>
      <c r="J78" s="803">
        <v>6499</v>
      </c>
      <c r="K78" s="781">
        <v>1576</v>
      </c>
      <c r="L78" s="781">
        <v>5427</v>
      </c>
      <c r="N78" s="781">
        <v>0</v>
      </c>
      <c r="O78" s="781">
        <v>0</v>
      </c>
      <c r="P78" s="781">
        <v>0</v>
      </c>
      <c r="Q78" s="781">
        <v>0</v>
      </c>
      <c r="R78" s="781"/>
      <c r="S78" s="781">
        <v>522</v>
      </c>
      <c r="T78" s="781">
        <v>1910</v>
      </c>
      <c r="U78" s="781">
        <v>2432</v>
      </c>
    </row>
    <row r="79" spans="1:21" ht="15" customHeight="1" x14ac:dyDescent="0.25">
      <c r="A79" s="776">
        <v>31000</v>
      </c>
      <c r="B79" s="774" t="s">
        <v>864</v>
      </c>
      <c r="C79" s="779">
        <v>4.3119999999999999E-3</v>
      </c>
      <c r="D79" s="779">
        <v>4.2398000000000002E-3</v>
      </c>
      <c r="E79" s="781">
        <f>IFERROR(VLOOKUP(A79,'DIPNC Contributions 2018'!A:C,3,FALSE),0)</f>
        <v>99322</v>
      </c>
      <c r="F79" s="803">
        <v>-259137</v>
      </c>
      <c r="G79" s="803">
        <v>-130981</v>
      </c>
      <c r="I79" s="781">
        <v>228484</v>
      </c>
      <c r="J79" s="803">
        <v>102009</v>
      </c>
      <c r="K79" s="781">
        <v>24734</v>
      </c>
      <c r="L79" s="781">
        <v>1779</v>
      </c>
      <c r="N79" s="781">
        <v>0</v>
      </c>
      <c r="O79" s="781">
        <v>0</v>
      </c>
      <c r="P79" s="781">
        <v>0</v>
      </c>
      <c r="Q79" s="781">
        <v>6939</v>
      </c>
      <c r="R79" s="781"/>
      <c r="S79" s="781">
        <v>8197</v>
      </c>
      <c r="T79" s="781">
        <v>-267</v>
      </c>
      <c r="U79" s="781">
        <v>7930</v>
      </c>
    </row>
    <row r="80" spans="1:21" ht="15" customHeight="1" x14ac:dyDescent="0.25">
      <c r="A80" s="776">
        <v>31005</v>
      </c>
      <c r="B80" s="774" t="s">
        <v>865</v>
      </c>
      <c r="C80" s="779">
        <v>3.8259999999999998E-4</v>
      </c>
      <c r="D80" s="779">
        <v>4.0259999999999997E-4</v>
      </c>
      <c r="E80" s="781">
        <f>IFERROR(VLOOKUP(A80,'DIPNC Contributions 2018'!A:C,3,FALSE),0)</f>
        <v>10639</v>
      </c>
      <c r="F80" s="803">
        <v>-24607</v>
      </c>
      <c r="G80" s="803">
        <v>-11622</v>
      </c>
      <c r="I80" s="781">
        <v>20273</v>
      </c>
      <c r="J80" s="803">
        <v>9051</v>
      </c>
      <c r="K80" s="781">
        <v>2195</v>
      </c>
      <c r="L80" s="781">
        <v>5630</v>
      </c>
      <c r="N80" s="781">
        <v>0</v>
      </c>
      <c r="O80" s="781">
        <v>0</v>
      </c>
      <c r="P80" s="781">
        <v>0</v>
      </c>
      <c r="Q80" s="781">
        <v>0</v>
      </c>
      <c r="R80" s="781"/>
      <c r="S80" s="781">
        <v>727</v>
      </c>
      <c r="T80" s="781">
        <v>1811</v>
      </c>
      <c r="U80" s="781">
        <v>2538</v>
      </c>
    </row>
    <row r="81" spans="1:21" ht="15" customHeight="1" x14ac:dyDescent="0.25">
      <c r="A81" s="776">
        <v>31100</v>
      </c>
      <c r="B81" s="774" t="s">
        <v>866</v>
      </c>
      <c r="C81" s="779">
        <v>8.8870000000000008E-3</v>
      </c>
      <c r="D81" s="779">
        <v>8.7551999999999994E-3</v>
      </c>
      <c r="E81" s="781">
        <f>IFERROR(VLOOKUP(A81,'DIPNC Contributions 2018'!A:C,3,FALSE),0)</f>
        <v>202327</v>
      </c>
      <c r="F81" s="803">
        <v>-535118</v>
      </c>
      <c r="G81" s="803">
        <v>-269952</v>
      </c>
      <c r="I81" s="781">
        <v>470904</v>
      </c>
      <c r="J81" s="803">
        <v>210240</v>
      </c>
      <c r="K81" s="781">
        <v>50976</v>
      </c>
      <c r="L81" s="781">
        <v>0</v>
      </c>
      <c r="N81" s="781">
        <v>0</v>
      </c>
      <c r="O81" s="781">
        <v>0</v>
      </c>
      <c r="P81" s="781">
        <v>0</v>
      </c>
      <c r="Q81" s="781">
        <v>19799</v>
      </c>
      <c r="R81" s="781"/>
      <c r="S81" s="781">
        <v>16894</v>
      </c>
      <c r="T81" s="781">
        <v>-4897</v>
      </c>
      <c r="U81" s="781">
        <v>11997</v>
      </c>
    </row>
    <row r="82" spans="1:21" ht="15" customHeight="1" x14ac:dyDescent="0.25">
      <c r="A82" s="776">
        <v>31101</v>
      </c>
      <c r="B82" s="774" t="s">
        <v>867</v>
      </c>
      <c r="C82" s="779">
        <v>5.8799999999999999E-5</v>
      </c>
      <c r="D82" s="779">
        <v>5.9700000000000001E-5</v>
      </c>
      <c r="E82" s="781">
        <f>IFERROR(VLOOKUP(A82,'DIPNC Contributions 2018'!A:C,3,FALSE),0)</f>
        <v>1139</v>
      </c>
      <c r="F82" s="803">
        <v>-3649</v>
      </c>
      <c r="G82" s="803">
        <v>-1786</v>
      </c>
      <c r="I82" s="781">
        <v>3116</v>
      </c>
      <c r="J82" s="803">
        <v>1391</v>
      </c>
      <c r="K82" s="781">
        <v>337</v>
      </c>
      <c r="L82" s="781">
        <v>0</v>
      </c>
      <c r="N82" s="781">
        <v>0</v>
      </c>
      <c r="O82" s="781">
        <v>0</v>
      </c>
      <c r="P82" s="781">
        <v>0</v>
      </c>
      <c r="Q82" s="781">
        <v>349</v>
      </c>
      <c r="R82" s="781"/>
      <c r="S82" s="781">
        <v>112</v>
      </c>
      <c r="T82" s="781">
        <v>-131</v>
      </c>
      <c r="U82" s="781">
        <v>-19</v>
      </c>
    </row>
    <row r="83" spans="1:21" ht="15" customHeight="1" x14ac:dyDescent="0.25">
      <c r="A83" s="776">
        <v>31102</v>
      </c>
      <c r="B83" s="774" t="s">
        <v>868</v>
      </c>
      <c r="C83" s="779">
        <v>1.5410000000000001E-4</v>
      </c>
      <c r="D83" s="779">
        <v>1.46E-4</v>
      </c>
      <c r="E83" s="781">
        <f>IFERROR(VLOOKUP(A83,'DIPNC Contributions 2018'!A:C,3,FALSE),0)</f>
        <v>2990</v>
      </c>
      <c r="F83" s="803">
        <v>-8924</v>
      </c>
      <c r="G83" s="803">
        <v>-4681</v>
      </c>
      <c r="I83" s="781">
        <v>8165</v>
      </c>
      <c r="J83" s="803">
        <v>3646</v>
      </c>
      <c r="K83" s="781">
        <v>884</v>
      </c>
      <c r="L83" s="781">
        <v>0</v>
      </c>
      <c r="N83" s="781">
        <v>0</v>
      </c>
      <c r="O83" s="781">
        <v>0</v>
      </c>
      <c r="P83" s="781">
        <v>0</v>
      </c>
      <c r="Q83" s="781">
        <v>2074</v>
      </c>
      <c r="R83" s="781"/>
      <c r="S83" s="781">
        <v>293</v>
      </c>
      <c r="T83" s="781">
        <v>-651</v>
      </c>
      <c r="U83" s="781">
        <v>-358</v>
      </c>
    </row>
    <row r="84" spans="1:21" ht="15" customHeight="1" x14ac:dyDescent="0.25">
      <c r="A84" s="776">
        <v>31105</v>
      </c>
      <c r="B84" s="774" t="s">
        <v>869</v>
      </c>
      <c r="C84" s="779">
        <v>1.4071999999999999E-3</v>
      </c>
      <c r="D84" s="779">
        <v>1.3917999999999999E-3</v>
      </c>
      <c r="E84" s="781">
        <f>IFERROR(VLOOKUP(A84,'DIPNC Contributions 2018'!A:C,3,FALSE),0)</f>
        <v>34129</v>
      </c>
      <c r="F84" s="803">
        <v>-85067</v>
      </c>
      <c r="G84" s="803">
        <v>-42745</v>
      </c>
      <c r="I84" s="781">
        <v>74565</v>
      </c>
      <c r="J84" s="803">
        <v>33290</v>
      </c>
      <c r="K84" s="781">
        <v>8072</v>
      </c>
      <c r="L84" s="781">
        <v>1043</v>
      </c>
      <c r="N84" s="781">
        <v>0</v>
      </c>
      <c r="O84" s="781">
        <v>0</v>
      </c>
      <c r="P84" s="781">
        <v>0</v>
      </c>
      <c r="Q84" s="781">
        <v>155</v>
      </c>
      <c r="R84" s="781"/>
      <c r="S84" s="781">
        <v>2675</v>
      </c>
      <c r="T84" s="781">
        <v>495</v>
      </c>
      <c r="U84" s="781">
        <v>3170</v>
      </c>
    </row>
    <row r="85" spans="1:21" ht="15" customHeight="1" x14ac:dyDescent="0.25">
      <c r="A85" s="776">
        <v>31110</v>
      </c>
      <c r="B85" s="774" t="s">
        <v>870</v>
      </c>
      <c r="C85" s="779">
        <v>2.1066000000000001E-3</v>
      </c>
      <c r="D85" s="779">
        <v>1.9932999999999999E-3</v>
      </c>
      <c r="E85" s="781">
        <f>IFERROR(VLOOKUP(A85,'DIPNC Contributions 2018'!A:C,3,FALSE),0)</f>
        <v>45773</v>
      </c>
      <c r="F85" s="803">
        <v>-121830</v>
      </c>
      <c r="G85" s="803">
        <v>-63990</v>
      </c>
      <c r="I85" s="781">
        <v>111625</v>
      </c>
      <c r="J85" s="803">
        <v>49836</v>
      </c>
      <c r="K85" s="781">
        <v>12083</v>
      </c>
      <c r="L85" s="781">
        <v>0</v>
      </c>
      <c r="N85" s="781">
        <v>0</v>
      </c>
      <c r="O85" s="781">
        <v>0</v>
      </c>
      <c r="P85" s="781">
        <v>0</v>
      </c>
      <c r="Q85" s="781">
        <v>13472</v>
      </c>
      <c r="R85" s="781"/>
      <c r="S85" s="781">
        <v>4005</v>
      </c>
      <c r="T85" s="781">
        <v>-2784</v>
      </c>
      <c r="U85" s="781">
        <v>1221</v>
      </c>
    </row>
    <row r="86" spans="1:21" ht="15" customHeight="1" x14ac:dyDescent="0.25">
      <c r="A86" s="776">
        <v>31200</v>
      </c>
      <c r="B86" s="774" t="s">
        <v>871</v>
      </c>
      <c r="C86" s="779">
        <v>3.8078999999999999E-3</v>
      </c>
      <c r="D86" s="779">
        <v>3.9153E-3</v>
      </c>
      <c r="E86" s="781">
        <f>IFERROR(VLOOKUP(A86,'DIPNC Contributions 2018'!A:C,3,FALSE),0)</f>
        <v>89574</v>
      </c>
      <c r="F86" s="803">
        <v>-239303</v>
      </c>
      <c r="G86" s="803">
        <v>-115669</v>
      </c>
      <c r="I86" s="781">
        <v>201773</v>
      </c>
      <c r="J86" s="803">
        <v>90083</v>
      </c>
      <c r="K86" s="781">
        <v>21842</v>
      </c>
      <c r="L86" s="781">
        <v>16296</v>
      </c>
      <c r="N86" s="781">
        <v>0</v>
      </c>
      <c r="O86" s="781">
        <v>0</v>
      </c>
      <c r="P86" s="781">
        <v>0</v>
      </c>
      <c r="Q86" s="781">
        <v>0</v>
      </c>
      <c r="R86" s="781"/>
      <c r="S86" s="781">
        <v>7239</v>
      </c>
      <c r="T86" s="781">
        <v>5196</v>
      </c>
      <c r="U86" s="781">
        <v>12435</v>
      </c>
    </row>
    <row r="87" spans="1:21" ht="15" customHeight="1" x14ac:dyDescent="0.25">
      <c r="A87" s="776">
        <v>31205</v>
      </c>
      <c r="B87" s="774" t="s">
        <v>872</v>
      </c>
      <c r="C87" s="779">
        <v>4.506E-4</v>
      </c>
      <c r="D87" s="779">
        <v>4.618E-4</v>
      </c>
      <c r="E87" s="781">
        <f>IFERROR(VLOOKUP(A87,'DIPNC Contributions 2018'!A:C,3,FALSE),0)</f>
        <v>11995</v>
      </c>
      <c r="F87" s="803">
        <v>-28225</v>
      </c>
      <c r="G87" s="803">
        <v>-13687</v>
      </c>
      <c r="I87" s="781">
        <v>23876</v>
      </c>
      <c r="J87" s="803">
        <v>10660</v>
      </c>
      <c r="K87" s="781">
        <v>2585</v>
      </c>
      <c r="L87" s="781">
        <v>5527</v>
      </c>
      <c r="N87" s="781">
        <v>0</v>
      </c>
      <c r="O87" s="781">
        <v>0</v>
      </c>
      <c r="P87" s="781">
        <v>0</v>
      </c>
      <c r="Q87" s="781">
        <v>0</v>
      </c>
      <c r="R87" s="781"/>
      <c r="S87" s="781">
        <v>857</v>
      </c>
      <c r="T87" s="781">
        <v>2054</v>
      </c>
      <c r="U87" s="781">
        <v>2911</v>
      </c>
    </row>
    <row r="88" spans="1:21" ht="15" customHeight="1" x14ac:dyDescent="0.25">
      <c r="A88" s="776">
        <v>31300</v>
      </c>
      <c r="B88" s="774" t="s">
        <v>873</v>
      </c>
      <c r="C88" s="779">
        <v>1.0881999999999999E-2</v>
      </c>
      <c r="D88" s="779">
        <v>1.07221E-2</v>
      </c>
      <c r="E88" s="781">
        <f>IFERROR(VLOOKUP(A88,'DIPNC Contributions 2018'!A:C,3,FALSE),0)</f>
        <v>230920</v>
      </c>
      <c r="F88" s="803">
        <v>-655335</v>
      </c>
      <c r="G88" s="803">
        <v>-330552</v>
      </c>
      <c r="I88" s="781">
        <v>576615</v>
      </c>
      <c r="J88" s="803">
        <v>257435</v>
      </c>
      <c r="K88" s="781">
        <v>62419</v>
      </c>
      <c r="L88" s="781">
        <v>0</v>
      </c>
      <c r="N88" s="781">
        <v>0</v>
      </c>
      <c r="O88" s="781">
        <v>0</v>
      </c>
      <c r="P88" s="781">
        <v>0</v>
      </c>
      <c r="Q88" s="781">
        <v>66287</v>
      </c>
      <c r="R88" s="781"/>
      <c r="S88" s="781">
        <v>20687</v>
      </c>
      <c r="T88" s="781">
        <v>-22249</v>
      </c>
      <c r="U88" s="781">
        <v>-1562</v>
      </c>
    </row>
    <row r="89" spans="1:21" ht="15" customHeight="1" x14ac:dyDescent="0.25">
      <c r="A89" s="776">
        <v>31301</v>
      </c>
      <c r="B89" s="774" t="s">
        <v>874</v>
      </c>
      <c r="C89" s="779">
        <v>2.4689999999999998E-4</v>
      </c>
      <c r="D89" s="779">
        <v>2.6640000000000002E-4</v>
      </c>
      <c r="E89" s="781">
        <f>IFERROR(VLOOKUP(A89,'DIPNC Contributions 2018'!A:C,3,FALSE),0)</f>
        <v>5063</v>
      </c>
      <c r="F89" s="803">
        <v>-16282</v>
      </c>
      <c r="G89" s="803">
        <v>-7500</v>
      </c>
      <c r="I89" s="781">
        <v>13083</v>
      </c>
      <c r="J89" s="803">
        <v>5841</v>
      </c>
      <c r="K89" s="781">
        <v>1416</v>
      </c>
      <c r="L89" s="781">
        <v>916</v>
      </c>
      <c r="N89" s="781">
        <v>0</v>
      </c>
      <c r="O89" s="781">
        <v>0</v>
      </c>
      <c r="P89" s="781">
        <v>0</v>
      </c>
      <c r="Q89" s="781">
        <v>3248</v>
      </c>
      <c r="R89" s="781"/>
      <c r="S89" s="781">
        <v>469</v>
      </c>
      <c r="T89" s="781">
        <v>-1471</v>
      </c>
      <c r="U89" s="781">
        <v>-1002</v>
      </c>
    </row>
    <row r="90" spans="1:21" ht="15" customHeight="1" x14ac:dyDescent="0.25">
      <c r="A90" s="776">
        <v>31320</v>
      </c>
      <c r="B90" s="774" t="s">
        <v>875</v>
      </c>
      <c r="C90" s="779">
        <v>1.9203E-3</v>
      </c>
      <c r="D90" s="779">
        <v>1.9375E-3</v>
      </c>
      <c r="E90" s="781">
        <f>IFERROR(VLOOKUP(A90,'DIPNC Contributions 2018'!A:C,3,FALSE),0)</f>
        <v>41105</v>
      </c>
      <c r="F90" s="803">
        <v>-118420</v>
      </c>
      <c r="G90" s="803">
        <v>-58331</v>
      </c>
      <c r="I90" s="781">
        <v>101753</v>
      </c>
      <c r="J90" s="803">
        <v>45429</v>
      </c>
      <c r="K90" s="781">
        <v>11015</v>
      </c>
      <c r="L90" s="781">
        <v>0</v>
      </c>
      <c r="N90" s="781">
        <v>0</v>
      </c>
      <c r="O90" s="781">
        <v>0</v>
      </c>
      <c r="P90" s="781">
        <v>0</v>
      </c>
      <c r="Q90" s="781">
        <v>6004</v>
      </c>
      <c r="R90" s="781"/>
      <c r="S90" s="781">
        <v>3650</v>
      </c>
      <c r="T90" s="781">
        <v>-2365</v>
      </c>
      <c r="U90" s="781">
        <v>1285</v>
      </c>
    </row>
    <row r="91" spans="1:21" ht="15" customHeight="1" x14ac:dyDescent="0.25">
      <c r="A91" s="776">
        <v>31400</v>
      </c>
      <c r="B91" s="774" t="s">
        <v>876</v>
      </c>
      <c r="C91" s="779">
        <v>4.0136E-3</v>
      </c>
      <c r="D91" s="779">
        <v>4.0455999999999999E-3</v>
      </c>
      <c r="E91" s="781">
        <f>IFERROR(VLOOKUP(A91,'DIPNC Contributions 2018'!A:C,3,FALSE),0)</f>
        <v>94519</v>
      </c>
      <c r="F91" s="803">
        <v>-247267</v>
      </c>
      <c r="G91" s="803">
        <v>-121917</v>
      </c>
      <c r="I91" s="781">
        <v>212673</v>
      </c>
      <c r="J91" s="803">
        <v>94950</v>
      </c>
      <c r="K91" s="781">
        <v>23022</v>
      </c>
      <c r="L91" s="781">
        <v>7109</v>
      </c>
      <c r="N91" s="781">
        <v>0</v>
      </c>
      <c r="O91" s="781">
        <v>0</v>
      </c>
      <c r="P91" s="781">
        <v>0</v>
      </c>
      <c r="Q91" s="781">
        <v>0</v>
      </c>
      <c r="R91" s="781"/>
      <c r="S91" s="781">
        <v>7630</v>
      </c>
      <c r="T91" s="781">
        <v>2529</v>
      </c>
      <c r="U91" s="781">
        <v>10159</v>
      </c>
    </row>
    <row r="92" spans="1:21" ht="15" customHeight="1" x14ac:dyDescent="0.25">
      <c r="A92" s="776">
        <v>31405</v>
      </c>
      <c r="B92" s="774" t="s">
        <v>877</v>
      </c>
      <c r="C92" s="779">
        <v>8.0000000000000004E-4</v>
      </c>
      <c r="D92" s="779">
        <v>7.8370000000000002E-4</v>
      </c>
      <c r="E92" s="781">
        <f>IFERROR(VLOOKUP(A92,'DIPNC Contributions 2018'!A:C,3,FALSE),0)</f>
        <v>21314</v>
      </c>
      <c r="F92" s="803">
        <v>-47900</v>
      </c>
      <c r="G92" s="803">
        <v>-24301</v>
      </c>
      <c r="I92" s="781">
        <v>42390</v>
      </c>
      <c r="J92" s="803">
        <v>18926</v>
      </c>
      <c r="K92" s="781">
        <v>4589</v>
      </c>
      <c r="L92" s="781">
        <v>6301</v>
      </c>
      <c r="N92" s="781">
        <v>0</v>
      </c>
      <c r="O92" s="781">
        <v>0</v>
      </c>
      <c r="P92" s="781">
        <v>0</v>
      </c>
      <c r="Q92" s="781">
        <v>0</v>
      </c>
      <c r="R92" s="781"/>
      <c r="S92" s="781">
        <v>1521</v>
      </c>
      <c r="T92" s="781">
        <v>2830</v>
      </c>
      <c r="U92" s="781">
        <v>4351</v>
      </c>
    </row>
    <row r="93" spans="1:21" ht="15" customHeight="1" x14ac:dyDescent="0.25">
      <c r="A93" s="776">
        <v>31500</v>
      </c>
      <c r="B93" s="774" t="s">
        <v>878</v>
      </c>
      <c r="C93" s="779">
        <v>6.0899999999999995E-4</v>
      </c>
      <c r="D93" s="779">
        <v>6.1010000000000003E-4</v>
      </c>
      <c r="E93" s="781">
        <f>IFERROR(VLOOKUP(A93,'DIPNC Contributions 2018'!A:C,3,FALSE),0)</f>
        <v>15118</v>
      </c>
      <c r="F93" s="803">
        <v>-37289</v>
      </c>
      <c r="G93" s="803">
        <v>-18499</v>
      </c>
      <c r="I93" s="781">
        <v>32270</v>
      </c>
      <c r="J93" s="803">
        <v>14407</v>
      </c>
      <c r="K93" s="781">
        <v>3493</v>
      </c>
      <c r="L93" s="781">
        <v>2640</v>
      </c>
      <c r="N93" s="781">
        <v>0</v>
      </c>
      <c r="O93" s="781">
        <v>0</v>
      </c>
      <c r="P93" s="781">
        <v>0</v>
      </c>
      <c r="Q93" s="781">
        <v>0</v>
      </c>
      <c r="R93" s="781"/>
      <c r="S93" s="781">
        <v>1158</v>
      </c>
      <c r="T93" s="781">
        <v>1040</v>
      </c>
      <c r="U93" s="781">
        <v>2198</v>
      </c>
    </row>
    <row r="94" spans="1:21" ht="15" customHeight="1" x14ac:dyDescent="0.25">
      <c r="A94" s="776">
        <v>31600</v>
      </c>
      <c r="B94" s="774" t="s">
        <v>879</v>
      </c>
      <c r="C94" s="779">
        <v>2.8311E-3</v>
      </c>
      <c r="D94" s="779">
        <v>2.8373999999999999E-3</v>
      </c>
      <c r="E94" s="781">
        <f>IFERROR(VLOOKUP(A94,'DIPNC Contributions 2018'!A:C,3,FALSE),0)</f>
        <v>65811</v>
      </c>
      <c r="F94" s="803">
        <v>-173422</v>
      </c>
      <c r="G94" s="803">
        <v>-85997</v>
      </c>
      <c r="I94" s="781">
        <v>150014</v>
      </c>
      <c r="J94" s="803">
        <v>66975</v>
      </c>
      <c r="K94" s="781">
        <v>16239</v>
      </c>
      <c r="L94" s="781">
        <v>3191</v>
      </c>
      <c r="N94" s="781">
        <v>0</v>
      </c>
      <c r="O94" s="781">
        <v>0</v>
      </c>
      <c r="P94" s="781">
        <v>0</v>
      </c>
      <c r="Q94" s="781">
        <v>0</v>
      </c>
      <c r="R94" s="781"/>
      <c r="S94" s="781">
        <v>5382</v>
      </c>
      <c r="T94" s="781">
        <v>1543</v>
      </c>
      <c r="U94" s="781">
        <v>6925</v>
      </c>
    </row>
    <row r="95" spans="1:21" ht="15" customHeight="1" x14ac:dyDescent="0.25">
      <c r="A95" s="776">
        <v>31605</v>
      </c>
      <c r="B95" s="774" t="s">
        <v>881</v>
      </c>
      <c r="C95" s="779">
        <v>4.0309999999999999E-4</v>
      </c>
      <c r="D95" s="779">
        <v>4.2200000000000001E-4</v>
      </c>
      <c r="E95" s="781">
        <f>IFERROR(VLOOKUP(A95,'DIPNC Contributions 2018'!A:C,3,FALSE),0)</f>
        <v>10697</v>
      </c>
      <c r="F95" s="803">
        <v>-25793</v>
      </c>
      <c r="G95" s="803">
        <v>-12245</v>
      </c>
      <c r="I95" s="781">
        <v>21359</v>
      </c>
      <c r="J95" s="803">
        <v>9536</v>
      </c>
      <c r="K95" s="781">
        <v>2312</v>
      </c>
      <c r="L95" s="781">
        <v>3618</v>
      </c>
      <c r="N95" s="781">
        <v>0</v>
      </c>
      <c r="O95" s="781">
        <v>0</v>
      </c>
      <c r="P95" s="781">
        <v>0</v>
      </c>
      <c r="Q95" s="781">
        <v>0</v>
      </c>
      <c r="R95" s="781"/>
      <c r="S95" s="781">
        <v>766</v>
      </c>
      <c r="T95" s="781">
        <v>953</v>
      </c>
      <c r="U95" s="781">
        <v>1719</v>
      </c>
    </row>
    <row r="96" spans="1:21" ht="15" customHeight="1" x14ac:dyDescent="0.25">
      <c r="A96" s="776">
        <v>31700</v>
      </c>
      <c r="B96" s="774" t="s">
        <v>882</v>
      </c>
      <c r="C96" s="779">
        <v>8.9260000000000001E-4</v>
      </c>
      <c r="D96" s="779">
        <v>8.6319999999999995E-4</v>
      </c>
      <c r="E96" s="781">
        <f>IFERROR(VLOOKUP(A96,'DIPNC Contributions 2018'!A:C,3,FALSE),0)</f>
        <v>21188</v>
      </c>
      <c r="F96" s="803">
        <v>-52759</v>
      </c>
      <c r="G96" s="803">
        <v>-27114</v>
      </c>
      <c r="I96" s="781">
        <v>47297</v>
      </c>
      <c r="J96" s="803">
        <v>21116</v>
      </c>
      <c r="K96" s="781">
        <v>5120</v>
      </c>
      <c r="L96" s="781">
        <v>1832</v>
      </c>
      <c r="N96" s="781">
        <v>0</v>
      </c>
      <c r="O96" s="781">
        <v>0</v>
      </c>
      <c r="P96" s="781">
        <v>0</v>
      </c>
      <c r="Q96" s="781">
        <v>2029</v>
      </c>
      <c r="R96" s="781"/>
      <c r="S96" s="781">
        <v>1697</v>
      </c>
      <c r="T96" s="781">
        <v>578</v>
      </c>
      <c r="U96" s="781">
        <v>2275</v>
      </c>
    </row>
    <row r="97" spans="1:21" ht="15" customHeight="1" x14ac:dyDescent="0.25">
      <c r="A97" s="776">
        <v>31800</v>
      </c>
      <c r="B97" s="774" t="s">
        <v>883</v>
      </c>
      <c r="C97" s="779">
        <v>5.0074999999999998E-3</v>
      </c>
      <c r="D97" s="779">
        <v>5.1456000000000002E-3</v>
      </c>
      <c r="E97" s="781">
        <f>IFERROR(VLOOKUP(A97,'DIPNC Contributions 2018'!A:C,3,FALSE),0)</f>
        <v>117440</v>
      </c>
      <c r="F97" s="803">
        <v>-314499</v>
      </c>
      <c r="G97" s="803">
        <v>-152108</v>
      </c>
      <c r="I97" s="781">
        <v>265337</v>
      </c>
      <c r="J97" s="803">
        <v>118462</v>
      </c>
      <c r="K97" s="781">
        <v>28723</v>
      </c>
      <c r="L97" s="781">
        <v>19639</v>
      </c>
      <c r="N97" s="781">
        <v>0</v>
      </c>
      <c r="O97" s="781">
        <v>0</v>
      </c>
      <c r="P97" s="781">
        <v>0</v>
      </c>
      <c r="Q97" s="781">
        <v>0</v>
      </c>
      <c r="R97" s="781"/>
      <c r="S97" s="781">
        <v>9519</v>
      </c>
      <c r="T97" s="781">
        <v>6119</v>
      </c>
      <c r="U97" s="781">
        <v>15638</v>
      </c>
    </row>
    <row r="98" spans="1:21" ht="15" customHeight="1" x14ac:dyDescent="0.25">
      <c r="A98" s="776">
        <v>31805</v>
      </c>
      <c r="B98" s="774" t="s">
        <v>884</v>
      </c>
      <c r="C98" s="779">
        <v>9.9890000000000005E-4</v>
      </c>
      <c r="D98" s="779">
        <v>9.9879999999999999E-4</v>
      </c>
      <c r="E98" s="781">
        <f>IFERROR(VLOOKUP(A98,'DIPNC Contributions 2018'!A:C,3,FALSE),0)</f>
        <v>26092</v>
      </c>
      <c r="F98" s="803">
        <v>-61047</v>
      </c>
      <c r="G98" s="803">
        <v>-30343</v>
      </c>
      <c r="I98" s="781">
        <v>52930</v>
      </c>
      <c r="J98" s="803">
        <v>23631</v>
      </c>
      <c r="K98" s="781">
        <v>5730</v>
      </c>
      <c r="L98" s="781">
        <v>5992</v>
      </c>
      <c r="N98" s="781">
        <v>0</v>
      </c>
      <c r="O98" s="781">
        <v>0</v>
      </c>
      <c r="P98" s="781">
        <v>0</v>
      </c>
      <c r="Q98" s="781">
        <v>0</v>
      </c>
      <c r="R98" s="781"/>
      <c r="S98" s="781">
        <v>1899</v>
      </c>
      <c r="T98" s="781">
        <v>2216</v>
      </c>
      <c r="U98" s="781">
        <v>4115</v>
      </c>
    </row>
    <row r="99" spans="1:21" ht="15" customHeight="1" x14ac:dyDescent="0.25">
      <c r="A99" s="776">
        <v>31810</v>
      </c>
      <c r="B99" s="774" t="s">
        <v>885</v>
      </c>
      <c r="C99" s="779">
        <v>1.3600999999999999E-3</v>
      </c>
      <c r="D99" s="779">
        <v>1.3487E-3</v>
      </c>
      <c r="E99" s="781">
        <f>IFERROR(VLOOKUP(A99,'DIPNC Contributions 2018'!A:C,3,FALSE),0)</f>
        <v>30653</v>
      </c>
      <c r="F99" s="803">
        <v>-82433</v>
      </c>
      <c r="G99" s="803">
        <v>-41314</v>
      </c>
      <c r="I99" s="781">
        <v>72069</v>
      </c>
      <c r="J99" s="803">
        <v>32176</v>
      </c>
      <c r="K99" s="781">
        <v>7802</v>
      </c>
      <c r="L99" s="781">
        <v>0</v>
      </c>
      <c r="N99" s="781">
        <v>0</v>
      </c>
      <c r="O99" s="781">
        <v>0</v>
      </c>
      <c r="P99" s="781">
        <v>0</v>
      </c>
      <c r="Q99" s="781">
        <v>2686</v>
      </c>
      <c r="R99" s="781"/>
      <c r="S99" s="781">
        <v>2586</v>
      </c>
      <c r="T99" s="781">
        <v>-717</v>
      </c>
      <c r="U99" s="781">
        <v>1869</v>
      </c>
    </row>
    <row r="100" spans="1:21" ht="15" customHeight="1" x14ac:dyDescent="0.25">
      <c r="A100" s="776">
        <v>31820</v>
      </c>
      <c r="B100" s="774" t="s">
        <v>886</v>
      </c>
      <c r="C100" s="779">
        <v>1.1496E-3</v>
      </c>
      <c r="D100" s="779">
        <v>1.1471999999999999E-3</v>
      </c>
      <c r="E100" s="781">
        <f>IFERROR(VLOOKUP(A100,'DIPNC Contributions 2018'!A:C,3,FALSE),0)</f>
        <v>24797</v>
      </c>
      <c r="F100" s="803">
        <v>-70117</v>
      </c>
      <c r="G100" s="803">
        <v>-34920</v>
      </c>
      <c r="I100" s="781">
        <v>60915</v>
      </c>
      <c r="J100" s="803">
        <v>27196</v>
      </c>
      <c r="K100" s="781">
        <v>6594</v>
      </c>
      <c r="L100" s="781">
        <v>402</v>
      </c>
      <c r="N100" s="781">
        <v>0</v>
      </c>
      <c r="O100" s="781">
        <v>0</v>
      </c>
      <c r="P100" s="781">
        <v>0</v>
      </c>
      <c r="Q100" s="781">
        <v>1974</v>
      </c>
      <c r="R100" s="781"/>
      <c r="S100" s="781">
        <v>2185</v>
      </c>
      <c r="T100" s="781">
        <v>-128</v>
      </c>
      <c r="U100" s="781">
        <v>2057</v>
      </c>
    </row>
    <row r="101" spans="1:21" ht="15" customHeight="1" x14ac:dyDescent="0.25">
      <c r="A101" s="776">
        <v>31900</v>
      </c>
      <c r="B101" s="774" t="s">
        <v>887</v>
      </c>
      <c r="C101" s="779">
        <v>3.2379000000000002E-3</v>
      </c>
      <c r="D101" s="779">
        <v>3.2399E-3</v>
      </c>
      <c r="E101" s="781">
        <f>IFERROR(VLOOKUP(A101,'DIPNC Contributions 2018'!A:C,3,FALSE),0)</f>
        <v>72067</v>
      </c>
      <c r="F101" s="803">
        <v>-198023</v>
      </c>
      <c r="G101" s="803">
        <v>-98354</v>
      </c>
      <c r="I101" s="781">
        <v>171570</v>
      </c>
      <c r="J101" s="803">
        <v>76599</v>
      </c>
      <c r="K101" s="781">
        <v>18573</v>
      </c>
      <c r="L101" s="781">
        <v>0</v>
      </c>
      <c r="N101" s="781">
        <v>0</v>
      </c>
      <c r="O101" s="781">
        <v>0</v>
      </c>
      <c r="P101" s="781">
        <v>0</v>
      </c>
      <c r="Q101" s="781">
        <v>11296</v>
      </c>
      <c r="R101" s="781"/>
      <c r="S101" s="781">
        <v>6155</v>
      </c>
      <c r="T101" s="781">
        <v>-4659</v>
      </c>
      <c r="U101" s="781">
        <v>1496</v>
      </c>
    </row>
    <row r="102" spans="1:21" ht="15" customHeight="1" x14ac:dyDescent="0.25">
      <c r="A102" s="776">
        <v>32000</v>
      </c>
      <c r="B102" s="774" t="s">
        <v>888</v>
      </c>
      <c r="C102" s="779">
        <v>1.3086E-3</v>
      </c>
      <c r="D102" s="779">
        <v>1.3066E-3</v>
      </c>
      <c r="E102" s="781">
        <f>IFERROR(VLOOKUP(A102,'DIPNC Contributions 2018'!A:C,3,FALSE),0)</f>
        <v>29494</v>
      </c>
      <c r="F102" s="803">
        <v>-79859</v>
      </c>
      <c r="G102" s="803">
        <v>-39750</v>
      </c>
      <c r="I102" s="781">
        <v>69340</v>
      </c>
      <c r="J102" s="803">
        <v>30958</v>
      </c>
      <c r="K102" s="781">
        <v>7506</v>
      </c>
      <c r="L102" s="781">
        <v>0</v>
      </c>
      <c r="N102" s="781">
        <v>0</v>
      </c>
      <c r="O102" s="781">
        <v>0</v>
      </c>
      <c r="P102" s="781">
        <v>0</v>
      </c>
      <c r="Q102" s="781">
        <v>3169</v>
      </c>
      <c r="R102" s="781"/>
      <c r="S102" s="781">
        <v>2488</v>
      </c>
      <c r="T102" s="781">
        <v>-1217</v>
      </c>
      <c r="U102" s="781">
        <v>1271</v>
      </c>
    </row>
    <row r="103" spans="1:21" ht="15" customHeight="1" x14ac:dyDescent="0.25">
      <c r="A103" s="776">
        <v>32005</v>
      </c>
      <c r="B103" s="774" t="s">
        <v>889</v>
      </c>
      <c r="C103" s="779">
        <v>2.8009999999999998E-4</v>
      </c>
      <c r="D103" s="779">
        <v>2.898E-4</v>
      </c>
      <c r="E103" s="781">
        <f>IFERROR(VLOOKUP(A103,'DIPNC Contributions 2018'!A:C,3,FALSE),0)</f>
        <v>7041</v>
      </c>
      <c r="F103" s="803">
        <v>-17713</v>
      </c>
      <c r="G103" s="803">
        <v>-8508</v>
      </c>
      <c r="I103" s="781">
        <v>14842</v>
      </c>
      <c r="J103" s="803">
        <v>6626</v>
      </c>
      <c r="K103" s="781">
        <v>1607</v>
      </c>
      <c r="L103" s="781">
        <v>1923</v>
      </c>
      <c r="N103" s="781">
        <v>0</v>
      </c>
      <c r="O103" s="781">
        <v>0</v>
      </c>
      <c r="P103" s="781">
        <v>0</v>
      </c>
      <c r="Q103" s="781">
        <v>0</v>
      </c>
      <c r="R103" s="781"/>
      <c r="S103" s="781">
        <v>532</v>
      </c>
      <c r="T103" s="781">
        <v>568</v>
      </c>
      <c r="U103" s="781">
        <v>1100</v>
      </c>
    </row>
    <row r="104" spans="1:21" ht="15" customHeight="1" x14ac:dyDescent="0.25">
      <c r="A104" s="776">
        <v>32100</v>
      </c>
      <c r="B104" s="774" t="s">
        <v>890</v>
      </c>
      <c r="C104" s="779">
        <v>7.2059999999999995E-4</v>
      </c>
      <c r="D104" s="779">
        <v>7.3490000000000003E-4</v>
      </c>
      <c r="E104" s="781">
        <f>IFERROR(VLOOKUP(A104,'DIPNC Contributions 2018'!A:C,3,FALSE),0)</f>
        <v>17863</v>
      </c>
      <c r="F104" s="803">
        <v>-44917</v>
      </c>
      <c r="G104" s="803">
        <v>-21889</v>
      </c>
      <c r="I104" s="781">
        <v>38183</v>
      </c>
      <c r="J104" s="803">
        <v>17047</v>
      </c>
      <c r="K104" s="781">
        <v>4133</v>
      </c>
      <c r="L104" s="781">
        <v>4711</v>
      </c>
      <c r="N104" s="781">
        <v>0</v>
      </c>
      <c r="O104" s="781">
        <v>0</v>
      </c>
      <c r="P104" s="781">
        <v>0</v>
      </c>
      <c r="Q104" s="781">
        <v>0</v>
      </c>
      <c r="R104" s="781"/>
      <c r="S104" s="781">
        <v>1370</v>
      </c>
      <c r="T104" s="781">
        <v>1693</v>
      </c>
      <c r="U104" s="781">
        <v>3063</v>
      </c>
    </row>
    <row r="105" spans="1:21" ht="15" customHeight="1" x14ac:dyDescent="0.25">
      <c r="A105" s="776">
        <v>32200</v>
      </c>
      <c r="B105" s="774" t="s">
        <v>891</v>
      </c>
      <c r="C105" s="779">
        <v>4.9969999999999995E-4</v>
      </c>
      <c r="D105" s="779">
        <v>4.8739999999999998E-4</v>
      </c>
      <c r="E105" s="781">
        <f>IFERROR(VLOOKUP(A105,'DIPNC Contributions 2018'!A:C,3,FALSE),0)</f>
        <v>11496</v>
      </c>
      <c r="F105" s="803">
        <v>-29790</v>
      </c>
      <c r="G105" s="803">
        <v>-15179</v>
      </c>
      <c r="I105" s="781">
        <v>26478</v>
      </c>
      <c r="J105" s="803">
        <v>11821</v>
      </c>
      <c r="K105" s="781">
        <v>2866</v>
      </c>
      <c r="L105" s="781">
        <v>167</v>
      </c>
      <c r="N105" s="781">
        <v>0</v>
      </c>
      <c r="O105" s="781">
        <v>0</v>
      </c>
      <c r="P105" s="781">
        <v>0</v>
      </c>
      <c r="Q105" s="781">
        <v>1124</v>
      </c>
      <c r="R105" s="781"/>
      <c r="S105" s="781">
        <v>950</v>
      </c>
      <c r="T105" s="781">
        <v>-103</v>
      </c>
      <c r="U105" s="781">
        <v>847</v>
      </c>
    </row>
    <row r="106" spans="1:21" ht="15" customHeight="1" x14ac:dyDescent="0.25">
      <c r="A106" s="776">
        <v>32300</v>
      </c>
      <c r="B106" s="774" t="s">
        <v>892</v>
      </c>
      <c r="C106" s="779">
        <v>5.3226000000000002E-3</v>
      </c>
      <c r="D106" s="779">
        <v>5.4824000000000001E-3</v>
      </c>
      <c r="E106" s="781">
        <f>IFERROR(VLOOKUP(A106,'DIPNC Contributions 2018'!A:C,3,FALSE),0)</f>
        <v>119569</v>
      </c>
      <c r="F106" s="803">
        <v>-335084</v>
      </c>
      <c r="G106" s="803">
        <v>-161679</v>
      </c>
      <c r="I106" s="781">
        <v>282034</v>
      </c>
      <c r="J106" s="803">
        <v>125917</v>
      </c>
      <c r="K106" s="781">
        <v>30530</v>
      </c>
      <c r="L106" s="781">
        <v>8311</v>
      </c>
      <c r="N106" s="781">
        <v>0</v>
      </c>
      <c r="O106" s="781">
        <v>0</v>
      </c>
      <c r="P106" s="781">
        <v>0</v>
      </c>
      <c r="Q106" s="781">
        <v>4028</v>
      </c>
      <c r="R106" s="781"/>
      <c r="S106" s="781">
        <v>10118</v>
      </c>
      <c r="T106" s="781">
        <v>-629</v>
      </c>
      <c r="U106" s="781">
        <v>9489</v>
      </c>
    </row>
    <row r="107" spans="1:21" ht="15" customHeight="1" x14ac:dyDescent="0.25">
      <c r="A107" s="776">
        <v>32305</v>
      </c>
      <c r="B107" s="774" t="s">
        <v>1548</v>
      </c>
      <c r="C107" s="779">
        <v>5.1469999999999999E-4</v>
      </c>
      <c r="D107" s="779">
        <v>5.5900000000000004E-4</v>
      </c>
      <c r="E107" s="781">
        <f>IFERROR(VLOOKUP(A107,'DIPNC Contributions 2018'!A:C,3,FALSE),0)</f>
        <v>13723</v>
      </c>
      <c r="F107" s="803">
        <v>-34166</v>
      </c>
      <c r="G107" s="803">
        <v>-15635</v>
      </c>
      <c r="I107" s="781">
        <v>27273</v>
      </c>
      <c r="J107" s="803">
        <v>12176</v>
      </c>
      <c r="K107" s="781">
        <v>2952</v>
      </c>
      <c r="L107" s="781">
        <v>6756</v>
      </c>
      <c r="N107" s="781">
        <v>0</v>
      </c>
      <c r="O107" s="781">
        <v>0</v>
      </c>
      <c r="P107" s="781">
        <v>0</v>
      </c>
      <c r="Q107" s="781">
        <v>0</v>
      </c>
      <c r="R107" s="781"/>
      <c r="S107" s="781">
        <v>978</v>
      </c>
      <c r="T107" s="781">
        <v>1741</v>
      </c>
      <c r="U107" s="781">
        <v>2719</v>
      </c>
    </row>
    <row r="108" spans="1:21" ht="15" customHeight="1" x14ac:dyDescent="0.25">
      <c r="A108" s="776">
        <v>32400</v>
      </c>
      <c r="B108" s="774" t="s">
        <v>894</v>
      </c>
      <c r="C108" s="779">
        <v>1.8561000000000001E-3</v>
      </c>
      <c r="D108" s="779">
        <v>1.9689999999999998E-3</v>
      </c>
      <c r="E108" s="781">
        <f>IFERROR(VLOOKUP(A108,'DIPNC Contributions 2018'!A:C,3,FALSE),0)</f>
        <v>45620</v>
      </c>
      <c r="F108" s="803">
        <v>-120345</v>
      </c>
      <c r="G108" s="803">
        <v>-56381</v>
      </c>
      <c r="I108" s="781">
        <v>98351</v>
      </c>
      <c r="J108" s="803">
        <v>43910</v>
      </c>
      <c r="K108" s="781">
        <v>10647</v>
      </c>
      <c r="L108" s="781">
        <v>13773</v>
      </c>
      <c r="N108" s="781">
        <v>0</v>
      </c>
      <c r="O108" s="781">
        <v>0</v>
      </c>
      <c r="P108" s="781">
        <v>0</v>
      </c>
      <c r="Q108" s="781">
        <v>0</v>
      </c>
      <c r="R108" s="781"/>
      <c r="S108" s="781">
        <v>3528</v>
      </c>
      <c r="T108" s="781">
        <v>3309</v>
      </c>
      <c r="U108" s="781">
        <v>6837</v>
      </c>
    </row>
    <row r="109" spans="1:21" ht="15" customHeight="1" x14ac:dyDescent="0.25">
      <c r="A109" s="776">
        <v>32405</v>
      </c>
      <c r="B109" s="774" t="s">
        <v>895</v>
      </c>
      <c r="C109" s="779">
        <v>4.8799999999999999E-4</v>
      </c>
      <c r="D109" s="779">
        <v>4.9830000000000002E-4</v>
      </c>
      <c r="E109" s="781">
        <f>IFERROR(VLOOKUP(A109,'DIPNC Contributions 2018'!A:C,3,FALSE),0)</f>
        <v>12582</v>
      </c>
      <c r="F109" s="803">
        <v>-30456</v>
      </c>
      <c r="G109" s="803">
        <v>-14823</v>
      </c>
      <c r="I109" s="781">
        <v>25858</v>
      </c>
      <c r="J109" s="803">
        <v>11545</v>
      </c>
      <c r="K109" s="781">
        <v>2799</v>
      </c>
      <c r="L109" s="781">
        <v>3140</v>
      </c>
      <c r="N109" s="781">
        <v>0</v>
      </c>
      <c r="O109" s="781">
        <v>0</v>
      </c>
      <c r="P109" s="781">
        <v>0</v>
      </c>
      <c r="Q109" s="781">
        <v>0</v>
      </c>
      <c r="R109" s="781"/>
      <c r="S109" s="781">
        <v>928</v>
      </c>
      <c r="T109" s="781">
        <v>966</v>
      </c>
      <c r="U109" s="781">
        <v>1894</v>
      </c>
    </row>
    <row r="110" spans="1:21" ht="15" customHeight="1" x14ac:dyDescent="0.25">
      <c r="A110" s="776">
        <v>32410</v>
      </c>
      <c r="B110" s="774" t="s">
        <v>896</v>
      </c>
      <c r="C110" s="779">
        <v>7.203E-4</v>
      </c>
      <c r="D110" s="779">
        <v>7.3450000000000002E-4</v>
      </c>
      <c r="E110" s="781">
        <f>IFERROR(VLOOKUP(A110,'DIPNC Contributions 2018'!A:C,3,FALSE),0)</f>
        <v>18277</v>
      </c>
      <c r="F110" s="803">
        <v>-44893</v>
      </c>
      <c r="G110" s="803">
        <v>-21880</v>
      </c>
      <c r="I110" s="781">
        <v>38167</v>
      </c>
      <c r="J110" s="803">
        <v>17040</v>
      </c>
      <c r="K110" s="781">
        <v>4132</v>
      </c>
      <c r="L110" s="781">
        <v>6069</v>
      </c>
      <c r="N110" s="781">
        <v>0</v>
      </c>
      <c r="O110" s="781">
        <v>0</v>
      </c>
      <c r="P110" s="781">
        <v>0</v>
      </c>
      <c r="Q110" s="781">
        <v>0</v>
      </c>
      <c r="R110" s="781"/>
      <c r="S110" s="781">
        <v>1369</v>
      </c>
      <c r="T110" s="781">
        <v>2255</v>
      </c>
      <c r="U110" s="781">
        <v>3624</v>
      </c>
    </row>
    <row r="111" spans="1:21" ht="15" customHeight="1" x14ac:dyDescent="0.25">
      <c r="A111" s="776">
        <v>32420</v>
      </c>
      <c r="B111" s="774" t="s">
        <v>897</v>
      </c>
      <c r="C111" s="779">
        <v>0</v>
      </c>
      <c r="D111" s="779">
        <v>0</v>
      </c>
      <c r="E111" s="781">
        <f>IFERROR(VLOOKUP(A111,'DIPNC Contributions 2018'!A:C,3,FALSE),0)</f>
        <v>0</v>
      </c>
      <c r="F111" s="803">
        <v>0</v>
      </c>
      <c r="G111" s="803">
        <v>0</v>
      </c>
      <c r="I111" s="781">
        <v>0</v>
      </c>
      <c r="J111" s="803">
        <v>0</v>
      </c>
      <c r="K111" s="781">
        <v>0</v>
      </c>
      <c r="L111" s="781">
        <v>0</v>
      </c>
      <c r="N111" s="781">
        <v>0</v>
      </c>
      <c r="O111" s="781">
        <v>0</v>
      </c>
      <c r="P111" s="781">
        <v>0</v>
      </c>
      <c r="Q111" s="781">
        <v>0</v>
      </c>
      <c r="R111" s="781"/>
      <c r="S111" s="781">
        <v>0</v>
      </c>
      <c r="T111" s="781">
        <v>0</v>
      </c>
      <c r="U111" s="781">
        <v>0</v>
      </c>
    </row>
    <row r="112" spans="1:21" ht="15" customHeight="1" x14ac:dyDescent="0.25">
      <c r="A112" s="776">
        <v>32500</v>
      </c>
      <c r="B112" s="774" t="s">
        <v>1549</v>
      </c>
      <c r="C112" s="779">
        <v>4.2440000000000004E-3</v>
      </c>
      <c r="D112" s="779">
        <v>4.2446999999999997E-3</v>
      </c>
      <c r="E112" s="781">
        <f>IFERROR(VLOOKUP(A112,'DIPNC Contributions 2018'!A:C,3,FALSE),0)</f>
        <v>98116</v>
      </c>
      <c r="F112" s="803">
        <v>-259436</v>
      </c>
      <c r="G112" s="803">
        <v>-128916</v>
      </c>
      <c r="I112" s="781">
        <v>224881</v>
      </c>
      <c r="J112" s="803">
        <v>100400</v>
      </c>
      <c r="K112" s="781">
        <v>24344</v>
      </c>
      <c r="L112" s="781">
        <v>6486</v>
      </c>
      <c r="N112" s="781">
        <v>0</v>
      </c>
      <c r="O112" s="781">
        <v>0</v>
      </c>
      <c r="P112" s="781">
        <v>0</v>
      </c>
      <c r="Q112" s="781">
        <v>907</v>
      </c>
      <c r="R112" s="781"/>
      <c r="S112" s="781">
        <v>8068</v>
      </c>
      <c r="T112" s="781">
        <v>3092</v>
      </c>
      <c r="U112" s="781">
        <v>11160</v>
      </c>
    </row>
    <row r="113" spans="1:21" ht="15" customHeight="1" x14ac:dyDescent="0.25">
      <c r="A113" s="776">
        <v>32505</v>
      </c>
      <c r="B113" s="774" t="s">
        <v>899</v>
      </c>
      <c r="C113" s="779">
        <v>6.7449999999999997E-4</v>
      </c>
      <c r="D113" s="779">
        <v>6.581E-4</v>
      </c>
      <c r="E113" s="781">
        <f>IFERROR(VLOOKUP(A113,'DIPNC Contributions 2018'!A:C,3,FALSE),0)</f>
        <v>16110</v>
      </c>
      <c r="F113" s="803">
        <v>-40223</v>
      </c>
      <c r="G113" s="803">
        <v>-20489</v>
      </c>
      <c r="I113" s="781">
        <v>35740</v>
      </c>
      <c r="J113" s="803">
        <v>15957</v>
      </c>
      <c r="K113" s="781">
        <v>3869</v>
      </c>
      <c r="L113" s="781">
        <v>233</v>
      </c>
      <c r="N113" s="781">
        <v>0</v>
      </c>
      <c r="O113" s="781">
        <v>0</v>
      </c>
      <c r="P113" s="781">
        <v>0</v>
      </c>
      <c r="Q113" s="781">
        <v>993</v>
      </c>
      <c r="R113" s="781"/>
      <c r="S113" s="781">
        <v>1282</v>
      </c>
      <c r="T113" s="781">
        <v>-49</v>
      </c>
      <c r="U113" s="781">
        <v>1233</v>
      </c>
    </row>
    <row r="114" spans="1:21" ht="15" customHeight="1" x14ac:dyDescent="0.25">
      <c r="A114" s="776">
        <v>32600</v>
      </c>
      <c r="B114" s="774" t="s">
        <v>900</v>
      </c>
      <c r="C114" s="779">
        <v>1.5228200000000001E-2</v>
      </c>
      <c r="D114" s="779">
        <v>1.5234899999999999E-2</v>
      </c>
      <c r="E114" s="781">
        <f>IFERROR(VLOOKUP(A114,'DIPNC Contributions 2018'!A:C,3,FALSE),0)</f>
        <v>356002</v>
      </c>
      <c r="F114" s="803">
        <v>-931157</v>
      </c>
      <c r="G114" s="803">
        <v>-462572</v>
      </c>
      <c r="I114" s="781">
        <v>806912</v>
      </c>
      <c r="J114" s="803">
        <v>360254</v>
      </c>
      <c r="K114" s="781">
        <v>87349</v>
      </c>
      <c r="L114" s="781">
        <v>13707</v>
      </c>
      <c r="N114" s="781">
        <v>0</v>
      </c>
      <c r="O114" s="781">
        <v>0</v>
      </c>
      <c r="P114" s="781">
        <v>0</v>
      </c>
      <c r="Q114" s="781">
        <v>0</v>
      </c>
      <c r="R114" s="781"/>
      <c r="S114" s="781">
        <v>28949</v>
      </c>
      <c r="T114" s="781">
        <v>6702</v>
      </c>
      <c r="U114" s="781">
        <v>35651</v>
      </c>
    </row>
    <row r="115" spans="1:21" ht="15" customHeight="1" x14ac:dyDescent="0.25">
      <c r="A115" s="776">
        <v>32605</v>
      </c>
      <c r="B115" s="774" t="s">
        <v>901</v>
      </c>
      <c r="C115" s="779">
        <v>2.2219000000000002E-3</v>
      </c>
      <c r="D115" s="779">
        <v>2.2406000000000001E-3</v>
      </c>
      <c r="E115" s="781">
        <f>IFERROR(VLOOKUP(A115,'DIPNC Contributions 2018'!A:C,3,FALSE),0)</f>
        <v>56797</v>
      </c>
      <c r="F115" s="803">
        <v>-136945</v>
      </c>
      <c r="G115" s="803">
        <v>-67492</v>
      </c>
      <c r="I115" s="781">
        <v>117734</v>
      </c>
      <c r="J115" s="803">
        <v>52563</v>
      </c>
      <c r="K115" s="781">
        <v>12745</v>
      </c>
      <c r="L115" s="781">
        <v>11482</v>
      </c>
      <c r="N115" s="781">
        <v>0</v>
      </c>
      <c r="O115" s="781">
        <v>0</v>
      </c>
      <c r="P115" s="781">
        <v>0</v>
      </c>
      <c r="Q115" s="781">
        <v>0</v>
      </c>
      <c r="R115" s="781"/>
      <c r="S115" s="781">
        <v>4224</v>
      </c>
      <c r="T115" s="781">
        <v>3870</v>
      </c>
      <c r="U115" s="781">
        <v>8094</v>
      </c>
    </row>
    <row r="116" spans="1:21" ht="15" customHeight="1" x14ac:dyDescent="0.25">
      <c r="A116" s="776">
        <v>32700</v>
      </c>
      <c r="B116" s="774" t="s">
        <v>902</v>
      </c>
      <c r="C116" s="779">
        <v>1.4166000000000001E-3</v>
      </c>
      <c r="D116" s="779">
        <v>1.4205999999999999E-3</v>
      </c>
      <c r="E116" s="781">
        <f>IFERROR(VLOOKUP(A116,'DIPNC Contributions 2018'!A:C,3,FALSE),0)</f>
        <v>32650</v>
      </c>
      <c r="F116" s="803">
        <v>-86827</v>
      </c>
      <c r="G116" s="803">
        <v>-43031</v>
      </c>
      <c r="I116" s="781">
        <v>75063</v>
      </c>
      <c r="J116" s="803">
        <v>33513</v>
      </c>
      <c r="K116" s="781">
        <v>8126</v>
      </c>
      <c r="L116" s="781">
        <v>0</v>
      </c>
      <c r="N116" s="781">
        <v>0</v>
      </c>
      <c r="O116" s="781">
        <v>0</v>
      </c>
      <c r="P116" s="781">
        <v>0</v>
      </c>
      <c r="Q116" s="781">
        <v>2042</v>
      </c>
      <c r="R116" s="781"/>
      <c r="S116" s="781">
        <v>2693</v>
      </c>
      <c r="T116" s="781">
        <v>-990</v>
      </c>
      <c r="U116" s="781">
        <v>1703</v>
      </c>
    </row>
    <row r="117" spans="1:21" ht="15" customHeight="1" x14ac:dyDescent="0.25">
      <c r="A117" s="776">
        <v>32800</v>
      </c>
      <c r="B117" s="774" t="s">
        <v>903</v>
      </c>
      <c r="C117" s="779">
        <v>1.9545000000000001E-3</v>
      </c>
      <c r="D117" s="779">
        <v>1.9001999999999999E-3</v>
      </c>
      <c r="E117" s="781">
        <f>IFERROR(VLOOKUP(A117,'DIPNC Contributions 2018'!A:C,3,FALSE),0)</f>
        <v>48787</v>
      </c>
      <c r="F117" s="803">
        <v>-116140</v>
      </c>
      <c r="G117" s="803">
        <v>-59370</v>
      </c>
      <c r="I117" s="781">
        <v>103565</v>
      </c>
      <c r="J117" s="803">
        <v>46238</v>
      </c>
      <c r="K117" s="781">
        <v>11211</v>
      </c>
      <c r="L117" s="781">
        <v>4192</v>
      </c>
      <c r="N117" s="781">
        <v>0</v>
      </c>
      <c r="O117" s="781">
        <v>0</v>
      </c>
      <c r="P117" s="781">
        <v>0</v>
      </c>
      <c r="Q117" s="781">
        <v>1604</v>
      </c>
      <c r="R117" s="781"/>
      <c r="S117" s="781">
        <v>3716</v>
      </c>
      <c r="T117" s="781">
        <v>1829</v>
      </c>
      <c r="U117" s="781">
        <v>5545</v>
      </c>
    </row>
    <row r="118" spans="1:21" ht="15" customHeight="1" x14ac:dyDescent="0.25">
      <c r="A118" s="776">
        <v>32900</v>
      </c>
      <c r="B118" s="774" t="s">
        <v>904</v>
      </c>
      <c r="C118" s="779">
        <v>5.8069000000000003E-3</v>
      </c>
      <c r="D118" s="779">
        <v>5.7412000000000001E-3</v>
      </c>
      <c r="E118" s="781">
        <f>IFERROR(VLOOKUP(A118,'DIPNC Contributions 2018'!A:C,3,FALSE),0)</f>
        <v>131397</v>
      </c>
      <c r="F118" s="803">
        <v>-350902</v>
      </c>
      <c r="G118" s="803">
        <v>-176390</v>
      </c>
      <c r="I118" s="781">
        <v>307696</v>
      </c>
      <c r="J118" s="803">
        <v>137374</v>
      </c>
      <c r="K118" s="781">
        <v>33308</v>
      </c>
      <c r="L118" s="781">
        <v>1191</v>
      </c>
      <c r="N118" s="781">
        <v>0</v>
      </c>
      <c r="O118" s="781">
        <v>0</v>
      </c>
      <c r="P118" s="781">
        <v>0</v>
      </c>
      <c r="Q118" s="781">
        <v>8900</v>
      </c>
      <c r="R118" s="781"/>
      <c r="S118" s="781">
        <v>11039</v>
      </c>
      <c r="T118" s="781">
        <v>-887</v>
      </c>
      <c r="U118" s="781">
        <v>10152</v>
      </c>
    </row>
    <row r="119" spans="1:21" ht="15" customHeight="1" x14ac:dyDescent="0.25">
      <c r="A119" s="776">
        <v>32901</v>
      </c>
      <c r="B119" s="774" t="s">
        <v>1550</v>
      </c>
      <c r="C119" s="779">
        <v>1.5809999999999999E-4</v>
      </c>
      <c r="D119" s="779">
        <v>1.329E-4</v>
      </c>
      <c r="E119" s="781">
        <f>IFERROR(VLOOKUP(A119,'DIPNC Contributions 2018'!A:C,3,FALSE),0)</f>
        <v>2885</v>
      </c>
      <c r="F119" s="803">
        <v>-8123</v>
      </c>
      <c r="G119" s="803">
        <v>-4802</v>
      </c>
      <c r="I119" s="781">
        <v>8377</v>
      </c>
      <c r="J119" s="803">
        <v>3740</v>
      </c>
      <c r="K119" s="781">
        <v>907</v>
      </c>
      <c r="L119" s="781">
        <v>1309</v>
      </c>
      <c r="N119" s="781">
        <v>0</v>
      </c>
      <c r="O119" s="781">
        <v>0</v>
      </c>
      <c r="P119" s="781">
        <v>0</v>
      </c>
      <c r="Q119" s="781">
        <v>2667</v>
      </c>
      <c r="R119" s="781"/>
      <c r="S119" s="781">
        <v>301</v>
      </c>
      <c r="T119" s="781">
        <v>210</v>
      </c>
      <c r="U119" s="781">
        <v>511</v>
      </c>
    </row>
    <row r="120" spans="1:21" ht="15" customHeight="1" x14ac:dyDescent="0.25">
      <c r="A120" s="776">
        <v>32905</v>
      </c>
      <c r="B120" s="774" t="s">
        <v>906</v>
      </c>
      <c r="C120" s="779">
        <v>8.1189999999999995E-4</v>
      </c>
      <c r="D120" s="779">
        <v>8.4650000000000003E-4</v>
      </c>
      <c r="E120" s="781">
        <f>IFERROR(VLOOKUP(A120,'DIPNC Contributions 2018'!A:C,3,FALSE),0)</f>
        <v>20500</v>
      </c>
      <c r="F120" s="803">
        <v>-51738</v>
      </c>
      <c r="G120" s="803">
        <v>-24662</v>
      </c>
      <c r="I120" s="781">
        <v>43021</v>
      </c>
      <c r="J120" s="803">
        <v>19207</v>
      </c>
      <c r="K120" s="781">
        <v>4657</v>
      </c>
      <c r="L120" s="781">
        <v>5226</v>
      </c>
      <c r="N120" s="781">
        <v>0</v>
      </c>
      <c r="O120" s="781">
        <v>0</v>
      </c>
      <c r="P120" s="781">
        <v>0</v>
      </c>
      <c r="Q120" s="781">
        <v>0</v>
      </c>
      <c r="R120" s="781"/>
      <c r="S120" s="781">
        <v>1543</v>
      </c>
      <c r="T120" s="781">
        <v>1279</v>
      </c>
      <c r="U120" s="781">
        <v>2822</v>
      </c>
    </row>
    <row r="121" spans="1:21" ht="15" customHeight="1" x14ac:dyDescent="0.25">
      <c r="A121" s="776">
        <v>32910</v>
      </c>
      <c r="B121" s="774" t="s">
        <v>907</v>
      </c>
      <c r="C121" s="779">
        <v>1.0816999999999999E-3</v>
      </c>
      <c r="D121" s="779">
        <v>1.0832999999999999E-3</v>
      </c>
      <c r="E121" s="781">
        <f>IFERROR(VLOOKUP(A121,'DIPNC Contributions 2018'!A:C,3,FALSE),0)</f>
        <v>25879</v>
      </c>
      <c r="F121" s="803">
        <v>-66211</v>
      </c>
      <c r="G121" s="803">
        <v>-32858</v>
      </c>
      <c r="I121" s="781">
        <v>57317</v>
      </c>
      <c r="J121" s="803">
        <v>25590</v>
      </c>
      <c r="K121" s="781">
        <v>6205</v>
      </c>
      <c r="L121" s="781">
        <v>1216</v>
      </c>
      <c r="N121" s="781">
        <v>0</v>
      </c>
      <c r="O121" s="781">
        <v>0</v>
      </c>
      <c r="P121" s="781">
        <v>0</v>
      </c>
      <c r="Q121" s="781">
        <v>0</v>
      </c>
      <c r="R121" s="781"/>
      <c r="S121" s="781">
        <v>2056</v>
      </c>
      <c r="T121" s="781">
        <v>399</v>
      </c>
      <c r="U121" s="781">
        <v>2455</v>
      </c>
    </row>
    <row r="122" spans="1:21" ht="15" customHeight="1" x14ac:dyDescent="0.25">
      <c r="A122" s="776">
        <v>32920</v>
      </c>
      <c r="B122" s="774" t="s">
        <v>908</v>
      </c>
      <c r="C122" s="779">
        <v>9.2880000000000002E-4</v>
      </c>
      <c r="D122" s="779">
        <v>9.0410000000000002E-4</v>
      </c>
      <c r="E122" s="781">
        <f>IFERROR(VLOOKUP(A122,'DIPNC Contributions 2018'!A:C,3,FALSE),0)</f>
        <v>20422</v>
      </c>
      <c r="F122" s="803">
        <v>-55259</v>
      </c>
      <c r="G122" s="803">
        <v>-28213</v>
      </c>
      <c r="I122" s="781">
        <v>49215</v>
      </c>
      <c r="J122" s="803">
        <v>21973</v>
      </c>
      <c r="K122" s="781">
        <v>5328</v>
      </c>
      <c r="L122" s="781">
        <v>0</v>
      </c>
      <c r="N122" s="781">
        <v>0</v>
      </c>
      <c r="O122" s="781">
        <v>0</v>
      </c>
      <c r="P122" s="781">
        <v>0</v>
      </c>
      <c r="Q122" s="781">
        <v>4139</v>
      </c>
      <c r="R122" s="781"/>
      <c r="S122" s="781">
        <v>1766</v>
      </c>
      <c r="T122" s="781">
        <v>-1055</v>
      </c>
      <c r="U122" s="781">
        <v>711</v>
      </c>
    </row>
    <row r="123" spans="1:21" ht="15" customHeight="1" x14ac:dyDescent="0.25">
      <c r="A123" s="776">
        <v>33000</v>
      </c>
      <c r="B123" s="774" t="s">
        <v>909</v>
      </c>
      <c r="C123" s="779">
        <v>2.1971999999999998E-3</v>
      </c>
      <c r="D123" s="779">
        <v>2.1795E-3</v>
      </c>
      <c r="E123" s="781">
        <f>IFERROR(VLOOKUP(A123,'DIPNC Contributions 2018'!A:C,3,FALSE),0)</f>
        <v>48663</v>
      </c>
      <c r="F123" s="803">
        <v>-133211</v>
      </c>
      <c r="G123" s="803">
        <v>-66742</v>
      </c>
      <c r="I123" s="781">
        <v>116425</v>
      </c>
      <c r="J123" s="803">
        <v>51979</v>
      </c>
      <c r="K123" s="781">
        <v>12603</v>
      </c>
      <c r="L123" s="781">
        <v>0</v>
      </c>
      <c r="N123" s="781">
        <v>0</v>
      </c>
      <c r="O123" s="781">
        <v>0</v>
      </c>
      <c r="P123" s="781">
        <v>0</v>
      </c>
      <c r="Q123" s="781">
        <v>4204</v>
      </c>
      <c r="R123" s="781"/>
      <c r="S123" s="781">
        <v>4177</v>
      </c>
      <c r="T123" s="781">
        <v>-866</v>
      </c>
      <c r="U123" s="781">
        <v>3311</v>
      </c>
    </row>
    <row r="124" spans="1:21" ht="15" customHeight="1" x14ac:dyDescent="0.25">
      <c r="A124" s="776">
        <v>33001</v>
      </c>
      <c r="B124" s="774" t="s">
        <v>910</v>
      </c>
      <c r="C124" s="779">
        <v>6.8499999999999998E-5</v>
      </c>
      <c r="D124" s="779">
        <v>7.5599999999999994E-5</v>
      </c>
      <c r="E124" s="781">
        <f>IFERROR(VLOOKUP(A124,'DIPNC Contributions 2018'!A:C,3,FALSE),0)</f>
        <v>1380</v>
      </c>
      <c r="F124" s="803">
        <v>-4621</v>
      </c>
      <c r="G124" s="803">
        <v>-2081</v>
      </c>
      <c r="I124" s="781">
        <v>3630</v>
      </c>
      <c r="J124" s="803">
        <v>1621</v>
      </c>
      <c r="K124" s="781">
        <v>393</v>
      </c>
      <c r="L124" s="781">
        <v>365</v>
      </c>
      <c r="N124" s="781">
        <v>0</v>
      </c>
      <c r="O124" s="781">
        <v>0</v>
      </c>
      <c r="P124" s="781">
        <v>0</v>
      </c>
      <c r="Q124" s="781">
        <v>716</v>
      </c>
      <c r="R124" s="781"/>
      <c r="S124" s="781">
        <v>130</v>
      </c>
      <c r="T124" s="781">
        <v>-297</v>
      </c>
      <c r="U124" s="781">
        <v>-167</v>
      </c>
    </row>
    <row r="125" spans="1:21" ht="15" customHeight="1" x14ac:dyDescent="0.25">
      <c r="A125" s="776">
        <v>33027</v>
      </c>
      <c r="B125" s="774" t="s">
        <v>911</v>
      </c>
      <c r="C125" s="779">
        <v>2.7569999999999998E-4</v>
      </c>
      <c r="D125" s="779">
        <v>2.5589999999999999E-4</v>
      </c>
      <c r="E125" s="781">
        <f>IFERROR(VLOOKUP(A125,'DIPNC Contributions 2018'!A:C,3,FALSE),0)</f>
        <v>5249</v>
      </c>
      <c r="F125" s="803">
        <v>-15641</v>
      </c>
      <c r="G125" s="803">
        <v>-8375</v>
      </c>
      <c r="I125" s="781">
        <v>14609</v>
      </c>
      <c r="J125" s="803">
        <v>6522</v>
      </c>
      <c r="K125" s="781">
        <v>1581</v>
      </c>
      <c r="L125" s="781">
        <v>0</v>
      </c>
      <c r="N125" s="781">
        <v>0</v>
      </c>
      <c r="O125" s="781">
        <v>0</v>
      </c>
      <c r="P125" s="781">
        <v>0</v>
      </c>
      <c r="Q125" s="781">
        <v>5483</v>
      </c>
      <c r="R125" s="781"/>
      <c r="S125" s="781">
        <v>524</v>
      </c>
      <c r="T125" s="781">
        <v>-1882</v>
      </c>
      <c r="U125" s="781">
        <v>-1358</v>
      </c>
    </row>
    <row r="126" spans="1:21" ht="15" customHeight="1" x14ac:dyDescent="0.25">
      <c r="A126" s="776">
        <v>33100</v>
      </c>
      <c r="B126" s="774" t="s">
        <v>912</v>
      </c>
      <c r="C126" s="779">
        <v>3.0685E-3</v>
      </c>
      <c r="D126" s="779">
        <v>3.1421999999999999E-3</v>
      </c>
      <c r="E126" s="781">
        <f>IFERROR(VLOOKUP(A126,'DIPNC Contributions 2018'!A:C,3,FALSE),0)</f>
        <v>70804</v>
      </c>
      <c r="F126" s="803">
        <v>-192051</v>
      </c>
      <c r="G126" s="803">
        <v>-93209</v>
      </c>
      <c r="I126" s="781">
        <v>162594</v>
      </c>
      <c r="J126" s="803">
        <v>72592</v>
      </c>
      <c r="K126" s="781">
        <v>17601</v>
      </c>
      <c r="L126" s="781">
        <v>7948</v>
      </c>
      <c r="N126" s="781">
        <v>0</v>
      </c>
      <c r="O126" s="781">
        <v>0</v>
      </c>
      <c r="P126" s="781">
        <v>0</v>
      </c>
      <c r="Q126" s="781">
        <v>0</v>
      </c>
      <c r="R126" s="781"/>
      <c r="S126" s="781">
        <v>5833</v>
      </c>
      <c r="T126" s="781">
        <v>2324</v>
      </c>
      <c r="U126" s="781">
        <v>8157</v>
      </c>
    </row>
    <row r="127" spans="1:21" ht="15" customHeight="1" x14ac:dyDescent="0.25">
      <c r="A127" s="776">
        <v>33105</v>
      </c>
      <c r="B127" s="774" t="s">
        <v>913</v>
      </c>
      <c r="C127" s="779">
        <v>3.392E-4</v>
      </c>
      <c r="D127" s="779">
        <v>3.4890000000000002E-4</v>
      </c>
      <c r="E127" s="781">
        <f>IFERROR(VLOOKUP(A127,'DIPNC Contributions 2018'!A:C,3,FALSE),0)</f>
        <v>8342</v>
      </c>
      <c r="F127" s="803">
        <v>-21325</v>
      </c>
      <c r="G127" s="803">
        <v>-10304</v>
      </c>
      <c r="I127" s="781">
        <v>17974</v>
      </c>
      <c r="J127" s="803">
        <v>8024</v>
      </c>
      <c r="K127" s="781">
        <v>1946</v>
      </c>
      <c r="L127" s="781">
        <v>1685</v>
      </c>
      <c r="N127" s="781">
        <v>0</v>
      </c>
      <c r="O127" s="781">
        <v>0</v>
      </c>
      <c r="P127" s="781">
        <v>0</v>
      </c>
      <c r="Q127" s="781">
        <v>0</v>
      </c>
      <c r="R127" s="781"/>
      <c r="S127" s="781">
        <v>645</v>
      </c>
      <c r="T127" s="781">
        <v>473</v>
      </c>
      <c r="U127" s="781">
        <v>1118</v>
      </c>
    </row>
    <row r="128" spans="1:21" ht="15" customHeight="1" x14ac:dyDescent="0.25">
      <c r="A128" s="776">
        <v>33200</v>
      </c>
      <c r="B128" s="774" t="s">
        <v>914</v>
      </c>
      <c r="C128" s="779">
        <v>1.3694E-2</v>
      </c>
      <c r="D128" s="779">
        <v>1.38841E-2</v>
      </c>
      <c r="E128" s="781">
        <f>IFERROR(VLOOKUP(A128,'DIPNC Contributions 2018'!A:C,3,FALSE),0)</f>
        <v>298924</v>
      </c>
      <c r="F128" s="803">
        <v>-848596</v>
      </c>
      <c r="G128" s="803">
        <v>-415969</v>
      </c>
      <c r="I128" s="781">
        <v>725618</v>
      </c>
      <c r="J128" s="803">
        <v>323959</v>
      </c>
      <c r="K128" s="781">
        <v>78549</v>
      </c>
      <c r="L128" s="781">
        <v>0</v>
      </c>
      <c r="N128" s="781">
        <v>0</v>
      </c>
      <c r="O128" s="781">
        <v>0</v>
      </c>
      <c r="P128" s="781">
        <v>0</v>
      </c>
      <c r="Q128" s="781">
        <v>21737</v>
      </c>
      <c r="R128" s="781"/>
      <c r="S128" s="781">
        <v>26032</v>
      </c>
      <c r="T128" s="781">
        <v>-9745</v>
      </c>
      <c r="U128" s="781">
        <v>16287</v>
      </c>
    </row>
    <row r="129" spans="1:21" ht="15" customHeight="1" x14ac:dyDescent="0.25">
      <c r="A129" s="776">
        <v>33202</v>
      </c>
      <c r="B129" s="774" t="s">
        <v>915</v>
      </c>
      <c r="C129" s="779">
        <v>2.4149999999999999E-4</v>
      </c>
      <c r="D129" s="779">
        <v>2.05E-4</v>
      </c>
      <c r="E129" s="781">
        <f>IFERROR(VLOOKUP(A129,'DIPNC Contributions 2018'!A:C,3,FALSE),0)</f>
        <v>4375</v>
      </c>
      <c r="F129" s="803">
        <v>-12530</v>
      </c>
      <c r="G129" s="803">
        <v>-7336</v>
      </c>
      <c r="I129" s="781">
        <v>12797</v>
      </c>
      <c r="J129" s="803">
        <v>5713</v>
      </c>
      <c r="K129" s="781">
        <v>1385</v>
      </c>
      <c r="L129" s="781">
        <v>0</v>
      </c>
      <c r="N129" s="781">
        <v>0</v>
      </c>
      <c r="O129" s="781">
        <v>0</v>
      </c>
      <c r="P129" s="781">
        <v>0</v>
      </c>
      <c r="Q129" s="781">
        <v>6289</v>
      </c>
      <c r="R129" s="781"/>
      <c r="S129" s="781">
        <v>459</v>
      </c>
      <c r="T129" s="781">
        <v>-1829</v>
      </c>
      <c r="U129" s="781">
        <v>-1370</v>
      </c>
    </row>
    <row r="130" spans="1:21" ht="15" customHeight="1" x14ac:dyDescent="0.25">
      <c r="A130" s="776">
        <v>33203</v>
      </c>
      <c r="B130" s="774" t="s">
        <v>916</v>
      </c>
      <c r="C130" s="779">
        <v>1.228E-4</v>
      </c>
      <c r="D130" s="779">
        <v>1.283E-4</v>
      </c>
      <c r="E130" s="781">
        <f>IFERROR(VLOOKUP(A130,'DIPNC Contributions 2018'!A:C,3,FALSE),0)</f>
        <v>2218</v>
      </c>
      <c r="F130" s="803">
        <v>-7842</v>
      </c>
      <c r="G130" s="803">
        <v>-3730</v>
      </c>
      <c r="I130" s="781">
        <v>6507</v>
      </c>
      <c r="J130" s="803">
        <v>2905</v>
      </c>
      <c r="K130" s="781">
        <v>704</v>
      </c>
      <c r="L130" s="781">
        <v>0</v>
      </c>
      <c r="N130" s="781">
        <v>0</v>
      </c>
      <c r="O130" s="781">
        <v>0</v>
      </c>
      <c r="P130" s="781">
        <v>0</v>
      </c>
      <c r="Q130" s="781">
        <v>1175</v>
      </c>
      <c r="R130" s="781"/>
      <c r="S130" s="781">
        <v>233</v>
      </c>
      <c r="T130" s="781">
        <v>-545</v>
      </c>
      <c r="U130" s="781">
        <v>-312</v>
      </c>
    </row>
    <row r="131" spans="1:21" ht="15" customHeight="1" x14ac:dyDescent="0.25">
      <c r="A131" s="776">
        <v>33204</v>
      </c>
      <c r="B131" s="774" t="s">
        <v>917</v>
      </c>
      <c r="C131" s="779">
        <v>3.7790000000000002E-4</v>
      </c>
      <c r="D131" s="779">
        <v>4.215E-4</v>
      </c>
      <c r="E131" s="781">
        <f>IFERROR(VLOOKUP(A131,'DIPNC Contributions 2018'!A:C,3,FALSE),0)</f>
        <v>6997</v>
      </c>
      <c r="F131" s="803">
        <v>-25762</v>
      </c>
      <c r="G131" s="803">
        <v>-11479</v>
      </c>
      <c r="I131" s="781">
        <v>20024</v>
      </c>
      <c r="J131" s="803">
        <v>8940</v>
      </c>
      <c r="K131" s="781">
        <v>2168</v>
      </c>
      <c r="L131" s="781">
        <v>1834</v>
      </c>
      <c r="N131" s="781">
        <v>0</v>
      </c>
      <c r="O131" s="781">
        <v>0</v>
      </c>
      <c r="P131" s="781">
        <v>0</v>
      </c>
      <c r="Q131" s="781">
        <v>3083</v>
      </c>
      <c r="R131" s="781"/>
      <c r="S131" s="781">
        <v>718</v>
      </c>
      <c r="T131" s="781">
        <v>-1236</v>
      </c>
      <c r="U131" s="781">
        <v>-518</v>
      </c>
    </row>
    <row r="132" spans="1:21" ht="15" customHeight="1" x14ac:dyDescent="0.25">
      <c r="A132" s="776">
        <v>33205</v>
      </c>
      <c r="B132" s="774" t="s">
        <v>918</v>
      </c>
      <c r="C132" s="779">
        <v>1.0970999999999999E-3</v>
      </c>
      <c r="D132" s="779">
        <v>1.1609999999999999E-3</v>
      </c>
      <c r="E132" s="781">
        <f>IFERROR(VLOOKUP(A132,'DIPNC Contributions 2018'!A:C,3,FALSE),0)</f>
        <v>26550</v>
      </c>
      <c r="F132" s="803">
        <v>-70960</v>
      </c>
      <c r="G132" s="803">
        <v>-33326</v>
      </c>
      <c r="I132" s="781">
        <v>58133</v>
      </c>
      <c r="J132" s="803">
        <v>25954</v>
      </c>
      <c r="K132" s="781">
        <v>6293</v>
      </c>
      <c r="L132" s="781">
        <v>6243</v>
      </c>
      <c r="N132" s="781">
        <v>0</v>
      </c>
      <c r="O132" s="781">
        <v>0</v>
      </c>
      <c r="P132" s="781">
        <v>0</v>
      </c>
      <c r="Q132" s="781">
        <v>0</v>
      </c>
      <c r="R132" s="781"/>
      <c r="S132" s="781">
        <v>2086</v>
      </c>
      <c r="T132" s="781">
        <v>1199</v>
      </c>
      <c r="U132" s="781">
        <v>3285</v>
      </c>
    </row>
    <row r="133" spans="1:21" ht="15" customHeight="1" x14ac:dyDescent="0.25">
      <c r="A133" s="776">
        <v>33206</v>
      </c>
      <c r="B133" s="774" t="s">
        <v>919</v>
      </c>
      <c r="C133" s="779">
        <v>1.058E-4</v>
      </c>
      <c r="D133" s="779">
        <v>9.8999999999999994E-5</v>
      </c>
      <c r="E133" s="781">
        <f>IFERROR(VLOOKUP(A133,'DIPNC Contributions 2018'!A:C,3,FALSE),0)</f>
        <v>2390</v>
      </c>
      <c r="F133" s="803">
        <v>-6051</v>
      </c>
      <c r="G133" s="803">
        <v>-3214</v>
      </c>
      <c r="I133" s="781">
        <v>5606</v>
      </c>
      <c r="J133" s="803">
        <v>2503</v>
      </c>
      <c r="K133" s="781">
        <v>607</v>
      </c>
      <c r="L133" s="781">
        <v>0</v>
      </c>
      <c r="N133" s="781">
        <v>0</v>
      </c>
      <c r="O133" s="781">
        <v>0</v>
      </c>
      <c r="P133" s="781">
        <v>0</v>
      </c>
      <c r="Q133" s="781">
        <v>904</v>
      </c>
      <c r="R133" s="781"/>
      <c r="S133" s="781">
        <v>201</v>
      </c>
      <c r="T133" s="781">
        <v>-251</v>
      </c>
      <c r="U133" s="781">
        <v>-50</v>
      </c>
    </row>
    <row r="134" spans="1:21" ht="15" customHeight="1" x14ac:dyDescent="0.25">
      <c r="A134" s="776">
        <v>33207</v>
      </c>
      <c r="B134" s="774" t="s">
        <v>1134</v>
      </c>
      <c r="C134" s="779">
        <v>3.347E-4</v>
      </c>
      <c r="D134" s="779">
        <v>2.8380000000000001E-4</v>
      </c>
      <c r="E134" s="781">
        <f>IFERROR(VLOOKUP(A134,'DIPNC Contributions 2018'!A:C,3,FALSE),0)</f>
        <v>5361</v>
      </c>
      <c r="F134" s="803">
        <v>-17346</v>
      </c>
      <c r="G134" s="803">
        <v>-10167</v>
      </c>
      <c r="I134" s="781">
        <v>17735</v>
      </c>
      <c r="J134" s="803">
        <v>7918</v>
      </c>
      <c r="K134" s="781">
        <v>1920</v>
      </c>
      <c r="L134" s="781">
        <v>0</v>
      </c>
      <c r="N134" s="781">
        <v>0</v>
      </c>
      <c r="O134" s="781">
        <v>0</v>
      </c>
      <c r="P134" s="781">
        <v>0</v>
      </c>
      <c r="Q134" s="781">
        <v>11137</v>
      </c>
      <c r="R134" s="781"/>
      <c r="S134" s="781">
        <v>636</v>
      </c>
      <c r="T134" s="781">
        <v>-3537</v>
      </c>
      <c r="U134" s="781">
        <v>-2901</v>
      </c>
    </row>
    <row r="135" spans="1:21" ht="15" customHeight="1" x14ac:dyDescent="0.25">
      <c r="A135" s="776">
        <v>33208</v>
      </c>
      <c r="B135" s="774" t="s">
        <v>1135</v>
      </c>
      <c r="C135" s="779">
        <v>0</v>
      </c>
      <c r="D135" s="779">
        <v>0</v>
      </c>
      <c r="E135" s="781">
        <f>IFERROR(VLOOKUP(A135,'DIPNC Contributions 2018'!A:C,3,FALSE),0)</f>
        <v>0</v>
      </c>
      <c r="F135" s="803">
        <v>0</v>
      </c>
      <c r="G135" s="803">
        <v>0</v>
      </c>
      <c r="I135" s="781">
        <v>0</v>
      </c>
      <c r="J135" s="803">
        <v>0</v>
      </c>
      <c r="K135" s="781">
        <v>0</v>
      </c>
      <c r="L135" s="781">
        <v>1338</v>
      </c>
      <c r="N135" s="781">
        <v>0</v>
      </c>
      <c r="O135" s="781">
        <v>0</v>
      </c>
      <c r="P135" s="781">
        <v>0</v>
      </c>
      <c r="Q135" s="781">
        <v>0</v>
      </c>
      <c r="R135" s="781"/>
      <c r="S135" s="781">
        <v>0</v>
      </c>
      <c r="T135" s="781">
        <v>669</v>
      </c>
      <c r="U135" s="781">
        <v>669</v>
      </c>
    </row>
    <row r="136" spans="1:21" ht="15" customHeight="1" x14ac:dyDescent="0.25">
      <c r="A136" s="776">
        <v>33209</v>
      </c>
      <c r="B136" s="774" t="s">
        <v>1136</v>
      </c>
      <c r="C136" s="779">
        <v>9.5699999999999995E-5</v>
      </c>
      <c r="D136" s="779">
        <v>6.9300000000000004E-5</v>
      </c>
      <c r="E136" s="781">
        <f>IFERROR(VLOOKUP(A136,'DIPNC Contributions 2018'!A:C,3,FALSE),0)</f>
        <v>1948</v>
      </c>
      <c r="F136" s="803">
        <v>-4236</v>
      </c>
      <c r="G136" s="803">
        <v>-2907</v>
      </c>
      <c r="I136" s="781">
        <v>5071</v>
      </c>
      <c r="J136" s="803">
        <v>2264</v>
      </c>
      <c r="K136" s="781">
        <v>549</v>
      </c>
      <c r="L136" s="781">
        <v>0</v>
      </c>
      <c r="N136" s="781">
        <v>0</v>
      </c>
      <c r="O136" s="781">
        <v>0</v>
      </c>
      <c r="P136" s="781">
        <v>0</v>
      </c>
      <c r="Q136" s="781">
        <v>2861</v>
      </c>
      <c r="R136" s="781"/>
      <c r="S136" s="781">
        <v>182</v>
      </c>
      <c r="T136" s="781">
        <v>-660</v>
      </c>
      <c r="U136" s="781">
        <v>-478</v>
      </c>
    </row>
    <row r="137" spans="1:21" ht="15" customHeight="1" x14ac:dyDescent="0.25">
      <c r="A137" s="776">
        <v>33300</v>
      </c>
      <c r="B137" s="774" t="s">
        <v>920</v>
      </c>
      <c r="C137" s="779">
        <v>2.0525000000000001E-3</v>
      </c>
      <c r="D137" s="779">
        <v>2.0338000000000001E-3</v>
      </c>
      <c r="E137" s="781">
        <f>IFERROR(VLOOKUP(A137,'DIPNC Contributions 2018'!A:C,3,FALSE),0)</f>
        <v>46440</v>
      </c>
      <c r="F137" s="803">
        <v>-124306</v>
      </c>
      <c r="G137" s="803">
        <v>-62347</v>
      </c>
      <c r="I137" s="781">
        <v>108758</v>
      </c>
      <c r="J137" s="803">
        <v>48556</v>
      </c>
      <c r="K137" s="781">
        <v>11773</v>
      </c>
      <c r="L137" s="781">
        <v>0</v>
      </c>
      <c r="N137" s="781">
        <v>0</v>
      </c>
      <c r="O137" s="781">
        <v>0</v>
      </c>
      <c r="P137" s="781">
        <v>0</v>
      </c>
      <c r="Q137" s="781">
        <v>3305</v>
      </c>
      <c r="R137" s="781"/>
      <c r="S137" s="781">
        <v>3902</v>
      </c>
      <c r="T137" s="781">
        <v>-721</v>
      </c>
      <c r="U137" s="781">
        <v>3181</v>
      </c>
    </row>
    <row r="138" spans="1:21" ht="15" customHeight="1" x14ac:dyDescent="0.25">
      <c r="A138" s="776">
        <v>33305</v>
      </c>
      <c r="B138" s="774" t="s">
        <v>921</v>
      </c>
      <c r="C138" s="779">
        <v>4.6759999999999998E-4</v>
      </c>
      <c r="D138" s="779">
        <v>4.8710000000000002E-4</v>
      </c>
      <c r="E138" s="781">
        <f>IFERROR(VLOOKUP(A138,'DIPNC Contributions 2018'!A:C,3,FALSE),0)</f>
        <v>13627</v>
      </c>
      <c r="F138" s="803">
        <v>-29772</v>
      </c>
      <c r="G138" s="803">
        <v>-14204</v>
      </c>
      <c r="I138" s="781">
        <v>24777</v>
      </c>
      <c r="J138" s="803">
        <v>11062</v>
      </c>
      <c r="K138" s="781">
        <v>2682</v>
      </c>
      <c r="L138" s="781">
        <v>8260</v>
      </c>
      <c r="N138" s="781">
        <v>0</v>
      </c>
      <c r="O138" s="781">
        <v>0</v>
      </c>
      <c r="P138" s="781">
        <v>0</v>
      </c>
      <c r="Q138" s="781">
        <v>0</v>
      </c>
      <c r="R138" s="781"/>
      <c r="S138" s="781">
        <v>889</v>
      </c>
      <c r="T138" s="781">
        <v>2851</v>
      </c>
      <c r="U138" s="781">
        <v>3740</v>
      </c>
    </row>
    <row r="139" spans="1:21" ht="15" customHeight="1" x14ac:dyDescent="0.25">
      <c r="A139" s="776">
        <v>33400</v>
      </c>
      <c r="B139" s="774" t="s">
        <v>922</v>
      </c>
      <c r="C139" s="779">
        <v>1.8298100000000001E-2</v>
      </c>
      <c r="D139" s="779">
        <v>1.80564E-2</v>
      </c>
      <c r="E139" s="781">
        <f>IFERROR(VLOOKUP(A139,'DIPNC Contributions 2018'!A:C,3,FALSE),0)</f>
        <v>422752</v>
      </c>
      <c r="F139" s="803">
        <v>-1103607</v>
      </c>
      <c r="G139" s="803">
        <v>-555823</v>
      </c>
      <c r="I139" s="781">
        <v>969580</v>
      </c>
      <c r="J139" s="803">
        <v>432878</v>
      </c>
      <c r="K139" s="781">
        <v>104958</v>
      </c>
      <c r="L139" s="781">
        <v>3007</v>
      </c>
      <c r="N139" s="781">
        <v>0</v>
      </c>
      <c r="O139" s="781">
        <v>0</v>
      </c>
      <c r="P139" s="781">
        <v>0</v>
      </c>
      <c r="Q139" s="781">
        <v>23294</v>
      </c>
      <c r="R139" s="781"/>
      <c r="S139" s="781">
        <v>34785</v>
      </c>
      <c r="T139" s="781">
        <v>-2379</v>
      </c>
      <c r="U139" s="781">
        <v>32406</v>
      </c>
    </row>
    <row r="140" spans="1:21" ht="15" customHeight="1" x14ac:dyDescent="0.25">
      <c r="A140" s="776">
        <v>33402</v>
      </c>
      <c r="B140" s="774" t="s">
        <v>923</v>
      </c>
      <c r="C140" s="779">
        <v>1.5660000000000001E-4</v>
      </c>
      <c r="D140" s="779">
        <v>1.4579999999999999E-4</v>
      </c>
      <c r="E140" s="781">
        <f>IFERROR(VLOOKUP(A140,'DIPNC Contributions 2018'!A:C,3,FALSE),0)</f>
        <v>3030</v>
      </c>
      <c r="F140" s="803">
        <v>-8911</v>
      </c>
      <c r="G140" s="803">
        <v>-4757</v>
      </c>
      <c r="I140" s="781">
        <v>8298</v>
      </c>
      <c r="J140" s="803">
        <v>3705</v>
      </c>
      <c r="K140" s="781">
        <v>898</v>
      </c>
      <c r="L140" s="781">
        <v>0</v>
      </c>
      <c r="N140" s="781">
        <v>0</v>
      </c>
      <c r="O140" s="781">
        <v>0</v>
      </c>
      <c r="P140" s="781">
        <v>0</v>
      </c>
      <c r="Q140" s="781">
        <v>2003</v>
      </c>
      <c r="R140" s="781"/>
      <c r="S140" s="781">
        <v>298</v>
      </c>
      <c r="T140" s="781">
        <v>-540</v>
      </c>
      <c r="U140" s="781">
        <v>-242</v>
      </c>
    </row>
    <row r="141" spans="1:21" ht="15" customHeight="1" x14ac:dyDescent="0.25">
      <c r="A141" s="776">
        <v>33405</v>
      </c>
      <c r="B141" s="774" t="s">
        <v>925</v>
      </c>
      <c r="C141" s="779">
        <v>1.5941E-3</v>
      </c>
      <c r="D141" s="779">
        <v>1.7166E-3</v>
      </c>
      <c r="E141" s="781">
        <f>IFERROR(VLOOKUP(A141,'DIPNC Contributions 2018'!A:C,3,FALSE),0)</f>
        <v>41480</v>
      </c>
      <c r="F141" s="803">
        <v>-104919</v>
      </c>
      <c r="G141" s="803">
        <v>-48422</v>
      </c>
      <c r="I141" s="781">
        <v>84468</v>
      </c>
      <c r="J141" s="803">
        <v>37712</v>
      </c>
      <c r="K141" s="781">
        <v>9144</v>
      </c>
      <c r="L141" s="781">
        <v>20434</v>
      </c>
      <c r="N141" s="781">
        <v>0</v>
      </c>
      <c r="O141" s="781">
        <v>0</v>
      </c>
      <c r="P141" s="781">
        <v>0</v>
      </c>
      <c r="Q141" s="781">
        <v>0</v>
      </c>
      <c r="R141" s="781"/>
      <c r="S141" s="781">
        <v>3030</v>
      </c>
      <c r="T141" s="781">
        <v>5821</v>
      </c>
      <c r="U141" s="781">
        <v>8851</v>
      </c>
    </row>
    <row r="142" spans="1:21" ht="15" customHeight="1" x14ac:dyDescent="0.25">
      <c r="A142" s="776">
        <v>33500</v>
      </c>
      <c r="B142" s="774" t="s">
        <v>926</v>
      </c>
      <c r="C142" s="779">
        <v>2.7937000000000001E-3</v>
      </c>
      <c r="D142" s="779">
        <v>2.8739E-3</v>
      </c>
      <c r="E142" s="781">
        <f>IFERROR(VLOOKUP(A142,'DIPNC Contributions 2018'!A:C,3,FALSE),0)</f>
        <v>60620</v>
      </c>
      <c r="F142" s="803">
        <v>-175653</v>
      </c>
      <c r="G142" s="803">
        <v>-84861</v>
      </c>
      <c r="I142" s="781">
        <v>148033</v>
      </c>
      <c r="J142" s="803">
        <v>66091</v>
      </c>
      <c r="K142" s="781">
        <v>16025</v>
      </c>
      <c r="L142" s="781">
        <v>2241</v>
      </c>
      <c r="N142" s="781">
        <v>0</v>
      </c>
      <c r="O142" s="781">
        <v>0</v>
      </c>
      <c r="P142" s="781">
        <v>0</v>
      </c>
      <c r="Q142" s="781">
        <v>818</v>
      </c>
      <c r="R142" s="781"/>
      <c r="S142" s="781">
        <v>5311</v>
      </c>
      <c r="T142" s="781">
        <v>-35</v>
      </c>
      <c r="U142" s="781">
        <v>5276</v>
      </c>
    </row>
    <row r="143" spans="1:21" ht="15" customHeight="1" x14ac:dyDescent="0.25">
      <c r="A143" s="776">
        <v>33501</v>
      </c>
      <c r="B143" s="774" t="s">
        <v>927</v>
      </c>
      <c r="C143" s="779">
        <v>6.7100000000000005E-5</v>
      </c>
      <c r="D143" s="779">
        <v>6.7899999999999997E-5</v>
      </c>
      <c r="E143" s="781">
        <f>IFERROR(VLOOKUP(A143,'DIPNC Contributions 2018'!A:C,3,FALSE),0)</f>
        <v>1393</v>
      </c>
      <c r="F143" s="803">
        <v>-4150</v>
      </c>
      <c r="G143" s="803">
        <v>-2038</v>
      </c>
      <c r="I143" s="781">
        <v>3555</v>
      </c>
      <c r="J143" s="803">
        <v>1587</v>
      </c>
      <c r="K143" s="781">
        <v>385</v>
      </c>
      <c r="L143" s="781">
        <v>0</v>
      </c>
      <c r="N143" s="781">
        <v>0</v>
      </c>
      <c r="O143" s="781">
        <v>0</v>
      </c>
      <c r="P143" s="781">
        <v>0</v>
      </c>
      <c r="Q143" s="781">
        <v>498</v>
      </c>
      <c r="R143" s="781"/>
      <c r="S143" s="781">
        <v>128</v>
      </c>
      <c r="T143" s="781">
        <v>-221</v>
      </c>
      <c r="U143" s="781">
        <v>-93</v>
      </c>
    </row>
    <row r="144" spans="1:21" ht="15" customHeight="1" x14ac:dyDescent="0.25">
      <c r="A144" s="776">
        <v>33600</v>
      </c>
      <c r="B144" s="774" t="s">
        <v>928</v>
      </c>
      <c r="C144" s="779">
        <v>1.0022700000000001E-2</v>
      </c>
      <c r="D144" s="779">
        <v>9.7339999999999996E-3</v>
      </c>
      <c r="E144" s="781">
        <f>IFERROR(VLOOKUP(A144,'DIPNC Contributions 2018'!A:C,3,FALSE),0)</f>
        <v>219719</v>
      </c>
      <c r="F144" s="803">
        <v>-594942</v>
      </c>
      <c r="G144" s="803">
        <v>-304450</v>
      </c>
      <c r="I144" s="781">
        <v>531083</v>
      </c>
      <c r="J144" s="803">
        <v>237107</v>
      </c>
      <c r="K144" s="781">
        <v>57490</v>
      </c>
      <c r="L144" s="781">
        <v>0</v>
      </c>
      <c r="N144" s="781">
        <v>0</v>
      </c>
      <c r="O144" s="781">
        <v>0</v>
      </c>
      <c r="P144" s="781">
        <v>0</v>
      </c>
      <c r="Q144" s="781">
        <v>49672</v>
      </c>
      <c r="R144" s="781"/>
      <c r="S144" s="781">
        <v>19053</v>
      </c>
      <c r="T144" s="781">
        <v>-13123</v>
      </c>
      <c r="U144" s="781">
        <v>5930</v>
      </c>
    </row>
    <row r="145" spans="1:21" ht="15" customHeight="1" x14ac:dyDescent="0.25">
      <c r="A145" s="776">
        <v>33605</v>
      </c>
      <c r="B145" s="774" t="s">
        <v>929</v>
      </c>
      <c r="C145" s="779">
        <v>1.1772E-3</v>
      </c>
      <c r="D145" s="779">
        <v>1.2463999999999999E-3</v>
      </c>
      <c r="E145" s="781">
        <f>IFERROR(VLOOKUP(A145,'DIPNC Contributions 2018'!A:C,3,FALSE),0)</f>
        <v>31448</v>
      </c>
      <c r="F145" s="803">
        <v>-76180</v>
      </c>
      <c r="G145" s="803">
        <v>-35759</v>
      </c>
      <c r="I145" s="781">
        <v>62377</v>
      </c>
      <c r="J145" s="803">
        <v>27849</v>
      </c>
      <c r="K145" s="781">
        <v>6752</v>
      </c>
      <c r="L145" s="781">
        <v>15879</v>
      </c>
      <c r="N145" s="781">
        <v>0</v>
      </c>
      <c r="O145" s="781">
        <v>0</v>
      </c>
      <c r="P145" s="781">
        <v>0</v>
      </c>
      <c r="Q145" s="781">
        <v>0</v>
      </c>
      <c r="R145" s="781"/>
      <c r="S145" s="781">
        <v>2238</v>
      </c>
      <c r="T145" s="781">
        <v>5015</v>
      </c>
      <c r="U145" s="781">
        <v>7253</v>
      </c>
    </row>
    <row r="146" spans="1:21" ht="15" customHeight="1" x14ac:dyDescent="0.25">
      <c r="A146" s="776">
        <v>33700</v>
      </c>
      <c r="B146" s="774" t="s">
        <v>930</v>
      </c>
      <c r="C146" s="779">
        <v>6.5160000000000001E-4</v>
      </c>
      <c r="D146" s="779">
        <v>6.6239999999999995E-4</v>
      </c>
      <c r="E146" s="781">
        <f>IFERROR(VLOOKUP(A146,'DIPNC Contributions 2018'!A:C,3,FALSE),0)</f>
        <v>15329</v>
      </c>
      <c r="F146" s="803">
        <v>-40486</v>
      </c>
      <c r="G146" s="803">
        <v>-19793</v>
      </c>
      <c r="I146" s="781">
        <v>34527</v>
      </c>
      <c r="J146" s="803">
        <v>15415</v>
      </c>
      <c r="K146" s="781">
        <v>3738</v>
      </c>
      <c r="L146" s="781">
        <v>2097</v>
      </c>
      <c r="N146" s="781">
        <v>0</v>
      </c>
      <c r="O146" s="781">
        <v>0</v>
      </c>
      <c r="P146" s="781">
        <v>0</v>
      </c>
      <c r="Q146" s="781">
        <v>0</v>
      </c>
      <c r="R146" s="781"/>
      <c r="S146" s="781">
        <v>1239</v>
      </c>
      <c r="T146" s="781">
        <v>740</v>
      </c>
      <c r="U146" s="781">
        <v>1979</v>
      </c>
    </row>
    <row r="147" spans="1:21" ht="15" customHeight="1" x14ac:dyDescent="0.25">
      <c r="A147" s="776">
        <v>33800</v>
      </c>
      <c r="B147" s="774" t="s">
        <v>931</v>
      </c>
      <c r="C147" s="779">
        <v>4.9560000000000001E-4</v>
      </c>
      <c r="D147" s="779">
        <v>5.1219999999999998E-4</v>
      </c>
      <c r="E147" s="781">
        <f>IFERROR(VLOOKUP(A147,'DIPNC Contributions 2018'!A:C,3,FALSE),0)</f>
        <v>11343</v>
      </c>
      <c r="F147" s="803">
        <v>-31306</v>
      </c>
      <c r="G147" s="803">
        <v>-15054</v>
      </c>
      <c r="I147" s="781">
        <v>26261</v>
      </c>
      <c r="J147" s="803">
        <v>11724</v>
      </c>
      <c r="K147" s="781">
        <v>2843</v>
      </c>
      <c r="L147" s="781">
        <v>1088</v>
      </c>
      <c r="N147" s="781">
        <v>0</v>
      </c>
      <c r="O147" s="781">
        <v>0</v>
      </c>
      <c r="P147" s="781">
        <v>0</v>
      </c>
      <c r="Q147" s="781">
        <v>86</v>
      </c>
      <c r="R147" s="781"/>
      <c r="S147" s="781">
        <v>942</v>
      </c>
      <c r="T147" s="781">
        <v>138</v>
      </c>
      <c r="U147" s="781">
        <v>1080</v>
      </c>
    </row>
    <row r="148" spans="1:21" ht="15" customHeight="1" x14ac:dyDescent="0.25">
      <c r="A148" s="776">
        <v>33900</v>
      </c>
      <c r="B148" s="774" t="s">
        <v>932</v>
      </c>
      <c r="C148" s="779">
        <v>2.4681E-3</v>
      </c>
      <c r="D148" s="779">
        <v>2.5641000000000001E-3</v>
      </c>
      <c r="E148" s="781">
        <f>IFERROR(VLOOKUP(A148,'DIPNC Contributions 2018'!A:C,3,FALSE),0)</f>
        <v>58634</v>
      </c>
      <c r="F148" s="803">
        <v>-156718</v>
      </c>
      <c r="G148" s="803">
        <v>-74971</v>
      </c>
      <c r="I148" s="781">
        <v>130780</v>
      </c>
      <c r="J148" s="803">
        <v>58388</v>
      </c>
      <c r="K148" s="781">
        <v>14157</v>
      </c>
      <c r="L148" s="781">
        <v>14165</v>
      </c>
      <c r="N148" s="781">
        <v>0</v>
      </c>
      <c r="O148" s="781">
        <v>0</v>
      </c>
      <c r="P148" s="781">
        <v>0</v>
      </c>
      <c r="Q148" s="781">
        <v>0</v>
      </c>
      <c r="R148" s="781"/>
      <c r="S148" s="781">
        <v>4692</v>
      </c>
      <c r="T148" s="781">
        <v>4315</v>
      </c>
      <c r="U148" s="781">
        <v>9007</v>
      </c>
    </row>
    <row r="149" spans="1:21" ht="15" customHeight="1" x14ac:dyDescent="0.25">
      <c r="A149" s="776">
        <v>34000</v>
      </c>
      <c r="B149" s="774" t="s">
        <v>933</v>
      </c>
      <c r="C149" s="779">
        <v>1.1444999999999999E-3</v>
      </c>
      <c r="D149" s="779">
        <v>1.1677E-3</v>
      </c>
      <c r="E149" s="781">
        <f>IFERROR(VLOOKUP(A149,'DIPNC Contributions 2018'!A:C,3,FALSE),0)</f>
        <v>25174</v>
      </c>
      <c r="F149" s="803">
        <v>-71370</v>
      </c>
      <c r="G149" s="803">
        <v>-34765</v>
      </c>
      <c r="I149" s="781">
        <v>60645</v>
      </c>
      <c r="J149" s="803">
        <v>27075</v>
      </c>
      <c r="K149" s="781">
        <v>6565</v>
      </c>
      <c r="L149" s="781">
        <v>454</v>
      </c>
      <c r="N149" s="781">
        <v>0</v>
      </c>
      <c r="O149" s="781">
        <v>0</v>
      </c>
      <c r="P149" s="781">
        <v>0</v>
      </c>
      <c r="Q149" s="781">
        <v>2117</v>
      </c>
      <c r="R149" s="781"/>
      <c r="S149" s="781">
        <v>2176</v>
      </c>
      <c r="T149" s="781">
        <v>-983</v>
      </c>
      <c r="U149" s="781">
        <v>1193</v>
      </c>
    </row>
    <row r="150" spans="1:21" ht="15" customHeight="1" x14ac:dyDescent="0.25">
      <c r="A150" s="776">
        <v>34100</v>
      </c>
      <c r="B150" s="774" t="s">
        <v>934</v>
      </c>
      <c r="C150" s="779">
        <v>2.5632800000000001E-2</v>
      </c>
      <c r="D150" s="779">
        <v>2.61458E-2</v>
      </c>
      <c r="E150" s="781">
        <f>IFERROR(VLOOKUP(A150,'DIPNC Contributions 2018'!A:C,3,FALSE),0)</f>
        <v>562049</v>
      </c>
      <c r="F150" s="803">
        <v>-1598031</v>
      </c>
      <c r="G150" s="803">
        <v>-778622</v>
      </c>
      <c r="I150" s="781">
        <v>1358231</v>
      </c>
      <c r="J150" s="803">
        <v>606395</v>
      </c>
      <c r="K150" s="781">
        <v>147030</v>
      </c>
      <c r="L150" s="781">
        <v>8141</v>
      </c>
      <c r="N150" s="781">
        <v>0</v>
      </c>
      <c r="O150" s="781">
        <v>0</v>
      </c>
      <c r="P150" s="781">
        <v>0</v>
      </c>
      <c r="Q150" s="781">
        <v>30239</v>
      </c>
      <c r="R150" s="781"/>
      <c r="S150" s="781">
        <v>48728</v>
      </c>
      <c r="T150" s="781">
        <v>-13762</v>
      </c>
      <c r="U150" s="781">
        <v>34966</v>
      </c>
    </row>
    <row r="151" spans="1:21" ht="15" customHeight="1" x14ac:dyDescent="0.25">
      <c r="A151" s="776">
        <v>34105</v>
      </c>
      <c r="B151" s="774" t="s">
        <v>935</v>
      </c>
      <c r="C151" s="779">
        <v>2.0295000000000001E-3</v>
      </c>
      <c r="D151" s="779">
        <v>2.2208000000000002E-3</v>
      </c>
      <c r="E151" s="781">
        <f>IFERROR(VLOOKUP(A151,'DIPNC Contributions 2018'!A:C,3,FALSE),0)</f>
        <v>52034</v>
      </c>
      <c r="F151" s="803">
        <v>-135735</v>
      </c>
      <c r="G151" s="803">
        <v>-61648</v>
      </c>
      <c r="I151" s="781">
        <v>107539</v>
      </c>
      <c r="J151" s="803">
        <v>48012</v>
      </c>
      <c r="K151" s="781">
        <v>11641</v>
      </c>
      <c r="L151" s="781">
        <v>23559</v>
      </c>
      <c r="N151" s="781">
        <v>0</v>
      </c>
      <c r="O151" s="781">
        <v>0</v>
      </c>
      <c r="P151" s="781">
        <v>0</v>
      </c>
      <c r="Q151" s="781">
        <v>0</v>
      </c>
      <c r="R151" s="781"/>
      <c r="S151" s="781">
        <v>3858</v>
      </c>
      <c r="T151" s="781">
        <v>5483</v>
      </c>
      <c r="U151" s="781">
        <v>9341</v>
      </c>
    </row>
    <row r="152" spans="1:21" ht="15" customHeight="1" x14ac:dyDescent="0.25">
      <c r="A152" s="776">
        <v>34200</v>
      </c>
      <c r="B152" s="774" t="s">
        <v>936</v>
      </c>
      <c r="C152" s="779">
        <v>8.5260000000000002E-4</v>
      </c>
      <c r="D152" s="779">
        <v>8.3549999999999998E-4</v>
      </c>
      <c r="E152" s="781">
        <f>IFERROR(VLOOKUP(A152,'DIPNC Contributions 2018'!A:C,3,FALSE),0)</f>
        <v>21537</v>
      </c>
      <c r="F152" s="803">
        <v>-51066</v>
      </c>
      <c r="G152" s="803">
        <v>-25899</v>
      </c>
      <c r="I152" s="781">
        <v>45178</v>
      </c>
      <c r="J152" s="803">
        <v>20170</v>
      </c>
      <c r="K152" s="781">
        <v>4891</v>
      </c>
      <c r="L152" s="781">
        <v>6734</v>
      </c>
      <c r="N152" s="781">
        <v>0</v>
      </c>
      <c r="O152" s="781">
        <v>0</v>
      </c>
      <c r="P152" s="781">
        <v>0</v>
      </c>
      <c r="Q152" s="781">
        <v>0</v>
      </c>
      <c r="R152" s="781"/>
      <c r="S152" s="781">
        <v>1621</v>
      </c>
      <c r="T152" s="781">
        <v>3356</v>
      </c>
      <c r="U152" s="781">
        <v>4977</v>
      </c>
    </row>
    <row r="153" spans="1:21" ht="15" customHeight="1" x14ac:dyDescent="0.25">
      <c r="A153" s="776">
        <v>34205</v>
      </c>
      <c r="B153" s="774" t="s">
        <v>937</v>
      </c>
      <c r="C153" s="779">
        <v>3.6670000000000002E-4</v>
      </c>
      <c r="D153" s="779">
        <v>4.0170000000000001E-4</v>
      </c>
      <c r="E153" s="781">
        <f>IFERROR(VLOOKUP(A153,'DIPNC Contributions 2018'!A:C,3,FALSE),0)</f>
        <v>9450</v>
      </c>
      <c r="F153" s="803">
        <v>-24552</v>
      </c>
      <c r="G153" s="803">
        <v>-11139</v>
      </c>
      <c r="I153" s="781">
        <v>19431</v>
      </c>
      <c r="J153" s="803">
        <v>8675</v>
      </c>
      <c r="K153" s="781">
        <v>2103</v>
      </c>
      <c r="L153" s="781">
        <v>4720</v>
      </c>
      <c r="N153" s="781">
        <v>0</v>
      </c>
      <c r="O153" s="781">
        <v>0</v>
      </c>
      <c r="P153" s="781">
        <v>0</v>
      </c>
      <c r="Q153" s="781">
        <v>0</v>
      </c>
      <c r="R153" s="781"/>
      <c r="S153" s="781">
        <v>697</v>
      </c>
      <c r="T153" s="781">
        <v>1197</v>
      </c>
      <c r="U153" s="781">
        <v>1894</v>
      </c>
    </row>
    <row r="154" spans="1:21" ht="15" customHeight="1" x14ac:dyDescent="0.25">
      <c r="A154" s="776">
        <v>34220</v>
      </c>
      <c r="B154" s="774" t="s">
        <v>938</v>
      </c>
      <c r="C154" s="779">
        <v>9.9749999999999991E-4</v>
      </c>
      <c r="D154" s="779">
        <v>9.4919999999999998E-4</v>
      </c>
      <c r="E154" s="781">
        <f>IFERROR(VLOOKUP(A154,'DIPNC Contributions 2018'!A:C,3,FALSE),0)</f>
        <v>23654</v>
      </c>
      <c r="F154" s="803">
        <v>-58015</v>
      </c>
      <c r="G154" s="803">
        <v>-30300</v>
      </c>
      <c r="I154" s="781">
        <v>52856</v>
      </c>
      <c r="J154" s="803">
        <v>23598</v>
      </c>
      <c r="K154" s="781">
        <v>5722</v>
      </c>
      <c r="L154" s="781">
        <v>1089</v>
      </c>
      <c r="N154" s="781">
        <v>0</v>
      </c>
      <c r="O154" s="781">
        <v>0</v>
      </c>
      <c r="P154" s="781">
        <v>0</v>
      </c>
      <c r="Q154" s="781">
        <v>3497</v>
      </c>
      <c r="R154" s="781"/>
      <c r="S154" s="781">
        <v>1896</v>
      </c>
      <c r="T154" s="781">
        <v>-38</v>
      </c>
      <c r="U154" s="781">
        <v>1858</v>
      </c>
    </row>
    <row r="155" spans="1:21" ht="15" customHeight="1" x14ac:dyDescent="0.25">
      <c r="A155" s="776">
        <v>34230</v>
      </c>
      <c r="B155" s="774" t="s">
        <v>939</v>
      </c>
      <c r="C155" s="779">
        <v>3.7169999999999998E-4</v>
      </c>
      <c r="D155" s="779">
        <v>3.8259999999999998E-4</v>
      </c>
      <c r="E155" s="781">
        <f>IFERROR(VLOOKUP(A155,'DIPNC Contributions 2018'!A:C,3,FALSE),0)</f>
        <v>9106</v>
      </c>
      <c r="F155" s="803">
        <v>-23385</v>
      </c>
      <c r="G155" s="803">
        <v>-11291</v>
      </c>
      <c r="I155" s="781">
        <v>19696</v>
      </c>
      <c r="J155" s="803">
        <v>8793</v>
      </c>
      <c r="K155" s="781">
        <v>2132</v>
      </c>
      <c r="L155" s="781">
        <v>3075</v>
      </c>
      <c r="N155" s="781">
        <v>0</v>
      </c>
      <c r="O155" s="781">
        <v>0</v>
      </c>
      <c r="P155" s="781">
        <v>0</v>
      </c>
      <c r="Q155" s="781">
        <v>0</v>
      </c>
      <c r="R155" s="781"/>
      <c r="S155" s="781">
        <v>707</v>
      </c>
      <c r="T155" s="781">
        <v>1135</v>
      </c>
      <c r="U155" s="781">
        <v>1842</v>
      </c>
    </row>
    <row r="156" spans="1:21" ht="15" customHeight="1" x14ac:dyDescent="0.25">
      <c r="A156" s="776">
        <v>34300</v>
      </c>
      <c r="B156" s="774" t="s">
        <v>940</v>
      </c>
      <c r="C156" s="779">
        <v>6.3990000000000002E-3</v>
      </c>
      <c r="D156" s="779">
        <v>6.3657000000000002E-3</v>
      </c>
      <c r="E156" s="781">
        <f>IFERROR(VLOOKUP(A156,'DIPNC Contributions 2018'!A:C,3,FALSE),0)</f>
        <v>139993</v>
      </c>
      <c r="F156" s="803">
        <v>-389072</v>
      </c>
      <c r="G156" s="803">
        <v>-194376</v>
      </c>
      <c r="I156" s="781">
        <v>339070</v>
      </c>
      <c r="J156" s="803">
        <v>151381</v>
      </c>
      <c r="K156" s="781">
        <v>36705</v>
      </c>
      <c r="L156" s="781">
        <v>0</v>
      </c>
      <c r="N156" s="781">
        <v>0</v>
      </c>
      <c r="O156" s="781">
        <v>0</v>
      </c>
      <c r="P156" s="781">
        <v>0</v>
      </c>
      <c r="Q156" s="781">
        <v>24520</v>
      </c>
      <c r="R156" s="781"/>
      <c r="S156" s="781">
        <v>12164</v>
      </c>
      <c r="T156" s="781">
        <v>-8639</v>
      </c>
      <c r="U156" s="781">
        <v>3525</v>
      </c>
    </row>
    <row r="157" spans="1:21" ht="15" customHeight="1" x14ac:dyDescent="0.25">
      <c r="A157" s="776">
        <v>34400</v>
      </c>
      <c r="B157" s="774" t="s">
        <v>941</v>
      </c>
      <c r="C157" s="779">
        <v>2.4753000000000002E-3</v>
      </c>
      <c r="D157" s="779">
        <v>2.4949E-3</v>
      </c>
      <c r="E157" s="781">
        <f>IFERROR(VLOOKUP(A157,'DIPNC Contributions 2018'!A:C,3,FALSE),0)</f>
        <v>55882</v>
      </c>
      <c r="F157" s="803">
        <v>-152488</v>
      </c>
      <c r="G157" s="803">
        <v>-75190</v>
      </c>
      <c r="I157" s="781">
        <v>131161</v>
      </c>
      <c r="J157" s="803">
        <v>58558</v>
      </c>
      <c r="K157" s="781">
        <v>14198</v>
      </c>
      <c r="L157" s="781">
        <v>2406</v>
      </c>
      <c r="N157" s="781">
        <v>0</v>
      </c>
      <c r="O157" s="781">
        <v>0</v>
      </c>
      <c r="P157" s="781">
        <v>0</v>
      </c>
      <c r="Q157" s="781">
        <v>179</v>
      </c>
      <c r="R157" s="781"/>
      <c r="S157" s="781">
        <v>4706</v>
      </c>
      <c r="T157" s="781">
        <v>1173</v>
      </c>
      <c r="U157" s="781">
        <v>5879</v>
      </c>
    </row>
    <row r="158" spans="1:21" ht="15" customHeight="1" x14ac:dyDescent="0.25">
      <c r="A158" s="776">
        <v>34405</v>
      </c>
      <c r="B158" s="774" t="s">
        <v>942</v>
      </c>
      <c r="C158" s="779">
        <v>4.9089999999999995E-4</v>
      </c>
      <c r="D158" s="779">
        <v>4.9669999999999998E-4</v>
      </c>
      <c r="E158" s="781">
        <f>IFERROR(VLOOKUP(A158,'DIPNC Contributions 2018'!A:C,3,FALSE),0)</f>
        <v>11582</v>
      </c>
      <c r="F158" s="803">
        <v>-30358</v>
      </c>
      <c r="G158" s="803">
        <v>-14912</v>
      </c>
      <c r="I158" s="781">
        <v>26012</v>
      </c>
      <c r="J158" s="803">
        <v>11613</v>
      </c>
      <c r="K158" s="781">
        <v>2816</v>
      </c>
      <c r="L158" s="781">
        <v>1959</v>
      </c>
      <c r="N158" s="781">
        <v>0</v>
      </c>
      <c r="O158" s="781">
        <v>0</v>
      </c>
      <c r="P158" s="781">
        <v>0</v>
      </c>
      <c r="Q158" s="781">
        <v>0</v>
      </c>
      <c r="R158" s="781"/>
      <c r="S158" s="781">
        <v>933</v>
      </c>
      <c r="T158" s="781">
        <v>799</v>
      </c>
      <c r="U158" s="781">
        <v>1732</v>
      </c>
    </row>
    <row r="159" spans="1:21" ht="15" customHeight="1" x14ac:dyDescent="0.25">
      <c r="A159" s="776">
        <v>34500</v>
      </c>
      <c r="B159" s="774" t="s">
        <v>943</v>
      </c>
      <c r="C159" s="779">
        <v>4.5239E-3</v>
      </c>
      <c r="D159" s="779">
        <v>4.4920000000000003E-3</v>
      </c>
      <c r="E159" s="781">
        <f>IFERROR(VLOOKUP(A159,'DIPNC Contributions 2018'!A:C,3,FALSE),0)</f>
        <v>100808</v>
      </c>
      <c r="F159" s="803">
        <v>-274551</v>
      </c>
      <c r="G159" s="803">
        <v>-137418</v>
      </c>
      <c r="I159" s="781">
        <v>239712</v>
      </c>
      <c r="J159" s="803">
        <v>107022</v>
      </c>
      <c r="K159" s="781">
        <v>25949</v>
      </c>
      <c r="L159" s="781">
        <v>0</v>
      </c>
      <c r="N159" s="781">
        <v>0</v>
      </c>
      <c r="O159" s="781">
        <v>0</v>
      </c>
      <c r="P159" s="781">
        <v>0</v>
      </c>
      <c r="Q159" s="781">
        <v>9061</v>
      </c>
      <c r="R159" s="781"/>
      <c r="S159" s="781">
        <v>8600</v>
      </c>
      <c r="T159" s="781">
        <v>-2277</v>
      </c>
      <c r="U159" s="781">
        <v>6323</v>
      </c>
    </row>
    <row r="160" spans="1:21" ht="15" customHeight="1" x14ac:dyDescent="0.25">
      <c r="A160" s="776">
        <v>34501</v>
      </c>
      <c r="B160" s="774" t="s">
        <v>944</v>
      </c>
      <c r="C160" s="779">
        <v>6.3100000000000002E-5</v>
      </c>
      <c r="D160" s="779">
        <v>5.5300000000000002E-5</v>
      </c>
      <c r="E160" s="781">
        <f>IFERROR(VLOOKUP(A160,'DIPNC Contributions 2018'!A:C,3,FALSE),0)</f>
        <v>1215</v>
      </c>
      <c r="F160" s="803">
        <v>-3380</v>
      </c>
      <c r="G160" s="803">
        <v>-1917</v>
      </c>
      <c r="I160" s="781">
        <v>3344</v>
      </c>
      <c r="J160" s="803">
        <v>1493</v>
      </c>
      <c r="K160" s="781">
        <v>362</v>
      </c>
      <c r="L160" s="781">
        <v>0</v>
      </c>
      <c r="N160" s="781">
        <v>0</v>
      </c>
      <c r="O160" s="781">
        <v>0</v>
      </c>
      <c r="P160" s="781">
        <v>0</v>
      </c>
      <c r="Q160" s="781">
        <v>988</v>
      </c>
      <c r="R160" s="781"/>
      <c r="S160" s="781">
        <v>120</v>
      </c>
      <c r="T160" s="781">
        <v>-216</v>
      </c>
      <c r="U160" s="781">
        <v>-96</v>
      </c>
    </row>
    <row r="161" spans="1:21" ht="15" customHeight="1" x14ac:dyDescent="0.25">
      <c r="A161" s="776">
        <v>34505</v>
      </c>
      <c r="B161" s="774" t="s">
        <v>945</v>
      </c>
      <c r="C161" s="779">
        <v>5.7059999999999999E-4</v>
      </c>
      <c r="D161" s="779">
        <v>5.7729999999999999E-4</v>
      </c>
      <c r="E161" s="781">
        <f>IFERROR(VLOOKUP(A161,'DIPNC Contributions 2018'!A:C,3,FALSE),0)</f>
        <v>14515</v>
      </c>
      <c r="F161" s="803">
        <v>-35285</v>
      </c>
      <c r="G161" s="803">
        <v>-17333</v>
      </c>
      <c r="I161" s="781">
        <v>30235</v>
      </c>
      <c r="J161" s="803">
        <v>13499</v>
      </c>
      <c r="K161" s="781">
        <v>3273</v>
      </c>
      <c r="L161" s="781">
        <v>2673</v>
      </c>
      <c r="N161" s="781">
        <v>0</v>
      </c>
      <c r="O161" s="781">
        <v>0</v>
      </c>
      <c r="P161" s="781">
        <v>0</v>
      </c>
      <c r="Q161" s="781">
        <v>0</v>
      </c>
      <c r="R161" s="781"/>
      <c r="S161" s="781">
        <v>1085</v>
      </c>
      <c r="T161" s="781">
        <v>827</v>
      </c>
      <c r="U161" s="781">
        <v>1912</v>
      </c>
    </row>
    <row r="162" spans="1:21" ht="15" customHeight="1" x14ac:dyDescent="0.25">
      <c r="A162" s="776">
        <v>34600</v>
      </c>
      <c r="B162" s="774" t="s">
        <v>946</v>
      </c>
      <c r="C162" s="779">
        <v>1.0579000000000001E-3</v>
      </c>
      <c r="D162" s="779">
        <v>1.0660999999999999E-3</v>
      </c>
      <c r="E162" s="781">
        <f>IFERROR(VLOOKUP(A162,'DIPNC Contributions 2018'!A:C,3,FALSE),0)</f>
        <v>25407</v>
      </c>
      <c r="F162" s="803">
        <v>-65160</v>
      </c>
      <c r="G162" s="803">
        <v>-32135</v>
      </c>
      <c r="I162" s="781">
        <v>56056</v>
      </c>
      <c r="J162" s="803">
        <v>25027</v>
      </c>
      <c r="K162" s="781">
        <v>6068</v>
      </c>
      <c r="L162" s="781">
        <v>2584</v>
      </c>
      <c r="N162" s="781">
        <v>0</v>
      </c>
      <c r="O162" s="781">
        <v>0</v>
      </c>
      <c r="P162" s="781">
        <v>0</v>
      </c>
      <c r="Q162" s="781">
        <v>0</v>
      </c>
      <c r="R162" s="781"/>
      <c r="S162" s="781">
        <v>2011</v>
      </c>
      <c r="T162" s="781">
        <v>887</v>
      </c>
      <c r="U162" s="781">
        <v>2898</v>
      </c>
    </row>
    <row r="163" spans="1:21" ht="15" customHeight="1" x14ac:dyDescent="0.25">
      <c r="A163" s="776">
        <v>34605</v>
      </c>
      <c r="B163" s="774" t="s">
        <v>947</v>
      </c>
      <c r="C163" s="779">
        <v>2.0159999999999999E-4</v>
      </c>
      <c r="D163" s="779">
        <v>2.1880000000000001E-4</v>
      </c>
      <c r="E163" s="781">
        <f>IFERROR(VLOOKUP(A163,'DIPNC Contributions 2018'!A:C,3,FALSE),0)</f>
        <v>5117</v>
      </c>
      <c r="F163" s="803">
        <v>-13373</v>
      </c>
      <c r="G163" s="803">
        <v>-6124</v>
      </c>
      <c r="I163" s="781">
        <v>10682</v>
      </c>
      <c r="J163" s="803">
        <v>4769</v>
      </c>
      <c r="K163" s="781">
        <v>1156</v>
      </c>
      <c r="L163" s="781">
        <v>2921</v>
      </c>
      <c r="N163" s="781">
        <v>0</v>
      </c>
      <c r="O163" s="781">
        <v>0</v>
      </c>
      <c r="P163" s="781">
        <v>0</v>
      </c>
      <c r="Q163" s="781">
        <v>0</v>
      </c>
      <c r="R163" s="781"/>
      <c r="S163" s="781">
        <v>383</v>
      </c>
      <c r="T163" s="781">
        <v>897</v>
      </c>
      <c r="U163" s="781">
        <v>1280</v>
      </c>
    </row>
    <row r="164" spans="1:21" ht="15" customHeight="1" x14ac:dyDescent="0.25">
      <c r="A164" s="776">
        <v>34700</v>
      </c>
      <c r="B164" s="774" t="s">
        <v>948</v>
      </c>
      <c r="C164" s="779">
        <v>3.0143000000000001E-3</v>
      </c>
      <c r="D164" s="779">
        <v>2.9867000000000001E-3</v>
      </c>
      <c r="E164" s="781">
        <f>IFERROR(VLOOKUP(A164,'DIPNC Contributions 2018'!A:C,3,FALSE),0)</f>
        <v>61225</v>
      </c>
      <c r="F164" s="803">
        <v>-182547</v>
      </c>
      <c r="G164" s="803">
        <v>-91562</v>
      </c>
      <c r="I164" s="781">
        <v>159722</v>
      </c>
      <c r="J164" s="803">
        <v>71309</v>
      </c>
      <c r="K164" s="781">
        <v>17290</v>
      </c>
      <c r="L164" s="781">
        <v>0</v>
      </c>
      <c r="N164" s="781">
        <v>0</v>
      </c>
      <c r="O164" s="781">
        <v>0</v>
      </c>
      <c r="P164" s="781">
        <v>0</v>
      </c>
      <c r="Q164" s="781">
        <v>20204</v>
      </c>
      <c r="R164" s="781"/>
      <c r="S164" s="781">
        <v>5730</v>
      </c>
      <c r="T164" s="781">
        <v>-6738</v>
      </c>
      <c r="U164" s="781">
        <v>-1008</v>
      </c>
    </row>
    <row r="165" spans="1:21" ht="15" customHeight="1" x14ac:dyDescent="0.25">
      <c r="A165" s="776">
        <v>34800</v>
      </c>
      <c r="B165" s="774" t="s">
        <v>949</v>
      </c>
      <c r="C165" s="779">
        <v>3.3819999999999998E-4</v>
      </c>
      <c r="D165" s="779">
        <v>3.2909999999999998E-4</v>
      </c>
      <c r="E165" s="781">
        <f>IFERROR(VLOOKUP(A165,'DIPNC Contributions 2018'!A:C,3,FALSE),0)</f>
        <v>7899</v>
      </c>
      <c r="F165" s="803">
        <v>-20115</v>
      </c>
      <c r="G165" s="803">
        <v>-10273</v>
      </c>
      <c r="I165" s="781">
        <v>17921</v>
      </c>
      <c r="J165" s="803">
        <v>8001</v>
      </c>
      <c r="K165" s="781">
        <v>1940</v>
      </c>
      <c r="L165" s="781">
        <v>557</v>
      </c>
      <c r="N165" s="781">
        <v>0</v>
      </c>
      <c r="O165" s="781">
        <v>0</v>
      </c>
      <c r="P165" s="781">
        <v>0</v>
      </c>
      <c r="Q165" s="781">
        <v>719</v>
      </c>
      <c r="R165" s="781"/>
      <c r="S165" s="781">
        <v>643</v>
      </c>
      <c r="T165" s="781">
        <v>159</v>
      </c>
      <c r="U165" s="781">
        <v>802</v>
      </c>
    </row>
    <row r="166" spans="1:21" ht="15" customHeight="1" x14ac:dyDescent="0.25">
      <c r="A166" s="776">
        <v>34900</v>
      </c>
      <c r="B166" s="774" t="s">
        <v>1551</v>
      </c>
      <c r="C166" s="779">
        <v>6.3610999999999997E-3</v>
      </c>
      <c r="D166" s="779">
        <v>6.4346000000000004E-3</v>
      </c>
      <c r="E166" s="781">
        <f>IFERROR(VLOOKUP(A166,'DIPNC Contributions 2018'!A:C,3,FALSE),0)</f>
        <v>146048</v>
      </c>
      <c r="F166" s="803">
        <v>-393283</v>
      </c>
      <c r="G166" s="803">
        <v>-193225</v>
      </c>
      <c r="I166" s="781">
        <v>337062</v>
      </c>
      <c r="J166" s="803">
        <v>150485</v>
      </c>
      <c r="K166" s="781">
        <v>36487</v>
      </c>
      <c r="L166" s="781">
        <v>3441</v>
      </c>
      <c r="N166" s="781">
        <v>0</v>
      </c>
      <c r="O166" s="781">
        <v>0</v>
      </c>
      <c r="P166" s="781">
        <v>0</v>
      </c>
      <c r="Q166" s="781">
        <v>351</v>
      </c>
      <c r="R166" s="781"/>
      <c r="S166" s="781">
        <v>12092</v>
      </c>
      <c r="T166" s="781">
        <v>398</v>
      </c>
      <c r="U166" s="781">
        <v>12490</v>
      </c>
    </row>
    <row r="167" spans="1:21" ht="15" customHeight="1" x14ac:dyDescent="0.25">
      <c r="A167" s="776">
        <v>34901</v>
      </c>
      <c r="B167" s="774" t="s">
        <v>1552</v>
      </c>
      <c r="C167" s="779">
        <v>1.7349999999999999E-4</v>
      </c>
      <c r="D167" s="779">
        <v>1.593E-4</v>
      </c>
      <c r="E167" s="781">
        <f>IFERROR(VLOOKUP(A167,'DIPNC Contributions 2018'!A:C,3,FALSE),0)</f>
        <v>3298</v>
      </c>
      <c r="F167" s="803">
        <v>-9736</v>
      </c>
      <c r="G167" s="803">
        <v>-5270</v>
      </c>
      <c r="I167" s="781">
        <v>9193</v>
      </c>
      <c r="J167" s="803">
        <v>4104</v>
      </c>
      <c r="K167" s="781">
        <v>995</v>
      </c>
      <c r="L167" s="781">
        <v>0</v>
      </c>
      <c r="N167" s="781">
        <v>0</v>
      </c>
      <c r="O167" s="781">
        <v>0</v>
      </c>
      <c r="P167" s="781">
        <v>0</v>
      </c>
      <c r="Q167" s="781">
        <v>2198</v>
      </c>
      <c r="R167" s="781"/>
      <c r="S167" s="781">
        <v>330</v>
      </c>
      <c r="T167" s="781">
        <v>-513</v>
      </c>
      <c r="U167" s="781">
        <v>-183</v>
      </c>
    </row>
    <row r="168" spans="1:21" ht="15" customHeight="1" x14ac:dyDescent="0.25">
      <c r="A168" s="776">
        <v>34903</v>
      </c>
      <c r="B168" s="774" t="s">
        <v>952</v>
      </c>
      <c r="C168" s="779">
        <v>6.3999999999999997E-6</v>
      </c>
      <c r="D168" s="779">
        <v>1.01E-5</v>
      </c>
      <c r="E168" s="781">
        <f>IFERROR(VLOOKUP(A168,'DIPNC Contributions 2018'!A:C,3,FALSE),0)</f>
        <v>335</v>
      </c>
      <c r="F168" s="803">
        <v>-617</v>
      </c>
      <c r="G168" s="803">
        <v>-194</v>
      </c>
      <c r="I168" s="781">
        <v>339</v>
      </c>
      <c r="J168" s="803">
        <v>151</v>
      </c>
      <c r="K168" s="781">
        <v>37</v>
      </c>
      <c r="L168" s="781">
        <v>652</v>
      </c>
      <c r="N168" s="781">
        <v>0</v>
      </c>
      <c r="O168" s="781">
        <v>0</v>
      </c>
      <c r="P168" s="781">
        <v>0</v>
      </c>
      <c r="Q168" s="781">
        <v>0</v>
      </c>
      <c r="R168" s="781"/>
      <c r="S168" s="781">
        <v>12</v>
      </c>
      <c r="T168" s="781">
        <v>177</v>
      </c>
      <c r="U168" s="781">
        <v>189</v>
      </c>
    </row>
    <row r="169" spans="1:21" ht="15" customHeight="1" x14ac:dyDescent="0.25">
      <c r="A169" s="776">
        <v>34905</v>
      </c>
      <c r="B169" s="774" t="s">
        <v>953</v>
      </c>
      <c r="C169" s="779">
        <v>6.0919999999999995E-4</v>
      </c>
      <c r="D169" s="779">
        <v>6.3719999999999998E-4</v>
      </c>
      <c r="E169" s="781">
        <f>IFERROR(VLOOKUP(A169,'DIPNC Contributions 2018'!A:C,3,FALSE),0)</f>
        <v>14529</v>
      </c>
      <c r="F169" s="803">
        <v>-38946</v>
      </c>
      <c r="G169" s="803">
        <v>-18505</v>
      </c>
      <c r="I169" s="781">
        <v>32280</v>
      </c>
      <c r="J169" s="803">
        <v>14412</v>
      </c>
      <c r="K169" s="781">
        <v>3494</v>
      </c>
      <c r="L169" s="781">
        <v>2685</v>
      </c>
      <c r="N169" s="781">
        <v>0</v>
      </c>
      <c r="O169" s="781">
        <v>0</v>
      </c>
      <c r="P169" s="781">
        <v>0</v>
      </c>
      <c r="Q169" s="781">
        <v>0</v>
      </c>
      <c r="R169" s="781"/>
      <c r="S169" s="781">
        <v>1158</v>
      </c>
      <c r="T169" s="781">
        <v>531</v>
      </c>
      <c r="U169" s="781">
        <v>1689</v>
      </c>
    </row>
    <row r="170" spans="1:21" ht="15" customHeight="1" x14ac:dyDescent="0.25">
      <c r="A170" s="776">
        <v>34910</v>
      </c>
      <c r="B170" s="774" t="s">
        <v>954</v>
      </c>
      <c r="C170" s="779">
        <v>2.0368000000000001E-3</v>
      </c>
      <c r="D170" s="779">
        <v>2.0162000000000001E-3</v>
      </c>
      <c r="E170" s="781">
        <f>IFERROR(VLOOKUP(A170,'DIPNC Contributions 2018'!A:C,3,FALSE),0)</f>
        <v>44301</v>
      </c>
      <c r="F170" s="803">
        <v>-123230</v>
      </c>
      <c r="G170" s="803">
        <v>-61870</v>
      </c>
      <c r="I170" s="781">
        <v>107926</v>
      </c>
      <c r="J170" s="803">
        <v>48185</v>
      </c>
      <c r="K170" s="781">
        <v>11683</v>
      </c>
      <c r="L170" s="781">
        <v>0</v>
      </c>
      <c r="N170" s="781">
        <v>0</v>
      </c>
      <c r="O170" s="781">
        <v>0</v>
      </c>
      <c r="P170" s="781">
        <v>0</v>
      </c>
      <c r="Q170" s="781">
        <v>7576</v>
      </c>
      <c r="R170" s="781"/>
      <c r="S170" s="781">
        <v>3872</v>
      </c>
      <c r="T170" s="781">
        <v>-2301</v>
      </c>
      <c r="U170" s="781">
        <v>1571</v>
      </c>
    </row>
    <row r="171" spans="1:21" ht="15" customHeight="1" x14ac:dyDescent="0.25">
      <c r="A171" s="776">
        <v>35000</v>
      </c>
      <c r="B171" s="774" t="s">
        <v>955</v>
      </c>
      <c r="C171" s="779">
        <v>1.3309999999999999E-3</v>
      </c>
      <c r="D171" s="779">
        <v>1.3412999999999999E-3</v>
      </c>
      <c r="E171" s="781">
        <f>IFERROR(VLOOKUP(A171,'DIPNC Contributions 2018'!A:C,3,FALSE),0)</f>
        <v>29468</v>
      </c>
      <c r="F171" s="803">
        <v>-81980</v>
      </c>
      <c r="G171" s="803">
        <v>-40430</v>
      </c>
      <c r="I171" s="781">
        <v>70527</v>
      </c>
      <c r="J171" s="803">
        <v>31487</v>
      </c>
      <c r="K171" s="781">
        <v>7635</v>
      </c>
      <c r="L171" s="781">
        <v>0</v>
      </c>
      <c r="N171" s="781">
        <v>0</v>
      </c>
      <c r="O171" s="781">
        <v>0</v>
      </c>
      <c r="P171" s="781">
        <v>0</v>
      </c>
      <c r="Q171" s="781">
        <v>1188</v>
      </c>
      <c r="R171" s="781"/>
      <c r="S171" s="781">
        <v>2530</v>
      </c>
      <c r="T171" s="781">
        <v>-390</v>
      </c>
      <c r="U171" s="781">
        <v>2140</v>
      </c>
    </row>
    <row r="172" spans="1:21" ht="15" customHeight="1" x14ac:dyDescent="0.25">
      <c r="A172" s="776">
        <v>35005</v>
      </c>
      <c r="B172" s="774" t="s">
        <v>956</v>
      </c>
      <c r="C172" s="779">
        <v>6.0729999999999996E-4</v>
      </c>
      <c r="D172" s="779">
        <v>6.1209999999999997E-4</v>
      </c>
      <c r="E172" s="781">
        <f>IFERROR(VLOOKUP(A172,'DIPNC Contributions 2018'!A:C,3,FALSE),0)</f>
        <v>14623</v>
      </c>
      <c r="F172" s="803">
        <v>-37412</v>
      </c>
      <c r="G172" s="803">
        <v>-18447</v>
      </c>
      <c r="I172" s="781">
        <v>32180</v>
      </c>
      <c r="J172" s="803">
        <v>14367</v>
      </c>
      <c r="K172" s="781">
        <v>3483</v>
      </c>
      <c r="L172" s="781">
        <v>1794</v>
      </c>
      <c r="N172" s="781">
        <v>0</v>
      </c>
      <c r="O172" s="781">
        <v>0</v>
      </c>
      <c r="P172" s="781">
        <v>0</v>
      </c>
      <c r="Q172" s="781">
        <v>0</v>
      </c>
      <c r="R172" s="781"/>
      <c r="S172" s="781">
        <v>1154</v>
      </c>
      <c r="T172" s="781">
        <v>651</v>
      </c>
      <c r="U172" s="781">
        <v>1805</v>
      </c>
    </row>
    <row r="173" spans="1:21" ht="15" customHeight="1" x14ac:dyDescent="0.25">
      <c r="A173" s="776">
        <v>35100</v>
      </c>
      <c r="B173" s="774" t="s">
        <v>957</v>
      </c>
      <c r="C173" s="779">
        <v>1.2019500000000001E-2</v>
      </c>
      <c r="D173" s="779">
        <v>1.17844E-2</v>
      </c>
      <c r="E173" s="781">
        <f>IFERROR(VLOOKUP(A173,'DIPNC Contributions 2018'!A:C,3,FALSE),0)</f>
        <v>256876</v>
      </c>
      <c r="F173" s="803">
        <v>-720263</v>
      </c>
      <c r="G173" s="803">
        <v>-365104</v>
      </c>
      <c r="I173" s="781">
        <v>636889</v>
      </c>
      <c r="J173" s="803">
        <v>284345</v>
      </c>
      <c r="K173" s="781">
        <v>68944</v>
      </c>
      <c r="L173" s="781">
        <v>0</v>
      </c>
      <c r="N173" s="781">
        <v>0</v>
      </c>
      <c r="O173" s="781">
        <v>0</v>
      </c>
      <c r="P173" s="781">
        <v>0</v>
      </c>
      <c r="Q173" s="781">
        <v>74303</v>
      </c>
      <c r="R173" s="781"/>
      <c r="S173" s="781">
        <v>22849</v>
      </c>
      <c r="T173" s="781">
        <v>-24112</v>
      </c>
      <c r="U173" s="781">
        <v>-1263</v>
      </c>
    </row>
    <row r="174" spans="1:21" ht="15" customHeight="1" x14ac:dyDescent="0.25">
      <c r="A174" s="776">
        <v>35105</v>
      </c>
      <c r="B174" s="774" t="s">
        <v>958</v>
      </c>
      <c r="C174" s="779">
        <v>1.0104999999999999E-3</v>
      </c>
      <c r="D174" s="779">
        <v>1.0185000000000001E-3</v>
      </c>
      <c r="E174" s="781">
        <f>IFERROR(VLOOKUP(A174,'DIPNC Contributions 2018'!A:C,3,FALSE),0)</f>
        <v>23308</v>
      </c>
      <c r="F174" s="803">
        <v>-62251</v>
      </c>
      <c r="G174" s="803">
        <v>-30695</v>
      </c>
      <c r="I174" s="781">
        <v>53544</v>
      </c>
      <c r="J174" s="803">
        <v>23905</v>
      </c>
      <c r="K174" s="781">
        <v>5796</v>
      </c>
      <c r="L174" s="781">
        <v>351</v>
      </c>
      <c r="N174" s="781">
        <v>0</v>
      </c>
      <c r="O174" s="781">
        <v>0</v>
      </c>
      <c r="P174" s="781">
        <v>0</v>
      </c>
      <c r="Q174" s="781">
        <v>15</v>
      </c>
      <c r="R174" s="781"/>
      <c r="S174" s="781">
        <v>1921</v>
      </c>
      <c r="T174" s="781">
        <v>50</v>
      </c>
      <c r="U174" s="781">
        <v>1971</v>
      </c>
    </row>
    <row r="175" spans="1:21" ht="15" customHeight="1" x14ac:dyDescent="0.25">
      <c r="A175" s="776">
        <v>35106</v>
      </c>
      <c r="B175" s="774" t="s">
        <v>959</v>
      </c>
      <c r="C175" s="779">
        <v>2.6249999999999998E-4</v>
      </c>
      <c r="D175" s="779">
        <v>2.5569999999999998E-4</v>
      </c>
      <c r="E175" s="781">
        <f>IFERROR(VLOOKUP(A175,'DIPNC Contributions 2018'!A:C,3,FALSE),0)</f>
        <v>4984</v>
      </c>
      <c r="F175" s="803">
        <v>-15628</v>
      </c>
      <c r="G175" s="803">
        <v>-7974</v>
      </c>
      <c r="I175" s="781">
        <v>13909</v>
      </c>
      <c r="J175" s="803">
        <v>6210</v>
      </c>
      <c r="K175" s="781">
        <v>1506</v>
      </c>
      <c r="L175" s="781">
        <v>0</v>
      </c>
      <c r="N175" s="781">
        <v>0</v>
      </c>
      <c r="O175" s="781">
        <v>0</v>
      </c>
      <c r="P175" s="781">
        <v>0</v>
      </c>
      <c r="Q175" s="781">
        <v>2377</v>
      </c>
      <c r="R175" s="781"/>
      <c r="S175" s="781">
        <v>499</v>
      </c>
      <c r="T175" s="781">
        <v>-682</v>
      </c>
      <c r="U175" s="781">
        <v>-183</v>
      </c>
    </row>
    <row r="176" spans="1:21" ht="15" customHeight="1" x14ac:dyDescent="0.25">
      <c r="A176" s="776">
        <v>35200</v>
      </c>
      <c r="B176" s="774" t="s">
        <v>960</v>
      </c>
      <c r="C176" s="779">
        <v>4.8970000000000003E-4</v>
      </c>
      <c r="D176" s="779">
        <v>4.8859999999999995E-4</v>
      </c>
      <c r="E176" s="781">
        <f>IFERROR(VLOOKUP(A176,'DIPNC Contributions 2018'!A:C,3,FALSE),0)</f>
        <v>12192</v>
      </c>
      <c r="F176" s="803">
        <v>-29863</v>
      </c>
      <c r="G176" s="803">
        <v>-14875</v>
      </c>
      <c r="I176" s="781">
        <v>25948</v>
      </c>
      <c r="J176" s="803">
        <v>11585</v>
      </c>
      <c r="K176" s="781">
        <v>2809</v>
      </c>
      <c r="L176" s="781">
        <v>2309</v>
      </c>
      <c r="N176" s="781">
        <v>0</v>
      </c>
      <c r="O176" s="781">
        <v>0</v>
      </c>
      <c r="P176" s="781">
        <v>0</v>
      </c>
      <c r="Q176" s="781">
        <v>0</v>
      </c>
      <c r="R176" s="781"/>
      <c r="S176" s="781">
        <v>931</v>
      </c>
      <c r="T176" s="781">
        <v>972</v>
      </c>
      <c r="U176" s="781">
        <v>1903</v>
      </c>
    </row>
    <row r="177" spans="1:21" ht="15" customHeight="1" x14ac:dyDescent="0.25">
      <c r="A177" s="776">
        <v>35300</v>
      </c>
      <c r="B177" s="774" t="s">
        <v>1553</v>
      </c>
      <c r="C177" s="779">
        <v>3.7031E-3</v>
      </c>
      <c r="D177" s="779">
        <v>3.6235999999999998E-3</v>
      </c>
      <c r="E177" s="781">
        <f>IFERROR(VLOOKUP(A177,'DIPNC Contributions 2018'!A:C,3,FALSE),0)</f>
        <v>76794</v>
      </c>
      <c r="F177" s="803">
        <v>-221474</v>
      </c>
      <c r="G177" s="803">
        <v>-112485</v>
      </c>
      <c r="I177" s="781">
        <v>196220</v>
      </c>
      <c r="J177" s="803">
        <v>87604</v>
      </c>
      <c r="K177" s="781">
        <v>21241</v>
      </c>
      <c r="L177" s="781">
        <v>0</v>
      </c>
      <c r="N177" s="781">
        <v>0</v>
      </c>
      <c r="O177" s="781">
        <v>0</v>
      </c>
      <c r="P177" s="781">
        <v>0</v>
      </c>
      <c r="Q177" s="781">
        <v>28987</v>
      </c>
      <c r="R177" s="781"/>
      <c r="S177" s="781">
        <v>7040</v>
      </c>
      <c r="T177" s="781">
        <v>-9621</v>
      </c>
      <c r="U177" s="781">
        <v>-2581</v>
      </c>
    </row>
    <row r="178" spans="1:21" ht="15" customHeight="1" x14ac:dyDescent="0.25">
      <c r="A178" s="776">
        <v>35305</v>
      </c>
      <c r="B178" s="774" t="s">
        <v>962</v>
      </c>
      <c r="C178" s="779">
        <v>1.2914000000000001E-3</v>
      </c>
      <c r="D178" s="779">
        <v>1.2482000000000001E-3</v>
      </c>
      <c r="E178" s="781">
        <f>IFERROR(VLOOKUP(A178,'DIPNC Contributions 2018'!A:C,3,FALSE),0)</f>
        <v>30342</v>
      </c>
      <c r="F178" s="803">
        <v>-76290</v>
      </c>
      <c r="G178" s="803">
        <v>-39228</v>
      </c>
      <c r="I178" s="781">
        <v>68429</v>
      </c>
      <c r="J178" s="803">
        <v>30551</v>
      </c>
      <c r="K178" s="781">
        <v>7407</v>
      </c>
      <c r="L178" s="781">
        <v>1635</v>
      </c>
      <c r="N178" s="781">
        <v>0</v>
      </c>
      <c r="O178" s="781">
        <v>0</v>
      </c>
      <c r="P178" s="781">
        <v>0</v>
      </c>
      <c r="Q178" s="781">
        <v>3255</v>
      </c>
      <c r="R178" s="781"/>
      <c r="S178" s="781">
        <v>2455</v>
      </c>
      <c r="T178" s="781">
        <v>274</v>
      </c>
      <c r="U178" s="781">
        <v>2729</v>
      </c>
    </row>
    <row r="179" spans="1:21" ht="15" customHeight="1" x14ac:dyDescent="0.25">
      <c r="A179" s="776">
        <v>35400</v>
      </c>
      <c r="B179" s="774" t="s">
        <v>963</v>
      </c>
      <c r="C179" s="779">
        <v>2.6351999999999999E-3</v>
      </c>
      <c r="D179" s="779">
        <v>2.6048E-3</v>
      </c>
      <c r="E179" s="781">
        <f>IFERROR(VLOOKUP(A179,'DIPNC Contributions 2018'!A:C,3,FALSE),0)</f>
        <v>60808</v>
      </c>
      <c r="F179" s="803">
        <v>-159205</v>
      </c>
      <c r="G179" s="803">
        <v>-80047</v>
      </c>
      <c r="I179" s="781">
        <v>139634</v>
      </c>
      <c r="J179" s="803">
        <v>62341</v>
      </c>
      <c r="K179" s="781">
        <v>15116</v>
      </c>
      <c r="L179" s="781">
        <v>5985</v>
      </c>
      <c r="N179" s="781">
        <v>0</v>
      </c>
      <c r="O179" s="781">
        <v>0</v>
      </c>
      <c r="P179" s="781">
        <v>0</v>
      </c>
      <c r="Q179" s="781">
        <v>3073</v>
      </c>
      <c r="R179" s="781"/>
      <c r="S179" s="781">
        <v>5010</v>
      </c>
      <c r="T179" s="781">
        <v>2480</v>
      </c>
      <c r="U179" s="781">
        <v>7490</v>
      </c>
    </row>
    <row r="180" spans="1:21" ht="15" customHeight="1" x14ac:dyDescent="0.25">
      <c r="A180" s="776">
        <v>35401</v>
      </c>
      <c r="B180" s="774" t="s">
        <v>964</v>
      </c>
      <c r="C180" s="779">
        <v>2.8099999999999999E-5</v>
      </c>
      <c r="D180" s="779">
        <v>3.2499999999999997E-5</v>
      </c>
      <c r="E180" s="781">
        <f>IFERROR(VLOOKUP(A180,'DIPNC Contributions 2018'!A:C,3,FALSE),0)</f>
        <v>622</v>
      </c>
      <c r="F180" s="803">
        <v>-1986</v>
      </c>
      <c r="G180" s="803">
        <v>-854</v>
      </c>
      <c r="I180" s="781">
        <v>1489</v>
      </c>
      <c r="J180" s="803">
        <v>665</v>
      </c>
      <c r="K180" s="781">
        <v>161</v>
      </c>
      <c r="L180" s="781">
        <v>315</v>
      </c>
      <c r="N180" s="781">
        <v>0</v>
      </c>
      <c r="O180" s="781">
        <v>0</v>
      </c>
      <c r="P180" s="781">
        <v>0</v>
      </c>
      <c r="Q180" s="781">
        <v>391</v>
      </c>
      <c r="R180" s="781"/>
      <c r="S180" s="781">
        <v>53</v>
      </c>
      <c r="T180" s="781">
        <v>-144</v>
      </c>
      <c r="U180" s="781">
        <v>-91</v>
      </c>
    </row>
    <row r="181" spans="1:21" ht="15" customHeight="1" x14ac:dyDescent="0.25">
      <c r="A181" s="776">
        <v>35405</v>
      </c>
      <c r="B181" s="774" t="s">
        <v>966</v>
      </c>
      <c r="C181" s="779">
        <v>8.8659999999999997E-4</v>
      </c>
      <c r="D181" s="779">
        <v>9.1980000000000002E-4</v>
      </c>
      <c r="E181" s="781">
        <f>IFERROR(VLOOKUP(A181,'DIPNC Contributions 2018'!A:C,3,FALSE),0)</f>
        <v>20308</v>
      </c>
      <c r="F181" s="803">
        <v>-56218</v>
      </c>
      <c r="G181" s="803">
        <v>-26931</v>
      </c>
      <c r="I181" s="781">
        <v>46979</v>
      </c>
      <c r="J181" s="803">
        <v>20974</v>
      </c>
      <c r="K181" s="781">
        <v>5086</v>
      </c>
      <c r="L181" s="781">
        <v>2728</v>
      </c>
      <c r="N181" s="781">
        <v>0</v>
      </c>
      <c r="O181" s="781">
        <v>0</v>
      </c>
      <c r="P181" s="781">
        <v>0</v>
      </c>
      <c r="Q181" s="781">
        <v>0</v>
      </c>
      <c r="R181" s="781"/>
      <c r="S181" s="781">
        <v>1685</v>
      </c>
      <c r="T181" s="781">
        <v>619</v>
      </c>
      <c r="U181" s="781">
        <v>2304</v>
      </c>
    </row>
    <row r="182" spans="1:21" ht="15" customHeight="1" x14ac:dyDescent="0.25">
      <c r="A182" s="776">
        <v>35500</v>
      </c>
      <c r="B182" s="774" t="s">
        <v>967</v>
      </c>
      <c r="C182" s="779">
        <v>3.6102999999999999E-3</v>
      </c>
      <c r="D182" s="779">
        <v>3.6135E-3</v>
      </c>
      <c r="E182" s="781">
        <f>IFERROR(VLOOKUP(A182,'DIPNC Contributions 2018'!A:C,3,FALSE),0)</f>
        <v>79796</v>
      </c>
      <c r="F182" s="803">
        <v>-220857</v>
      </c>
      <c r="G182" s="803">
        <v>-109666</v>
      </c>
      <c r="I182" s="781">
        <v>191303</v>
      </c>
      <c r="J182" s="803">
        <v>85409</v>
      </c>
      <c r="K182" s="781">
        <v>20709</v>
      </c>
      <c r="L182" s="781">
        <v>3428</v>
      </c>
      <c r="N182" s="781">
        <v>0</v>
      </c>
      <c r="O182" s="781">
        <v>0</v>
      </c>
      <c r="P182" s="781">
        <v>0</v>
      </c>
      <c r="Q182" s="781">
        <v>3714</v>
      </c>
      <c r="R182" s="781"/>
      <c r="S182" s="781">
        <v>6863</v>
      </c>
      <c r="T182" s="781">
        <v>1095</v>
      </c>
      <c r="U182" s="781">
        <v>7958</v>
      </c>
    </row>
    <row r="183" spans="1:21" ht="15" customHeight="1" x14ac:dyDescent="0.25">
      <c r="A183" s="776">
        <v>35600</v>
      </c>
      <c r="B183" s="774" t="s">
        <v>968</v>
      </c>
      <c r="C183" s="779">
        <v>1.5491999999999999E-3</v>
      </c>
      <c r="D183" s="779">
        <v>1.5342999999999999E-3</v>
      </c>
      <c r="E183" s="781">
        <f>IFERROR(VLOOKUP(A183,'DIPNC Contributions 2018'!A:C,3,FALSE),0)</f>
        <v>34757</v>
      </c>
      <c r="F183" s="803">
        <v>-93776</v>
      </c>
      <c r="G183" s="803">
        <v>-47058</v>
      </c>
      <c r="I183" s="781">
        <v>82089</v>
      </c>
      <c r="J183" s="803">
        <v>36649</v>
      </c>
      <c r="K183" s="781">
        <v>8886</v>
      </c>
      <c r="L183" s="781">
        <v>0</v>
      </c>
      <c r="N183" s="781">
        <v>0</v>
      </c>
      <c r="O183" s="781">
        <v>0</v>
      </c>
      <c r="P183" s="781">
        <v>0</v>
      </c>
      <c r="Q183" s="781">
        <v>3484</v>
      </c>
      <c r="R183" s="781"/>
      <c r="S183" s="781">
        <v>2945</v>
      </c>
      <c r="T183" s="781">
        <v>-934</v>
      </c>
      <c r="U183" s="781">
        <v>2011</v>
      </c>
    </row>
    <row r="184" spans="1:21" ht="15" customHeight="1" x14ac:dyDescent="0.25">
      <c r="A184" s="776">
        <v>35700</v>
      </c>
      <c r="B184" s="774" t="s">
        <v>969</v>
      </c>
      <c r="C184" s="779">
        <v>8.2660000000000003E-4</v>
      </c>
      <c r="D184" s="779">
        <v>8.3239999999999996E-4</v>
      </c>
      <c r="E184" s="781">
        <f>IFERROR(VLOOKUP(A184,'DIPNC Contributions 2018'!A:C,3,FALSE),0)</f>
        <v>19063</v>
      </c>
      <c r="F184" s="803">
        <v>-50876</v>
      </c>
      <c r="G184" s="803">
        <v>-25109</v>
      </c>
      <c r="I184" s="781">
        <v>43800</v>
      </c>
      <c r="J184" s="803">
        <v>19555</v>
      </c>
      <c r="K184" s="781">
        <v>4741</v>
      </c>
      <c r="L184" s="781">
        <v>772</v>
      </c>
      <c r="N184" s="781">
        <v>0</v>
      </c>
      <c r="O184" s="781">
        <v>0</v>
      </c>
      <c r="P184" s="781">
        <v>0</v>
      </c>
      <c r="Q184" s="781">
        <v>0</v>
      </c>
      <c r="R184" s="781"/>
      <c r="S184" s="781">
        <v>1571</v>
      </c>
      <c r="T184" s="781">
        <v>311</v>
      </c>
      <c r="U184" s="781">
        <v>1882</v>
      </c>
    </row>
    <row r="185" spans="1:21" ht="15" customHeight="1" x14ac:dyDescent="0.25">
      <c r="A185" s="776">
        <v>35800</v>
      </c>
      <c r="B185" s="774" t="s">
        <v>970</v>
      </c>
      <c r="C185" s="779">
        <v>1.1050000000000001E-3</v>
      </c>
      <c r="D185" s="779">
        <v>1.1681E-3</v>
      </c>
      <c r="E185" s="781">
        <f>IFERROR(VLOOKUP(A185,'DIPNC Contributions 2018'!A:C,3,FALSE),0)</f>
        <v>28634</v>
      </c>
      <c r="F185" s="803">
        <v>-71394</v>
      </c>
      <c r="G185" s="803">
        <v>-33565</v>
      </c>
      <c r="I185" s="781">
        <v>58552</v>
      </c>
      <c r="J185" s="803">
        <v>26141</v>
      </c>
      <c r="K185" s="781">
        <v>6338</v>
      </c>
      <c r="L185" s="781">
        <v>11717</v>
      </c>
      <c r="N185" s="781">
        <v>0</v>
      </c>
      <c r="O185" s="781">
        <v>0</v>
      </c>
      <c r="P185" s="781">
        <v>0</v>
      </c>
      <c r="Q185" s="781">
        <v>0</v>
      </c>
      <c r="R185" s="781"/>
      <c r="S185" s="781">
        <v>2101</v>
      </c>
      <c r="T185" s="781">
        <v>3414</v>
      </c>
      <c r="U185" s="781">
        <v>5515</v>
      </c>
    </row>
    <row r="186" spans="1:21" ht="15" customHeight="1" x14ac:dyDescent="0.25">
      <c r="A186" s="776">
        <v>35805</v>
      </c>
      <c r="B186" s="774" t="s">
        <v>971</v>
      </c>
      <c r="C186" s="779">
        <v>2.0819999999999999E-4</v>
      </c>
      <c r="D186" s="779">
        <v>2.107E-4</v>
      </c>
      <c r="E186" s="781">
        <f>IFERROR(VLOOKUP(A186,'DIPNC Contributions 2018'!A:C,3,FALSE),0)</f>
        <v>5990</v>
      </c>
      <c r="F186" s="803">
        <v>-12878</v>
      </c>
      <c r="G186" s="803">
        <v>-6324</v>
      </c>
      <c r="I186" s="781">
        <v>11032</v>
      </c>
      <c r="J186" s="803">
        <v>4925</v>
      </c>
      <c r="K186" s="781">
        <v>1194</v>
      </c>
      <c r="L186" s="781">
        <v>1895</v>
      </c>
      <c r="N186" s="781">
        <v>0</v>
      </c>
      <c r="O186" s="781">
        <v>0</v>
      </c>
      <c r="P186" s="781">
        <v>0</v>
      </c>
      <c r="Q186" s="781">
        <v>0</v>
      </c>
      <c r="R186" s="781"/>
      <c r="S186" s="781">
        <v>396</v>
      </c>
      <c r="T186" s="781">
        <v>561</v>
      </c>
      <c r="U186" s="781">
        <v>957</v>
      </c>
    </row>
    <row r="187" spans="1:21" ht="15" customHeight="1" x14ac:dyDescent="0.25">
      <c r="A187" s="776">
        <v>35900</v>
      </c>
      <c r="B187" s="774" t="s">
        <v>972</v>
      </c>
      <c r="C187" s="779">
        <v>2.1816000000000001E-3</v>
      </c>
      <c r="D187" s="779">
        <v>2.1868E-3</v>
      </c>
      <c r="E187" s="781">
        <f>IFERROR(VLOOKUP(A187,'DIPNC Contributions 2018'!A:C,3,FALSE),0)</f>
        <v>49713</v>
      </c>
      <c r="F187" s="803">
        <v>-133657</v>
      </c>
      <c r="G187" s="803">
        <v>-66268</v>
      </c>
      <c r="I187" s="781">
        <v>115599</v>
      </c>
      <c r="J187" s="803">
        <v>51610</v>
      </c>
      <c r="K187" s="781">
        <v>12514</v>
      </c>
      <c r="L187" s="781">
        <v>1505</v>
      </c>
      <c r="N187" s="781">
        <v>0</v>
      </c>
      <c r="O187" s="781">
        <v>0</v>
      </c>
      <c r="P187" s="781">
        <v>0</v>
      </c>
      <c r="Q187" s="781">
        <v>707</v>
      </c>
      <c r="R187" s="781"/>
      <c r="S187" s="781">
        <v>4147</v>
      </c>
      <c r="T187" s="781">
        <v>634</v>
      </c>
      <c r="U187" s="781">
        <v>4781</v>
      </c>
    </row>
    <row r="188" spans="1:21" ht="15" customHeight="1" x14ac:dyDescent="0.25">
      <c r="A188" s="776">
        <v>35905</v>
      </c>
      <c r="B188" s="774" t="s">
        <v>973</v>
      </c>
      <c r="C188" s="779">
        <v>2.6249999999999998E-4</v>
      </c>
      <c r="D188" s="779">
        <v>3.009E-4</v>
      </c>
      <c r="E188" s="781">
        <f>IFERROR(VLOOKUP(A188,'DIPNC Contributions 2018'!A:C,3,FALSE),0)</f>
        <v>7926</v>
      </c>
      <c r="F188" s="803">
        <v>-18391</v>
      </c>
      <c r="G188" s="803">
        <v>-7974</v>
      </c>
      <c r="I188" s="781">
        <v>13909</v>
      </c>
      <c r="J188" s="803">
        <v>6210</v>
      </c>
      <c r="K188" s="781">
        <v>1506</v>
      </c>
      <c r="L188" s="781">
        <v>6661</v>
      </c>
      <c r="N188" s="781">
        <v>0</v>
      </c>
      <c r="O188" s="781">
        <v>0</v>
      </c>
      <c r="P188" s="781">
        <v>0</v>
      </c>
      <c r="Q188" s="781">
        <v>0</v>
      </c>
      <c r="R188" s="781"/>
      <c r="S188" s="781">
        <v>499</v>
      </c>
      <c r="T188" s="781">
        <v>1818</v>
      </c>
      <c r="U188" s="781">
        <v>2317</v>
      </c>
    </row>
    <row r="189" spans="1:21" ht="15" customHeight="1" x14ac:dyDescent="0.25">
      <c r="A189" s="776">
        <v>36000</v>
      </c>
      <c r="B189" s="774" t="s">
        <v>974</v>
      </c>
      <c r="C189" s="779">
        <v>5.4344900000000002E-2</v>
      </c>
      <c r="D189" s="779">
        <v>5.37365E-2</v>
      </c>
      <c r="E189" s="781">
        <f>IFERROR(VLOOKUP(A189,'DIPNC Contributions 2018'!A:C,3,FALSE),0)</f>
        <v>1132733</v>
      </c>
      <c r="F189" s="803">
        <v>-3284375</v>
      </c>
      <c r="G189" s="803">
        <v>-1650781</v>
      </c>
      <c r="I189" s="781">
        <v>2879628</v>
      </c>
      <c r="J189" s="803">
        <v>1285637</v>
      </c>
      <c r="K189" s="781">
        <v>311722</v>
      </c>
      <c r="L189" s="781">
        <v>0</v>
      </c>
      <c r="N189" s="781">
        <v>0</v>
      </c>
      <c r="O189" s="781">
        <v>0</v>
      </c>
      <c r="P189" s="781">
        <v>0</v>
      </c>
      <c r="Q189" s="781">
        <v>348368</v>
      </c>
      <c r="R189" s="781"/>
      <c r="S189" s="781">
        <v>103310</v>
      </c>
      <c r="T189" s="781">
        <v>-118884</v>
      </c>
      <c r="U189" s="781">
        <v>-15574</v>
      </c>
    </row>
    <row r="190" spans="1:21" ht="15" customHeight="1" x14ac:dyDescent="0.25">
      <c r="A190" s="776">
        <v>36001</v>
      </c>
      <c r="B190" s="774" t="s">
        <v>975</v>
      </c>
      <c r="C190" s="779">
        <v>0</v>
      </c>
      <c r="D190" s="779">
        <v>2.5999999999999998E-5</v>
      </c>
      <c r="E190" s="781">
        <f>IFERROR(VLOOKUP(A190,'DIPNC Contributions 2018'!A:C,3,FALSE),0)</f>
        <v>0</v>
      </c>
      <c r="F190" s="803">
        <v>-1589</v>
      </c>
      <c r="G190" s="803">
        <v>0</v>
      </c>
      <c r="I190" s="781">
        <v>0</v>
      </c>
      <c r="J190" s="803">
        <v>0</v>
      </c>
      <c r="K190" s="781">
        <v>0</v>
      </c>
      <c r="L190" s="781">
        <v>2189</v>
      </c>
      <c r="N190" s="781">
        <v>0</v>
      </c>
      <c r="O190" s="781">
        <v>0</v>
      </c>
      <c r="P190" s="781">
        <v>0</v>
      </c>
      <c r="Q190" s="781">
        <v>0</v>
      </c>
      <c r="R190" s="781"/>
      <c r="S190" s="781">
        <v>0</v>
      </c>
      <c r="T190" s="781">
        <v>417</v>
      </c>
      <c r="U190" s="781">
        <v>417</v>
      </c>
    </row>
    <row r="191" spans="1:21" ht="15" customHeight="1" x14ac:dyDescent="0.25">
      <c r="A191" s="776">
        <v>36002</v>
      </c>
      <c r="B191" s="774" t="s">
        <v>976</v>
      </c>
      <c r="C191" s="779">
        <v>0</v>
      </c>
      <c r="D191" s="779">
        <v>0</v>
      </c>
      <c r="E191" s="781">
        <f>IFERROR(VLOOKUP(A191,'DIPNC Contributions 2018'!A:C,3,FALSE),0)</f>
        <v>0</v>
      </c>
      <c r="F191" s="803">
        <v>0</v>
      </c>
      <c r="G191" s="803">
        <v>0</v>
      </c>
      <c r="I191" s="781">
        <v>0</v>
      </c>
      <c r="J191" s="803">
        <v>0</v>
      </c>
      <c r="K191" s="781">
        <v>0</v>
      </c>
      <c r="L191" s="781">
        <v>4043</v>
      </c>
      <c r="N191" s="781">
        <v>0</v>
      </c>
      <c r="O191" s="781">
        <v>0</v>
      </c>
      <c r="P191" s="781">
        <v>0</v>
      </c>
      <c r="Q191" s="781">
        <v>0</v>
      </c>
      <c r="R191" s="781"/>
      <c r="S191" s="781">
        <v>0</v>
      </c>
      <c r="T191" s="781">
        <v>2021</v>
      </c>
      <c r="U191" s="781">
        <v>2021</v>
      </c>
    </row>
    <row r="192" spans="1:21" ht="15" customHeight="1" x14ac:dyDescent="0.25">
      <c r="A192" s="776">
        <v>36003</v>
      </c>
      <c r="B192" s="774" t="s">
        <v>977</v>
      </c>
      <c r="C192" s="779">
        <v>3.7570000000000002E-4</v>
      </c>
      <c r="D192" s="779">
        <v>3.8870000000000002E-4</v>
      </c>
      <c r="E192" s="781">
        <f>IFERROR(VLOOKUP(A192,'DIPNC Contributions 2018'!A:C,3,FALSE),0)</f>
        <v>7486</v>
      </c>
      <c r="F192" s="803">
        <v>-23757</v>
      </c>
      <c r="G192" s="803">
        <v>-11412</v>
      </c>
      <c r="I192" s="781">
        <v>19908</v>
      </c>
      <c r="J192" s="803">
        <v>8888</v>
      </c>
      <c r="K192" s="781">
        <v>2155</v>
      </c>
      <c r="L192" s="781">
        <v>0</v>
      </c>
      <c r="N192" s="781">
        <v>0</v>
      </c>
      <c r="O192" s="781">
        <v>0</v>
      </c>
      <c r="P192" s="781">
        <v>0</v>
      </c>
      <c r="Q192" s="781">
        <v>1936</v>
      </c>
      <c r="R192" s="781"/>
      <c r="S192" s="781">
        <v>714</v>
      </c>
      <c r="T192" s="781">
        <v>-935</v>
      </c>
      <c r="U192" s="781">
        <v>-221</v>
      </c>
    </row>
    <row r="193" spans="1:21" ht="15" customHeight="1" x14ac:dyDescent="0.25">
      <c r="A193" s="776">
        <v>36004</v>
      </c>
      <c r="B193" s="774" t="s">
        <v>1554</v>
      </c>
      <c r="C193" s="779">
        <v>2.3440000000000001E-4</v>
      </c>
      <c r="D193" s="779">
        <v>2.2029999999999999E-4</v>
      </c>
      <c r="E193" s="781">
        <f>IFERROR(VLOOKUP(A193,'DIPNC Contributions 2018'!A:C,3,FALSE),0)</f>
        <v>4298</v>
      </c>
      <c r="F193" s="803">
        <v>-13465</v>
      </c>
      <c r="G193" s="803">
        <v>-7120</v>
      </c>
      <c r="I193" s="781">
        <v>12420</v>
      </c>
      <c r="J193" s="803">
        <v>5545</v>
      </c>
      <c r="K193" s="781">
        <v>1345</v>
      </c>
      <c r="L193" s="781">
        <v>0</v>
      </c>
      <c r="N193" s="781">
        <v>0</v>
      </c>
      <c r="O193" s="781">
        <v>0</v>
      </c>
      <c r="P193" s="781">
        <v>0</v>
      </c>
      <c r="Q193" s="781">
        <v>4468</v>
      </c>
      <c r="R193" s="781"/>
      <c r="S193" s="781">
        <v>446</v>
      </c>
      <c r="T193" s="781">
        <v>-1528</v>
      </c>
      <c r="U193" s="781">
        <v>-1082</v>
      </c>
    </row>
    <row r="194" spans="1:21" ht="15" customHeight="1" x14ac:dyDescent="0.25">
      <c r="A194" s="776">
        <v>36005</v>
      </c>
      <c r="B194" s="774" t="s">
        <v>979</v>
      </c>
      <c r="C194" s="779">
        <v>4.3953999999999998E-3</v>
      </c>
      <c r="D194" s="779">
        <v>4.4781999999999999E-3</v>
      </c>
      <c r="E194" s="781">
        <f>IFERROR(VLOOKUP(A194,'DIPNC Contributions 2018'!A:C,3,FALSE),0)</f>
        <v>104619</v>
      </c>
      <c r="F194" s="803">
        <v>-273708</v>
      </c>
      <c r="G194" s="803">
        <v>-133515</v>
      </c>
      <c r="I194" s="781">
        <v>232903</v>
      </c>
      <c r="J194" s="803">
        <v>103982</v>
      </c>
      <c r="K194" s="781">
        <v>25212</v>
      </c>
      <c r="L194" s="781">
        <v>9741</v>
      </c>
      <c r="N194" s="781">
        <v>0</v>
      </c>
      <c r="O194" s="781">
        <v>0</v>
      </c>
      <c r="P194" s="781">
        <v>0</v>
      </c>
      <c r="Q194" s="781">
        <v>0</v>
      </c>
      <c r="R194" s="781"/>
      <c r="S194" s="781">
        <v>8356</v>
      </c>
      <c r="T194" s="781">
        <v>2185</v>
      </c>
      <c r="U194" s="781">
        <v>10541</v>
      </c>
    </row>
    <row r="195" spans="1:21" ht="15" customHeight="1" x14ac:dyDescent="0.25">
      <c r="A195" s="776">
        <v>36006</v>
      </c>
      <c r="B195" s="774" t="s">
        <v>980</v>
      </c>
      <c r="C195" s="779">
        <v>5.8370000000000004E-4</v>
      </c>
      <c r="D195" s="779">
        <v>4.8999999999999998E-4</v>
      </c>
      <c r="E195" s="781">
        <f>IFERROR(VLOOKUP(A195,'DIPNC Contributions 2018'!A:C,3,FALSE),0)</f>
        <v>11098</v>
      </c>
      <c r="F195" s="803">
        <v>-29949</v>
      </c>
      <c r="G195" s="803">
        <v>-17730</v>
      </c>
      <c r="I195" s="781">
        <v>30929</v>
      </c>
      <c r="J195" s="803">
        <v>13809</v>
      </c>
      <c r="K195" s="781">
        <v>3348</v>
      </c>
      <c r="L195" s="781">
        <v>0</v>
      </c>
      <c r="N195" s="781">
        <v>0</v>
      </c>
      <c r="O195" s="781">
        <v>0</v>
      </c>
      <c r="P195" s="781">
        <v>0</v>
      </c>
      <c r="Q195" s="781">
        <v>12218</v>
      </c>
      <c r="R195" s="781"/>
      <c r="S195" s="781">
        <v>1110</v>
      </c>
      <c r="T195" s="781">
        <v>-2937</v>
      </c>
      <c r="U195" s="781">
        <v>-1827</v>
      </c>
    </row>
    <row r="196" spans="1:21" ht="15" customHeight="1" x14ac:dyDescent="0.25">
      <c r="A196" s="776">
        <v>36007</v>
      </c>
      <c r="B196" s="774" t="s">
        <v>981</v>
      </c>
      <c r="C196" s="779">
        <v>1.829E-4</v>
      </c>
      <c r="D196" s="779">
        <v>1.7369999999999999E-4</v>
      </c>
      <c r="E196" s="781">
        <f>IFERROR(VLOOKUP(A196,'DIPNC Contributions 2018'!A:C,3,FALSE),0)</f>
        <v>3727</v>
      </c>
      <c r="F196" s="803">
        <v>-10617</v>
      </c>
      <c r="G196" s="803">
        <v>-5556</v>
      </c>
      <c r="I196" s="781">
        <v>9692</v>
      </c>
      <c r="J196" s="803">
        <v>4327</v>
      </c>
      <c r="K196" s="781">
        <v>1049</v>
      </c>
      <c r="L196" s="781">
        <v>0</v>
      </c>
      <c r="N196" s="781">
        <v>0</v>
      </c>
      <c r="O196" s="781">
        <v>0</v>
      </c>
      <c r="P196" s="781">
        <v>0</v>
      </c>
      <c r="Q196" s="781">
        <v>2354</v>
      </c>
      <c r="R196" s="781"/>
      <c r="S196" s="781">
        <v>348</v>
      </c>
      <c r="T196" s="781">
        <v>-779</v>
      </c>
      <c r="U196" s="781">
        <v>-431</v>
      </c>
    </row>
    <row r="197" spans="1:21" ht="15" customHeight="1" x14ac:dyDescent="0.25">
      <c r="A197" s="776">
        <v>36008</v>
      </c>
      <c r="B197" s="774" t="s">
        <v>982</v>
      </c>
      <c r="C197" s="779">
        <v>5.2079999999999997E-4</v>
      </c>
      <c r="D197" s="779">
        <v>5.5199999999999997E-4</v>
      </c>
      <c r="E197" s="781">
        <f>IFERROR(VLOOKUP(A197,'DIPNC Contributions 2018'!A:C,3,FALSE),0)</f>
        <v>9628</v>
      </c>
      <c r="F197" s="803">
        <v>-33738</v>
      </c>
      <c r="G197" s="803">
        <v>-15820</v>
      </c>
      <c r="I197" s="781">
        <v>27596</v>
      </c>
      <c r="J197" s="803">
        <v>12321</v>
      </c>
      <c r="K197" s="781">
        <v>2987</v>
      </c>
      <c r="L197" s="781">
        <v>255</v>
      </c>
      <c r="N197" s="781">
        <v>0</v>
      </c>
      <c r="O197" s="781">
        <v>0</v>
      </c>
      <c r="P197" s="781">
        <v>0</v>
      </c>
      <c r="Q197" s="781">
        <v>5635</v>
      </c>
      <c r="R197" s="781"/>
      <c r="S197" s="781">
        <v>990</v>
      </c>
      <c r="T197" s="781">
        <v>-2775</v>
      </c>
      <c r="U197" s="781">
        <v>-1785</v>
      </c>
    </row>
    <row r="198" spans="1:21" ht="15" customHeight="1" x14ac:dyDescent="0.25">
      <c r="A198" s="776">
        <v>36009</v>
      </c>
      <c r="B198" s="774" t="s">
        <v>983</v>
      </c>
      <c r="C198" s="779">
        <v>1.1900000000000001E-4</v>
      </c>
      <c r="D198" s="779">
        <v>1.3090000000000001E-4</v>
      </c>
      <c r="E198" s="781">
        <f>IFERROR(VLOOKUP(A198,'DIPNC Contributions 2018'!A:C,3,FALSE),0)</f>
        <v>2120</v>
      </c>
      <c r="F198" s="803">
        <v>-8001</v>
      </c>
      <c r="G198" s="803">
        <v>-3615</v>
      </c>
      <c r="I198" s="781">
        <v>6306</v>
      </c>
      <c r="J198" s="803">
        <v>2815</v>
      </c>
      <c r="K198" s="781">
        <v>683</v>
      </c>
      <c r="L198" s="781">
        <v>738</v>
      </c>
      <c r="N198" s="781">
        <v>0</v>
      </c>
      <c r="O198" s="781">
        <v>0</v>
      </c>
      <c r="P198" s="781">
        <v>0</v>
      </c>
      <c r="Q198" s="781">
        <v>0</v>
      </c>
      <c r="R198" s="781"/>
      <c r="S198" s="781">
        <v>226</v>
      </c>
      <c r="T198" s="781">
        <v>249</v>
      </c>
      <c r="U198" s="781">
        <v>475</v>
      </c>
    </row>
    <row r="199" spans="1:21" ht="15" customHeight="1" x14ac:dyDescent="0.25">
      <c r="A199" s="776">
        <v>36100</v>
      </c>
      <c r="B199" s="774" t="s">
        <v>984</v>
      </c>
      <c r="C199" s="779">
        <v>6.3670000000000003E-4</v>
      </c>
      <c r="D199" s="779">
        <v>6.5490000000000004E-4</v>
      </c>
      <c r="E199" s="781">
        <f>IFERROR(VLOOKUP(A199,'DIPNC Contributions 2018'!A:C,3,FALSE),0)</f>
        <v>15805</v>
      </c>
      <c r="F199" s="803">
        <v>-40027</v>
      </c>
      <c r="G199" s="803">
        <v>-19340</v>
      </c>
      <c r="I199" s="781">
        <v>33737</v>
      </c>
      <c r="J199" s="803">
        <v>15062</v>
      </c>
      <c r="K199" s="781">
        <v>3652</v>
      </c>
      <c r="L199" s="781">
        <v>4166</v>
      </c>
      <c r="N199" s="781">
        <v>0</v>
      </c>
      <c r="O199" s="781">
        <v>0</v>
      </c>
      <c r="P199" s="781">
        <v>0</v>
      </c>
      <c r="Q199" s="781">
        <v>0</v>
      </c>
      <c r="R199" s="781"/>
      <c r="S199" s="781">
        <v>1210</v>
      </c>
      <c r="T199" s="781">
        <v>1346</v>
      </c>
      <c r="U199" s="781">
        <v>2556</v>
      </c>
    </row>
    <row r="200" spans="1:21" ht="15" customHeight="1" x14ac:dyDescent="0.25">
      <c r="A200" s="776">
        <v>36102</v>
      </c>
      <c r="B200" s="774" t="s">
        <v>985</v>
      </c>
      <c r="C200" s="779">
        <v>2.5359999999999998E-4</v>
      </c>
      <c r="D200" s="779">
        <v>2.0039999999999999E-4</v>
      </c>
      <c r="E200" s="781">
        <f>IFERROR(VLOOKUP(A200,'DIPNC Contributions 2018'!A:C,3,FALSE),0)</f>
        <v>4265</v>
      </c>
      <c r="F200" s="803">
        <v>-12248</v>
      </c>
      <c r="G200" s="803">
        <v>-7703</v>
      </c>
      <c r="I200" s="781">
        <v>13438</v>
      </c>
      <c r="J200" s="803">
        <v>5999</v>
      </c>
      <c r="K200" s="781">
        <v>1455</v>
      </c>
      <c r="L200" s="781">
        <v>0</v>
      </c>
      <c r="N200" s="781">
        <v>0</v>
      </c>
      <c r="O200" s="781">
        <v>0</v>
      </c>
      <c r="P200" s="781">
        <v>0</v>
      </c>
      <c r="Q200" s="781">
        <v>8751</v>
      </c>
      <c r="R200" s="781"/>
      <c r="S200" s="781">
        <v>482</v>
      </c>
      <c r="T200" s="781">
        <v>-2513</v>
      </c>
      <c r="U200" s="781">
        <v>-2031</v>
      </c>
    </row>
    <row r="201" spans="1:21" ht="15" customHeight="1" x14ac:dyDescent="0.25">
      <c r="A201" s="776">
        <v>36105</v>
      </c>
      <c r="B201" s="774" t="s">
        <v>986</v>
      </c>
      <c r="C201" s="779">
        <v>3.4069999999999999E-4</v>
      </c>
      <c r="D201" s="779">
        <v>3.5750000000000002E-4</v>
      </c>
      <c r="E201" s="781">
        <f>IFERROR(VLOOKUP(A201,'DIPNC Contributions 2018'!A:C,3,FALSE),0)</f>
        <v>8603</v>
      </c>
      <c r="F201" s="803">
        <v>-21850</v>
      </c>
      <c r="G201" s="803">
        <v>-10349</v>
      </c>
      <c r="I201" s="781">
        <v>18053</v>
      </c>
      <c r="J201" s="803">
        <v>8060</v>
      </c>
      <c r="K201" s="781">
        <v>1954</v>
      </c>
      <c r="L201" s="781">
        <v>2781</v>
      </c>
      <c r="N201" s="781">
        <v>0</v>
      </c>
      <c r="O201" s="781">
        <v>0</v>
      </c>
      <c r="P201" s="781">
        <v>0</v>
      </c>
      <c r="Q201" s="781">
        <v>0</v>
      </c>
      <c r="R201" s="781"/>
      <c r="S201" s="781">
        <v>648</v>
      </c>
      <c r="T201" s="781">
        <v>771</v>
      </c>
      <c r="U201" s="781">
        <v>1419</v>
      </c>
    </row>
    <row r="202" spans="1:21" ht="15" customHeight="1" x14ac:dyDescent="0.25">
      <c r="A202" s="776">
        <v>36200</v>
      </c>
      <c r="B202" s="774" t="s">
        <v>987</v>
      </c>
      <c r="C202" s="779">
        <v>1.3821E-3</v>
      </c>
      <c r="D202" s="779">
        <v>1.3937000000000001E-3</v>
      </c>
      <c r="E202" s="781">
        <f>IFERROR(VLOOKUP(A202,'DIPNC Contributions 2018'!A:C,3,FALSE),0)</f>
        <v>33037</v>
      </c>
      <c r="F202" s="803">
        <v>-85183</v>
      </c>
      <c r="G202" s="803">
        <v>-41983</v>
      </c>
      <c r="I202" s="781">
        <v>73235</v>
      </c>
      <c r="J202" s="803">
        <v>32696</v>
      </c>
      <c r="K202" s="781">
        <v>7928</v>
      </c>
      <c r="L202" s="781">
        <v>3907</v>
      </c>
      <c r="N202" s="781">
        <v>0</v>
      </c>
      <c r="O202" s="781">
        <v>0</v>
      </c>
      <c r="P202" s="781">
        <v>0</v>
      </c>
      <c r="Q202" s="781">
        <v>0</v>
      </c>
      <c r="R202" s="781"/>
      <c r="S202" s="781">
        <v>2627</v>
      </c>
      <c r="T202" s="781">
        <v>1446</v>
      </c>
      <c r="U202" s="781">
        <v>4073</v>
      </c>
    </row>
    <row r="203" spans="1:21" ht="15" customHeight="1" x14ac:dyDescent="0.25">
      <c r="A203" s="776">
        <v>36205</v>
      </c>
      <c r="B203" s="774" t="s">
        <v>988</v>
      </c>
      <c r="C203" s="779">
        <v>2.5789999999999998E-4</v>
      </c>
      <c r="D203" s="779">
        <v>2.5270000000000002E-4</v>
      </c>
      <c r="E203" s="781">
        <f>IFERROR(VLOOKUP(A203,'DIPNC Contributions 2018'!A:C,3,FALSE),0)</f>
        <v>5746</v>
      </c>
      <c r="F203" s="803">
        <v>-15445</v>
      </c>
      <c r="G203" s="803">
        <v>-7834</v>
      </c>
      <c r="I203" s="781">
        <v>13666</v>
      </c>
      <c r="J203" s="803">
        <v>6101</v>
      </c>
      <c r="K203" s="781">
        <v>1479</v>
      </c>
      <c r="L203" s="781">
        <v>0</v>
      </c>
      <c r="N203" s="781">
        <v>0</v>
      </c>
      <c r="O203" s="781">
        <v>0</v>
      </c>
      <c r="P203" s="781">
        <v>0</v>
      </c>
      <c r="Q203" s="781">
        <v>890</v>
      </c>
      <c r="R203" s="781"/>
      <c r="S203" s="781">
        <v>490</v>
      </c>
      <c r="T203" s="781">
        <v>-229</v>
      </c>
      <c r="U203" s="781">
        <v>261</v>
      </c>
    </row>
    <row r="204" spans="1:21" ht="15" customHeight="1" x14ac:dyDescent="0.25">
      <c r="A204" s="776">
        <v>36300</v>
      </c>
      <c r="B204" s="774" t="s">
        <v>989</v>
      </c>
      <c r="C204" s="779">
        <v>4.3909999999999999E-3</v>
      </c>
      <c r="D204" s="779">
        <v>4.4821000000000001E-3</v>
      </c>
      <c r="E204" s="781">
        <f>IFERROR(VLOOKUP(A204,'DIPNC Contributions 2018'!A:C,3,FALSE),0)</f>
        <v>99469</v>
      </c>
      <c r="F204" s="803">
        <v>-273946</v>
      </c>
      <c r="G204" s="803">
        <v>-133381</v>
      </c>
      <c r="I204" s="781">
        <v>232670</v>
      </c>
      <c r="J204" s="803">
        <v>103878</v>
      </c>
      <c r="K204" s="781">
        <v>25187</v>
      </c>
      <c r="L204" s="781">
        <v>4379</v>
      </c>
      <c r="N204" s="781">
        <v>0</v>
      </c>
      <c r="O204" s="781">
        <v>0</v>
      </c>
      <c r="P204" s="781">
        <v>0</v>
      </c>
      <c r="Q204" s="781">
        <v>5357</v>
      </c>
      <c r="R204" s="781"/>
      <c r="S204" s="781">
        <v>8347</v>
      </c>
      <c r="T204" s="781">
        <v>-1949</v>
      </c>
      <c r="U204" s="781">
        <v>6398</v>
      </c>
    </row>
    <row r="205" spans="1:21" ht="15" customHeight="1" x14ac:dyDescent="0.25">
      <c r="A205" s="776">
        <v>36301</v>
      </c>
      <c r="B205" s="774" t="s">
        <v>990</v>
      </c>
      <c r="C205" s="779">
        <v>7.5500000000000006E-5</v>
      </c>
      <c r="D205" s="779">
        <v>7.2299999999999996E-5</v>
      </c>
      <c r="E205" s="781">
        <f>IFERROR(VLOOKUP(A205,'DIPNC Contributions 2018'!A:C,3,FALSE),0)</f>
        <v>1511</v>
      </c>
      <c r="F205" s="803">
        <v>-4419</v>
      </c>
      <c r="G205" s="803">
        <v>-2293</v>
      </c>
      <c r="I205" s="781">
        <v>4001</v>
      </c>
      <c r="J205" s="803">
        <v>1786</v>
      </c>
      <c r="K205" s="781">
        <v>433</v>
      </c>
      <c r="L205" s="781">
        <v>0</v>
      </c>
      <c r="N205" s="781">
        <v>0</v>
      </c>
      <c r="O205" s="781">
        <v>0</v>
      </c>
      <c r="P205" s="781">
        <v>0</v>
      </c>
      <c r="Q205" s="781">
        <v>1286</v>
      </c>
      <c r="R205" s="781"/>
      <c r="S205" s="781">
        <v>144</v>
      </c>
      <c r="T205" s="781">
        <v>-486</v>
      </c>
      <c r="U205" s="781">
        <v>-342</v>
      </c>
    </row>
    <row r="206" spans="1:21" ht="15" customHeight="1" x14ac:dyDescent="0.25">
      <c r="A206" s="776">
        <v>36302</v>
      </c>
      <c r="B206" s="774" t="s">
        <v>991</v>
      </c>
      <c r="C206" s="779">
        <v>1.143E-4</v>
      </c>
      <c r="D206" s="779">
        <v>1.0679999999999999E-4</v>
      </c>
      <c r="E206" s="781">
        <f>IFERROR(VLOOKUP(A206,'DIPNC Contributions 2018'!A:C,3,FALSE),0)</f>
        <v>2306</v>
      </c>
      <c r="F206" s="803">
        <v>-6528</v>
      </c>
      <c r="G206" s="803">
        <v>-3472</v>
      </c>
      <c r="I206" s="781">
        <v>6057</v>
      </c>
      <c r="J206" s="803">
        <v>2704</v>
      </c>
      <c r="K206" s="781">
        <v>656</v>
      </c>
      <c r="L206" s="781">
        <v>0</v>
      </c>
      <c r="N206" s="781">
        <v>0</v>
      </c>
      <c r="O206" s="781">
        <v>0</v>
      </c>
      <c r="P206" s="781">
        <v>0</v>
      </c>
      <c r="Q206" s="781">
        <v>1287</v>
      </c>
      <c r="R206" s="781"/>
      <c r="S206" s="781">
        <v>217</v>
      </c>
      <c r="T206" s="781">
        <v>-343</v>
      </c>
      <c r="U206" s="781">
        <v>-126</v>
      </c>
    </row>
    <row r="207" spans="1:21" ht="15" customHeight="1" x14ac:dyDescent="0.25">
      <c r="A207" s="776">
        <v>36305</v>
      </c>
      <c r="B207" s="774" t="s">
        <v>992</v>
      </c>
      <c r="C207" s="779">
        <v>8.1369999999999999E-4</v>
      </c>
      <c r="D207" s="779">
        <v>8.1789999999999999E-4</v>
      </c>
      <c r="E207" s="781">
        <f>IFERROR(VLOOKUP(A207,'DIPNC Contributions 2018'!A:C,3,FALSE),0)</f>
        <v>21554</v>
      </c>
      <c r="F207" s="803">
        <v>-49990</v>
      </c>
      <c r="G207" s="803">
        <v>-24717</v>
      </c>
      <c r="I207" s="781">
        <v>43116</v>
      </c>
      <c r="J207" s="803">
        <v>19250</v>
      </c>
      <c r="K207" s="781">
        <v>4667</v>
      </c>
      <c r="L207" s="781">
        <v>7941</v>
      </c>
      <c r="N207" s="781">
        <v>0</v>
      </c>
      <c r="O207" s="781">
        <v>0</v>
      </c>
      <c r="P207" s="781">
        <v>0</v>
      </c>
      <c r="Q207" s="781">
        <v>0</v>
      </c>
      <c r="R207" s="781"/>
      <c r="S207" s="781">
        <v>1547</v>
      </c>
      <c r="T207" s="781">
        <v>3139</v>
      </c>
      <c r="U207" s="781">
        <v>4686</v>
      </c>
    </row>
    <row r="208" spans="1:21" ht="15" customHeight="1" x14ac:dyDescent="0.25">
      <c r="A208" s="776">
        <v>36310</v>
      </c>
      <c r="B208" s="774" t="s">
        <v>1555</v>
      </c>
      <c r="C208" s="779">
        <v>0</v>
      </c>
      <c r="D208" s="779">
        <v>3.4999999999999997E-5</v>
      </c>
      <c r="E208" s="781">
        <f>IFERROR(VLOOKUP(A208,'DIPNC Contributions 2018'!A:C,3,FALSE),0)</f>
        <v>63</v>
      </c>
      <c r="F208" s="803">
        <v>-2139</v>
      </c>
      <c r="G208" s="803">
        <v>0</v>
      </c>
      <c r="I208" s="781">
        <v>0</v>
      </c>
      <c r="J208" s="803">
        <v>0</v>
      </c>
      <c r="K208" s="781">
        <v>0</v>
      </c>
      <c r="L208" s="781">
        <v>2792</v>
      </c>
      <c r="N208" s="781">
        <v>0</v>
      </c>
      <c r="O208" s="781">
        <v>0</v>
      </c>
      <c r="P208" s="781">
        <v>0</v>
      </c>
      <c r="Q208" s="781">
        <v>1227</v>
      </c>
      <c r="R208" s="781"/>
      <c r="S208" s="781">
        <v>0</v>
      </c>
      <c r="T208" s="781">
        <v>-149</v>
      </c>
      <c r="U208" s="781">
        <v>-149</v>
      </c>
    </row>
    <row r="209" spans="1:21" ht="15" customHeight="1" x14ac:dyDescent="0.25">
      <c r="A209" s="776">
        <v>36400</v>
      </c>
      <c r="B209" s="774" t="s">
        <v>993</v>
      </c>
      <c r="C209" s="779">
        <v>4.7885000000000002E-3</v>
      </c>
      <c r="D209" s="779">
        <v>4.9451E-3</v>
      </c>
      <c r="E209" s="781">
        <f>IFERROR(VLOOKUP(A209,'DIPNC Contributions 2018'!A:C,3,FALSE),0)</f>
        <v>113544</v>
      </c>
      <c r="F209" s="803">
        <v>-302245</v>
      </c>
      <c r="G209" s="803">
        <v>-145455</v>
      </c>
      <c r="I209" s="781">
        <v>253733</v>
      </c>
      <c r="J209" s="803">
        <v>113282</v>
      </c>
      <c r="K209" s="781">
        <v>27467</v>
      </c>
      <c r="L209" s="781">
        <v>13601</v>
      </c>
      <c r="N209" s="781">
        <v>0</v>
      </c>
      <c r="O209" s="781">
        <v>0</v>
      </c>
      <c r="P209" s="781">
        <v>0</v>
      </c>
      <c r="Q209" s="781">
        <v>344</v>
      </c>
      <c r="R209" s="781"/>
      <c r="S209" s="781">
        <v>9103</v>
      </c>
      <c r="T209" s="781">
        <v>2095</v>
      </c>
      <c r="U209" s="781">
        <v>11198</v>
      </c>
    </row>
    <row r="210" spans="1:21" ht="15" customHeight="1" x14ac:dyDescent="0.25">
      <c r="A210" s="776">
        <v>36405</v>
      </c>
      <c r="B210" s="774" t="s">
        <v>1556</v>
      </c>
      <c r="C210" s="779">
        <v>7.9250000000000002E-4</v>
      </c>
      <c r="D210" s="779">
        <v>8.6149999999999996E-4</v>
      </c>
      <c r="E210" s="781">
        <f>IFERROR(VLOOKUP(A210,'DIPNC Contributions 2018'!A:C,3,FALSE),0)</f>
        <v>18280</v>
      </c>
      <c r="F210" s="803">
        <v>-52655</v>
      </c>
      <c r="G210" s="803">
        <v>-24073</v>
      </c>
      <c r="I210" s="781">
        <v>41993</v>
      </c>
      <c r="J210" s="803">
        <v>18748</v>
      </c>
      <c r="K210" s="781">
        <v>4546</v>
      </c>
      <c r="L210" s="781">
        <v>5183</v>
      </c>
      <c r="N210" s="781">
        <v>0</v>
      </c>
      <c r="O210" s="781">
        <v>0</v>
      </c>
      <c r="P210" s="781">
        <v>0</v>
      </c>
      <c r="Q210" s="781">
        <v>1789</v>
      </c>
      <c r="R210" s="781"/>
      <c r="S210" s="781">
        <v>1507</v>
      </c>
      <c r="T210" s="781">
        <v>-31</v>
      </c>
      <c r="U210" s="781">
        <v>1476</v>
      </c>
    </row>
    <row r="211" spans="1:21" ht="15" customHeight="1" x14ac:dyDescent="0.25">
      <c r="A211" s="776">
        <v>36500</v>
      </c>
      <c r="B211" s="774" t="s">
        <v>995</v>
      </c>
      <c r="C211" s="779">
        <v>9.8331000000000009E-3</v>
      </c>
      <c r="D211" s="779">
        <v>9.7397000000000004E-3</v>
      </c>
      <c r="E211" s="781">
        <f>IFERROR(VLOOKUP(A211,'DIPNC Contributions 2018'!A:C,3,FALSE),0)</f>
        <v>217729</v>
      </c>
      <c r="F211" s="803">
        <v>-595290</v>
      </c>
      <c r="G211" s="803">
        <v>-298690</v>
      </c>
      <c r="I211" s="781">
        <v>521036</v>
      </c>
      <c r="J211" s="803">
        <v>232622</v>
      </c>
      <c r="K211" s="781">
        <v>56403</v>
      </c>
      <c r="L211" s="781">
        <v>0</v>
      </c>
      <c r="N211" s="781">
        <v>0</v>
      </c>
      <c r="O211" s="781">
        <v>0</v>
      </c>
      <c r="P211" s="781">
        <v>0</v>
      </c>
      <c r="Q211" s="781">
        <v>37136</v>
      </c>
      <c r="R211" s="781"/>
      <c r="S211" s="781">
        <v>18693</v>
      </c>
      <c r="T211" s="781">
        <v>-12648</v>
      </c>
      <c r="U211" s="781">
        <v>6045</v>
      </c>
    </row>
    <row r="212" spans="1:21" ht="15" customHeight="1" x14ac:dyDescent="0.25">
      <c r="A212" s="776">
        <v>36501</v>
      </c>
      <c r="B212" s="774" t="s">
        <v>996</v>
      </c>
      <c r="C212" s="779">
        <v>1.2999999999999999E-4</v>
      </c>
      <c r="D212" s="779">
        <v>1.2860000000000001E-4</v>
      </c>
      <c r="E212" s="781">
        <f>IFERROR(VLOOKUP(A212,'DIPNC Contributions 2018'!A:C,3,FALSE),0)</f>
        <v>2528</v>
      </c>
      <c r="F212" s="803">
        <v>-7860</v>
      </c>
      <c r="G212" s="803">
        <v>-3949</v>
      </c>
      <c r="I212" s="781">
        <v>6888</v>
      </c>
      <c r="J212" s="803">
        <v>3075</v>
      </c>
      <c r="K212" s="781">
        <v>746</v>
      </c>
      <c r="L212" s="781">
        <v>0</v>
      </c>
      <c r="N212" s="781">
        <v>0</v>
      </c>
      <c r="O212" s="781">
        <v>0</v>
      </c>
      <c r="P212" s="781">
        <v>0</v>
      </c>
      <c r="Q212" s="781">
        <v>1862</v>
      </c>
      <c r="R212" s="781"/>
      <c r="S212" s="781">
        <v>247</v>
      </c>
      <c r="T212" s="781">
        <v>-748</v>
      </c>
      <c r="U212" s="781">
        <v>-501</v>
      </c>
    </row>
    <row r="213" spans="1:21" ht="15" customHeight="1" x14ac:dyDescent="0.25">
      <c r="A213" s="776">
        <v>36502</v>
      </c>
      <c r="B213" s="774" t="s">
        <v>997</v>
      </c>
      <c r="C213" s="779">
        <v>4.7200000000000002E-5</v>
      </c>
      <c r="D213" s="779">
        <v>4.49E-5</v>
      </c>
      <c r="E213" s="781">
        <f>IFERROR(VLOOKUP(A213,'DIPNC Contributions 2018'!A:C,3,FALSE),0)</f>
        <v>876</v>
      </c>
      <c r="F213" s="803">
        <v>-2744</v>
      </c>
      <c r="G213" s="803">
        <v>-1434</v>
      </c>
      <c r="I213" s="781">
        <v>2501</v>
      </c>
      <c r="J213" s="803">
        <v>1117</v>
      </c>
      <c r="K213" s="781">
        <v>271</v>
      </c>
      <c r="L213" s="781">
        <v>0</v>
      </c>
      <c r="N213" s="781">
        <v>0</v>
      </c>
      <c r="O213" s="781">
        <v>0</v>
      </c>
      <c r="P213" s="781">
        <v>0</v>
      </c>
      <c r="Q213" s="781">
        <v>504</v>
      </c>
      <c r="R213" s="781"/>
      <c r="S213" s="781">
        <v>90</v>
      </c>
      <c r="T213" s="781">
        <v>-127</v>
      </c>
      <c r="U213" s="781">
        <v>-37</v>
      </c>
    </row>
    <row r="214" spans="1:21" ht="15" customHeight="1" x14ac:dyDescent="0.25">
      <c r="A214" s="776">
        <v>36505</v>
      </c>
      <c r="B214" s="774" t="s">
        <v>998</v>
      </c>
      <c r="C214" s="779">
        <v>1.8748E-3</v>
      </c>
      <c r="D214" s="779">
        <v>1.9540999999999998E-3</v>
      </c>
      <c r="E214" s="781">
        <f>IFERROR(VLOOKUP(A214,'DIPNC Contributions 2018'!A:C,3,FALSE),0)</f>
        <v>45481</v>
      </c>
      <c r="F214" s="803">
        <v>-119435</v>
      </c>
      <c r="G214" s="803">
        <v>-56949</v>
      </c>
      <c r="I214" s="781">
        <v>99342</v>
      </c>
      <c r="J214" s="803">
        <v>44352</v>
      </c>
      <c r="K214" s="781">
        <v>10754</v>
      </c>
      <c r="L214" s="781">
        <v>7611</v>
      </c>
      <c r="N214" s="781">
        <v>0</v>
      </c>
      <c r="O214" s="781">
        <v>0</v>
      </c>
      <c r="P214" s="781">
        <v>0</v>
      </c>
      <c r="Q214" s="781">
        <v>331</v>
      </c>
      <c r="R214" s="781"/>
      <c r="S214" s="781">
        <v>3564</v>
      </c>
      <c r="T214" s="781">
        <v>1104</v>
      </c>
      <c r="U214" s="781">
        <v>4668</v>
      </c>
    </row>
    <row r="215" spans="1:21" ht="15" customHeight="1" x14ac:dyDescent="0.25">
      <c r="A215" s="776">
        <v>36600</v>
      </c>
      <c r="B215" s="774" t="s">
        <v>999</v>
      </c>
      <c r="C215" s="779">
        <v>6.715E-4</v>
      </c>
      <c r="D215" s="779">
        <v>6.8749999999999996E-4</v>
      </c>
      <c r="E215" s="781">
        <f>IFERROR(VLOOKUP(A215,'DIPNC Contributions 2018'!A:C,3,FALSE),0)</f>
        <v>16934</v>
      </c>
      <c r="F215" s="803">
        <v>-42020</v>
      </c>
      <c r="G215" s="803">
        <v>-20397</v>
      </c>
      <c r="I215" s="781">
        <v>35581</v>
      </c>
      <c r="J215" s="803">
        <v>15886</v>
      </c>
      <c r="K215" s="781">
        <v>3852</v>
      </c>
      <c r="L215" s="781">
        <v>5166</v>
      </c>
      <c r="N215" s="781">
        <v>0</v>
      </c>
      <c r="O215" s="781">
        <v>0</v>
      </c>
      <c r="P215" s="781">
        <v>0</v>
      </c>
      <c r="Q215" s="781">
        <v>0</v>
      </c>
      <c r="R215" s="781"/>
      <c r="S215" s="781">
        <v>1277</v>
      </c>
      <c r="T215" s="781">
        <v>1814</v>
      </c>
      <c r="U215" s="781">
        <v>3091</v>
      </c>
    </row>
    <row r="216" spans="1:21" ht="15" customHeight="1" x14ac:dyDescent="0.25">
      <c r="A216" s="776">
        <v>36601</v>
      </c>
      <c r="B216" s="774" t="s">
        <v>1000</v>
      </c>
      <c r="C216" s="779">
        <v>4.462E-4</v>
      </c>
      <c r="D216" s="779">
        <v>4.2230000000000002E-4</v>
      </c>
      <c r="E216" s="781">
        <f>IFERROR(VLOOKUP(A216,'DIPNC Contributions 2018'!A:C,3,FALSE),0)</f>
        <v>7799</v>
      </c>
      <c r="F216" s="803">
        <v>-25811</v>
      </c>
      <c r="G216" s="803">
        <v>-13554</v>
      </c>
      <c r="I216" s="781">
        <v>23643</v>
      </c>
      <c r="J216" s="803">
        <v>10556</v>
      </c>
      <c r="K216" s="781">
        <v>2559</v>
      </c>
      <c r="L216" s="781">
        <v>0</v>
      </c>
      <c r="N216" s="781">
        <v>0</v>
      </c>
      <c r="O216" s="781">
        <v>0</v>
      </c>
      <c r="P216" s="781">
        <v>0</v>
      </c>
      <c r="Q216" s="781">
        <v>8302</v>
      </c>
      <c r="R216" s="781"/>
      <c r="S216" s="781">
        <v>848</v>
      </c>
      <c r="T216" s="781">
        <v>-2775</v>
      </c>
      <c r="U216" s="781">
        <v>-1927</v>
      </c>
    </row>
    <row r="217" spans="1:21" ht="15" customHeight="1" x14ac:dyDescent="0.25">
      <c r="A217" s="776">
        <v>36700</v>
      </c>
      <c r="B217" s="774" t="s">
        <v>1001</v>
      </c>
      <c r="C217" s="779">
        <v>8.4732999999999996E-3</v>
      </c>
      <c r="D217" s="779">
        <v>8.1998999999999996E-3</v>
      </c>
      <c r="E217" s="781">
        <f>IFERROR(VLOOKUP(A217,'DIPNC Contributions 2018'!A:C,3,FALSE),0)</f>
        <v>184701</v>
      </c>
      <c r="F217" s="803">
        <v>-501178</v>
      </c>
      <c r="G217" s="803">
        <v>-257385</v>
      </c>
      <c r="I217" s="781">
        <v>448983</v>
      </c>
      <c r="J217" s="803">
        <v>200453</v>
      </c>
      <c r="K217" s="781">
        <v>48603</v>
      </c>
      <c r="L217" s="781">
        <v>0</v>
      </c>
      <c r="N217" s="781">
        <v>0</v>
      </c>
      <c r="O217" s="781">
        <v>0</v>
      </c>
      <c r="P217" s="781">
        <v>0</v>
      </c>
      <c r="Q217" s="781">
        <v>47679</v>
      </c>
      <c r="R217" s="781"/>
      <c r="S217" s="781">
        <v>16108</v>
      </c>
      <c r="T217" s="781">
        <v>-12873</v>
      </c>
      <c r="U217" s="781">
        <v>3235</v>
      </c>
    </row>
    <row r="218" spans="1:21" ht="15" customHeight="1" x14ac:dyDescent="0.25">
      <c r="A218" s="776">
        <v>36701</v>
      </c>
      <c r="B218" s="774" t="s">
        <v>1002</v>
      </c>
      <c r="C218" s="779">
        <v>3.0300000000000001E-5</v>
      </c>
      <c r="D218" s="779">
        <v>2.9799999999999999E-5</v>
      </c>
      <c r="E218" s="781">
        <f>IFERROR(VLOOKUP(A218,'DIPNC Contributions 2018'!A:C,3,FALSE),0)</f>
        <v>652</v>
      </c>
      <c r="F218" s="803">
        <v>-1821</v>
      </c>
      <c r="G218" s="803">
        <v>-920</v>
      </c>
      <c r="I218" s="781">
        <v>1606</v>
      </c>
      <c r="J218" s="803">
        <v>717</v>
      </c>
      <c r="K218" s="781">
        <v>174</v>
      </c>
      <c r="L218" s="781">
        <v>151</v>
      </c>
      <c r="N218" s="781">
        <v>0</v>
      </c>
      <c r="O218" s="781">
        <v>0</v>
      </c>
      <c r="P218" s="781">
        <v>0</v>
      </c>
      <c r="Q218" s="781">
        <v>88</v>
      </c>
      <c r="R218" s="781"/>
      <c r="S218" s="781">
        <v>58</v>
      </c>
      <c r="T218" s="781">
        <v>61</v>
      </c>
      <c r="U218" s="781">
        <v>119</v>
      </c>
    </row>
    <row r="219" spans="1:21" ht="15" customHeight="1" x14ac:dyDescent="0.25">
      <c r="A219" s="776">
        <v>36705</v>
      </c>
      <c r="B219" s="774" t="s">
        <v>1003</v>
      </c>
      <c r="C219" s="779">
        <v>9.9259999999999995E-4</v>
      </c>
      <c r="D219" s="779">
        <v>9.6460000000000003E-4</v>
      </c>
      <c r="E219" s="781">
        <f>IFERROR(VLOOKUP(A219,'DIPNC Contributions 2018'!A:C,3,FALSE),0)</f>
        <v>22718</v>
      </c>
      <c r="F219" s="803">
        <v>-58956</v>
      </c>
      <c r="G219" s="803">
        <v>-30151</v>
      </c>
      <c r="I219" s="781">
        <v>52596</v>
      </c>
      <c r="J219" s="803">
        <v>23482</v>
      </c>
      <c r="K219" s="781">
        <v>5694</v>
      </c>
      <c r="L219" s="781">
        <v>0</v>
      </c>
      <c r="N219" s="781">
        <v>0</v>
      </c>
      <c r="O219" s="781">
        <v>0</v>
      </c>
      <c r="P219" s="781">
        <v>0</v>
      </c>
      <c r="Q219" s="781">
        <v>3148</v>
      </c>
      <c r="R219" s="781"/>
      <c r="S219" s="781">
        <v>1887</v>
      </c>
      <c r="T219" s="781">
        <v>-703</v>
      </c>
      <c r="U219" s="781">
        <v>1184</v>
      </c>
    </row>
    <row r="220" spans="1:21" ht="15" customHeight="1" x14ac:dyDescent="0.25">
      <c r="A220" s="776">
        <v>36800</v>
      </c>
      <c r="B220" s="774" t="s">
        <v>1004</v>
      </c>
      <c r="C220" s="779">
        <v>3.1359999999999999E-3</v>
      </c>
      <c r="D220" s="779">
        <v>3.0942000000000001E-3</v>
      </c>
      <c r="E220" s="781">
        <f>IFERROR(VLOOKUP(A220,'DIPNC Contributions 2018'!A:C,3,FALSE),0)</f>
        <v>71280</v>
      </c>
      <c r="F220" s="803">
        <v>-189118</v>
      </c>
      <c r="G220" s="803">
        <v>-95259</v>
      </c>
      <c r="I220" s="781">
        <v>166170</v>
      </c>
      <c r="J220" s="803">
        <v>74188</v>
      </c>
      <c r="K220" s="781">
        <v>17988</v>
      </c>
      <c r="L220" s="781">
        <v>0</v>
      </c>
      <c r="N220" s="781">
        <v>0</v>
      </c>
      <c r="O220" s="781">
        <v>0</v>
      </c>
      <c r="P220" s="781">
        <v>0</v>
      </c>
      <c r="Q220" s="781">
        <v>5780</v>
      </c>
      <c r="R220" s="781"/>
      <c r="S220" s="781">
        <v>5962</v>
      </c>
      <c r="T220" s="781">
        <v>-1215</v>
      </c>
      <c r="U220" s="781">
        <v>4747</v>
      </c>
    </row>
    <row r="221" spans="1:21" ht="15" customHeight="1" x14ac:dyDescent="0.25">
      <c r="A221" s="776">
        <v>36801</v>
      </c>
      <c r="B221" s="774" t="s">
        <v>1005</v>
      </c>
      <c r="C221" s="779">
        <v>0</v>
      </c>
      <c r="D221" s="779">
        <v>0</v>
      </c>
      <c r="E221" s="781">
        <f>IFERROR(VLOOKUP(A221,'DIPNC Contributions 2018'!A:C,3,FALSE),0)</f>
        <v>0</v>
      </c>
      <c r="F221" s="803">
        <v>0</v>
      </c>
      <c r="G221" s="803">
        <v>0</v>
      </c>
      <c r="I221" s="781">
        <v>0</v>
      </c>
      <c r="J221" s="803">
        <v>0</v>
      </c>
      <c r="K221" s="781">
        <v>0</v>
      </c>
      <c r="L221" s="781">
        <v>0</v>
      </c>
      <c r="N221" s="781">
        <v>0</v>
      </c>
      <c r="O221" s="781">
        <v>0</v>
      </c>
      <c r="P221" s="781">
        <v>0</v>
      </c>
      <c r="Q221" s="781">
        <v>0</v>
      </c>
      <c r="R221" s="781"/>
      <c r="S221" s="781">
        <v>0</v>
      </c>
      <c r="T221" s="781">
        <v>0</v>
      </c>
      <c r="U221" s="781">
        <v>0</v>
      </c>
    </row>
    <row r="222" spans="1:21" ht="15" customHeight="1" x14ac:dyDescent="0.25">
      <c r="A222" s="776">
        <v>36802</v>
      </c>
      <c r="B222" s="774" t="s">
        <v>1006</v>
      </c>
      <c r="C222" s="779">
        <v>1.8310000000000001E-4</v>
      </c>
      <c r="D222" s="779">
        <v>1.1340000000000001E-4</v>
      </c>
      <c r="E222" s="781">
        <f>IFERROR(VLOOKUP(A222,'DIPNC Contributions 2018'!A:C,3,FALSE),0)</f>
        <v>3384</v>
      </c>
      <c r="F222" s="803">
        <v>-6931</v>
      </c>
      <c r="G222" s="803">
        <v>-5562</v>
      </c>
      <c r="I222" s="781">
        <v>9702</v>
      </c>
      <c r="J222" s="803">
        <v>4332</v>
      </c>
      <c r="K222" s="781">
        <v>1050</v>
      </c>
      <c r="L222" s="781">
        <v>0</v>
      </c>
      <c r="N222" s="781">
        <v>0</v>
      </c>
      <c r="O222" s="781">
        <v>0</v>
      </c>
      <c r="P222" s="781">
        <v>0</v>
      </c>
      <c r="Q222" s="781">
        <v>8066</v>
      </c>
      <c r="R222" s="781"/>
      <c r="S222" s="781">
        <v>348</v>
      </c>
      <c r="T222" s="781">
        <v>-1959</v>
      </c>
      <c r="U222" s="781">
        <v>-1611</v>
      </c>
    </row>
    <row r="223" spans="1:21" ht="15" customHeight="1" x14ac:dyDescent="0.25">
      <c r="A223" s="776">
        <v>36810</v>
      </c>
      <c r="B223" s="774" t="s">
        <v>1557</v>
      </c>
      <c r="C223" s="779">
        <v>5.9176999999999997E-3</v>
      </c>
      <c r="D223" s="779">
        <v>5.8441999999999999E-3</v>
      </c>
      <c r="E223" s="781">
        <f>IFERROR(VLOOKUP(A223,'DIPNC Contributions 2018'!A:C,3,FALSE),0)</f>
        <v>129200</v>
      </c>
      <c r="F223" s="803">
        <v>-357198</v>
      </c>
      <c r="G223" s="803">
        <v>-179756</v>
      </c>
      <c r="I223" s="781">
        <v>313567</v>
      </c>
      <c r="J223" s="803">
        <v>139995</v>
      </c>
      <c r="K223" s="781">
        <v>33944</v>
      </c>
      <c r="L223" s="781">
        <v>0</v>
      </c>
      <c r="N223" s="781">
        <v>0</v>
      </c>
      <c r="O223" s="781">
        <v>0</v>
      </c>
      <c r="P223" s="781">
        <v>0</v>
      </c>
      <c r="Q223" s="781">
        <v>19474</v>
      </c>
      <c r="R223" s="781"/>
      <c r="S223" s="781">
        <v>11250</v>
      </c>
      <c r="T223" s="781">
        <v>-5199</v>
      </c>
      <c r="U223" s="781">
        <v>6051</v>
      </c>
    </row>
    <row r="224" spans="1:21" ht="15" customHeight="1" x14ac:dyDescent="0.25">
      <c r="A224" s="776">
        <v>36900</v>
      </c>
      <c r="B224" s="774" t="s">
        <v>1008</v>
      </c>
      <c r="C224" s="779">
        <v>5.6389999999999999E-4</v>
      </c>
      <c r="D224" s="779">
        <v>5.7249999999999998E-4</v>
      </c>
      <c r="E224" s="781">
        <f>IFERROR(VLOOKUP(A224,'DIPNC Contributions 2018'!A:C,3,FALSE),0)</f>
        <v>13314</v>
      </c>
      <c r="F224" s="803">
        <v>-34991</v>
      </c>
      <c r="G224" s="803">
        <v>-17129</v>
      </c>
      <c r="I224" s="781">
        <v>29880</v>
      </c>
      <c r="J224" s="803">
        <v>13340</v>
      </c>
      <c r="K224" s="781">
        <v>3235</v>
      </c>
      <c r="L224" s="781">
        <v>1043</v>
      </c>
      <c r="N224" s="781">
        <v>0</v>
      </c>
      <c r="O224" s="781">
        <v>0</v>
      </c>
      <c r="P224" s="781">
        <v>0</v>
      </c>
      <c r="Q224" s="781">
        <v>0</v>
      </c>
      <c r="R224" s="781"/>
      <c r="S224" s="781">
        <v>1072</v>
      </c>
      <c r="T224" s="781">
        <v>260</v>
      </c>
      <c r="U224" s="781">
        <v>1332</v>
      </c>
    </row>
    <row r="225" spans="1:21" ht="15" customHeight="1" x14ac:dyDescent="0.25">
      <c r="A225" s="776">
        <v>36901</v>
      </c>
      <c r="B225" s="774" t="s">
        <v>1009</v>
      </c>
      <c r="C225" s="779">
        <v>2.0900000000000001E-4</v>
      </c>
      <c r="D225" s="779">
        <v>1.94E-4</v>
      </c>
      <c r="E225" s="781">
        <f>IFERROR(VLOOKUP(A225,'DIPNC Contributions 2018'!A:C,3,FALSE),0)</f>
        <v>4739</v>
      </c>
      <c r="F225" s="803">
        <v>-11857</v>
      </c>
      <c r="G225" s="803">
        <v>-6349</v>
      </c>
      <c r="I225" s="781">
        <v>11074</v>
      </c>
      <c r="J225" s="803">
        <v>4944</v>
      </c>
      <c r="K225" s="781">
        <v>1199</v>
      </c>
      <c r="L225" s="781">
        <v>0</v>
      </c>
      <c r="N225" s="781">
        <v>0</v>
      </c>
      <c r="O225" s="781">
        <v>0</v>
      </c>
      <c r="P225" s="781">
        <v>0</v>
      </c>
      <c r="Q225" s="781">
        <v>1321</v>
      </c>
      <c r="R225" s="781"/>
      <c r="S225" s="781">
        <v>397</v>
      </c>
      <c r="T225" s="781">
        <v>-228</v>
      </c>
      <c r="U225" s="781">
        <v>169</v>
      </c>
    </row>
    <row r="226" spans="1:21" ht="15" customHeight="1" x14ac:dyDescent="0.25">
      <c r="A226" s="776">
        <v>36905</v>
      </c>
      <c r="B226" s="774" t="s">
        <v>1010</v>
      </c>
      <c r="C226" s="779">
        <v>1.9900000000000001E-4</v>
      </c>
      <c r="D226" s="779">
        <v>1.9149999999999999E-4</v>
      </c>
      <c r="E226" s="781">
        <f>IFERROR(VLOOKUP(A226,'DIPNC Contributions 2018'!A:C,3,FALSE),0)</f>
        <v>5218</v>
      </c>
      <c r="F226" s="803">
        <v>-11704</v>
      </c>
      <c r="G226" s="803">
        <v>-6045</v>
      </c>
      <c r="I226" s="781">
        <v>10545</v>
      </c>
      <c r="J226" s="803">
        <v>4708</v>
      </c>
      <c r="K226" s="781">
        <v>1141</v>
      </c>
      <c r="L226" s="781">
        <v>512</v>
      </c>
      <c r="N226" s="781">
        <v>0</v>
      </c>
      <c r="O226" s="781">
        <v>0</v>
      </c>
      <c r="P226" s="781">
        <v>0</v>
      </c>
      <c r="Q226" s="781">
        <v>103</v>
      </c>
      <c r="R226" s="781"/>
      <c r="S226" s="781">
        <v>378</v>
      </c>
      <c r="T226" s="781">
        <v>239</v>
      </c>
      <c r="U226" s="781">
        <v>617</v>
      </c>
    </row>
    <row r="227" spans="1:21" ht="15" customHeight="1" x14ac:dyDescent="0.25">
      <c r="A227" s="776">
        <v>37000</v>
      </c>
      <c r="B227" s="774" t="s">
        <v>1011</v>
      </c>
      <c r="C227" s="779">
        <v>1.9405E-3</v>
      </c>
      <c r="D227" s="779">
        <v>1.9151999999999999E-3</v>
      </c>
      <c r="E227" s="781">
        <f>IFERROR(VLOOKUP(A227,'DIPNC Contributions 2018'!A:C,3,FALSE),0)</f>
        <v>43451</v>
      </c>
      <c r="F227" s="803">
        <v>-117057</v>
      </c>
      <c r="G227" s="803">
        <v>-58945</v>
      </c>
      <c r="I227" s="781">
        <v>102823</v>
      </c>
      <c r="J227" s="803">
        <v>45906</v>
      </c>
      <c r="K227" s="781">
        <v>11131</v>
      </c>
      <c r="L227" s="781">
        <v>2655</v>
      </c>
      <c r="N227" s="781">
        <v>0</v>
      </c>
      <c r="O227" s="781">
        <v>0</v>
      </c>
      <c r="P227" s="781">
        <v>0</v>
      </c>
      <c r="Q227" s="781">
        <v>3628</v>
      </c>
      <c r="R227" s="781"/>
      <c r="S227" s="781">
        <v>3689</v>
      </c>
      <c r="T227" s="781">
        <v>722</v>
      </c>
      <c r="U227" s="781">
        <v>4411</v>
      </c>
    </row>
    <row r="228" spans="1:21" ht="15" customHeight="1" x14ac:dyDescent="0.25">
      <c r="A228" s="776">
        <v>37001</v>
      </c>
      <c r="B228" s="774" t="s">
        <v>1168</v>
      </c>
      <c r="C228" s="779">
        <v>1.005E-4</v>
      </c>
      <c r="D228" s="779">
        <v>7.9599999999999997E-5</v>
      </c>
      <c r="E228" s="781">
        <f>IFERROR(VLOOKUP(A228,'DIPNC Contributions 2018'!A:C,3,FALSE),0)</f>
        <v>2002</v>
      </c>
      <c r="F228" s="803">
        <v>-4865</v>
      </c>
      <c r="G228" s="803">
        <v>-3053</v>
      </c>
      <c r="I228" s="781">
        <v>5325</v>
      </c>
      <c r="J228" s="803">
        <v>2378</v>
      </c>
      <c r="K228" s="781">
        <v>576</v>
      </c>
      <c r="L228" s="781">
        <v>0</v>
      </c>
      <c r="N228" s="781">
        <v>0</v>
      </c>
      <c r="O228" s="781">
        <v>0</v>
      </c>
      <c r="P228" s="781">
        <v>0</v>
      </c>
      <c r="Q228" s="781">
        <v>3622</v>
      </c>
      <c r="R228" s="781"/>
      <c r="S228" s="781">
        <v>191</v>
      </c>
      <c r="T228" s="781">
        <v>-1166</v>
      </c>
      <c r="U228" s="781">
        <v>-975</v>
      </c>
    </row>
    <row r="229" spans="1:21" ht="15" customHeight="1" x14ac:dyDescent="0.25">
      <c r="A229" s="776">
        <v>37005</v>
      </c>
      <c r="B229" s="774" t="s">
        <v>1012</v>
      </c>
      <c r="C229" s="779">
        <v>4.4690000000000002E-4</v>
      </c>
      <c r="D229" s="779">
        <v>4.572E-4</v>
      </c>
      <c r="E229" s="781">
        <f>IFERROR(VLOOKUP(A229,'DIPNC Contributions 2018'!A:C,3,FALSE),0)</f>
        <v>12148</v>
      </c>
      <c r="F229" s="803">
        <v>-27944</v>
      </c>
      <c r="G229" s="803">
        <v>-13575</v>
      </c>
      <c r="I229" s="781">
        <v>23680</v>
      </c>
      <c r="J229" s="803">
        <v>10572</v>
      </c>
      <c r="K229" s="781">
        <v>2563</v>
      </c>
      <c r="L229" s="781">
        <v>4664</v>
      </c>
      <c r="N229" s="781">
        <v>0</v>
      </c>
      <c r="O229" s="781">
        <v>0</v>
      </c>
      <c r="P229" s="781">
        <v>0</v>
      </c>
      <c r="Q229" s="781">
        <v>0</v>
      </c>
      <c r="R229" s="781"/>
      <c r="S229" s="781">
        <v>850</v>
      </c>
      <c r="T229" s="781">
        <v>1579</v>
      </c>
      <c r="U229" s="781">
        <v>2429</v>
      </c>
    </row>
    <row r="230" spans="1:21" ht="15" customHeight="1" x14ac:dyDescent="0.25">
      <c r="A230" s="776">
        <v>37100</v>
      </c>
      <c r="B230" s="774" t="s">
        <v>1013</v>
      </c>
      <c r="C230" s="779">
        <v>2.9229E-3</v>
      </c>
      <c r="D230" s="779">
        <v>2.9053E-3</v>
      </c>
      <c r="E230" s="781">
        <f>IFERROR(VLOOKUP(A230,'DIPNC Contributions 2018'!A:C,3,FALSE),0)</f>
        <v>63143</v>
      </c>
      <c r="F230" s="803">
        <v>-177572</v>
      </c>
      <c r="G230" s="803">
        <v>-88786</v>
      </c>
      <c r="I230" s="781">
        <v>154879</v>
      </c>
      <c r="J230" s="803">
        <v>69147</v>
      </c>
      <c r="K230" s="781">
        <v>16766</v>
      </c>
      <c r="L230" s="781">
        <v>0</v>
      </c>
      <c r="N230" s="781">
        <v>0</v>
      </c>
      <c r="O230" s="781">
        <v>0</v>
      </c>
      <c r="P230" s="781">
        <v>0</v>
      </c>
      <c r="Q230" s="781">
        <v>13544</v>
      </c>
      <c r="R230" s="781"/>
      <c r="S230" s="781">
        <v>5556</v>
      </c>
      <c r="T230" s="781">
        <v>-4826</v>
      </c>
      <c r="U230" s="781">
        <v>730</v>
      </c>
    </row>
    <row r="231" spans="1:21" ht="15" customHeight="1" x14ac:dyDescent="0.25">
      <c r="A231" s="776">
        <v>37200</v>
      </c>
      <c r="B231" s="774" t="s">
        <v>1014</v>
      </c>
      <c r="C231" s="779">
        <v>6.0820000000000004E-4</v>
      </c>
      <c r="D231" s="779">
        <v>6.4570000000000003E-4</v>
      </c>
      <c r="E231" s="781">
        <f>IFERROR(VLOOKUP(A231,'DIPNC Contributions 2018'!A:C,3,FALSE),0)</f>
        <v>14144</v>
      </c>
      <c r="F231" s="803">
        <v>-39465</v>
      </c>
      <c r="G231" s="803">
        <v>-18475</v>
      </c>
      <c r="I231" s="781">
        <v>32227</v>
      </c>
      <c r="J231" s="803">
        <v>14388</v>
      </c>
      <c r="K231" s="781">
        <v>3489</v>
      </c>
      <c r="L231" s="781">
        <v>2867</v>
      </c>
      <c r="N231" s="781">
        <v>0</v>
      </c>
      <c r="O231" s="781">
        <v>0</v>
      </c>
      <c r="P231" s="781">
        <v>0</v>
      </c>
      <c r="Q231" s="781">
        <v>809</v>
      </c>
      <c r="R231" s="781"/>
      <c r="S231" s="781">
        <v>1156</v>
      </c>
      <c r="T231" s="781">
        <v>73</v>
      </c>
      <c r="U231" s="781">
        <v>1229</v>
      </c>
    </row>
    <row r="232" spans="1:21" ht="15" customHeight="1" x14ac:dyDescent="0.25">
      <c r="A232" s="776">
        <v>37300</v>
      </c>
      <c r="B232" s="774" t="s">
        <v>1015</v>
      </c>
      <c r="C232" s="779">
        <v>1.7343E-3</v>
      </c>
      <c r="D232" s="779">
        <v>1.7251E-3</v>
      </c>
      <c r="E232" s="781">
        <f>IFERROR(VLOOKUP(A232,'DIPNC Contributions 2018'!A:C,3,FALSE),0)</f>
        <v>37486</v>
      </c>
      <c r="F232" s="803">
        <v>-105438</v>
      </c>
      <c r="G232" s="803">
        <v>-52681</v>
      </c>
      <c r="I232" s="781">
        <v>91897</v>
      </c>
      <c r="J232" s="803">
        <v>41028</v>
      </c>
      <c r="K232" s="781">
        <v>9948</v>
      </c>
      <c r="L232" s="781">
        <v>0</v>
      </c>
      <c r="N232" s="781">
        <v>0</v>
      </c>
      <c r="O232" s="781">
        <v>0</v>
      </c>
      <c r="P232" s="781">
        <v>0</v>
      </c>
      <c r="Q232" s="781">
        <v>7905</v>
      </c>
      <c r="R232" s="781"/>
      <c r="S232" s="781">
        <v>3297</v>
      </c>
      <c r="T232" s="781">
        <v>-2836</v>
      </c>
      <c r="U232" s="781">
        <v>461</v>
      </c>
    </row>
    <row r="233" spans="1:21" ht="15" customHeight="1" x14ac:dyDescent="0.25">
      <c r="A233" s="776">
        <v>37301</v>
      </c>
      <c r="B233" s="774" t="s">
        <v>1016</v>
      </c>
      <c r="C233" s="779">
        <v>1.8799999999999999E-4</v>
      </c>
      <c r="D233" s="779">
        <v>1.8780000000000001E-4</v>
      </c>
      <c r="E233" s="781">
        <f>IFERROR(VLOOKUP(A233,'DIPNC Contributions 2018'!A:C,3,FALSE),0)</f>
        <v>4218</v>
      </c>
      <c r="F233" s="803">
        <v>-11478</v>
      </c>
      <c r="G233" s="803">
        <v>-5711</v>
      </c>
      <c r="I233" s="781">
        <v>9962</v>
      </c>
      <c r="J233" s="803">
        <v>4448</v>
      </c>
      <c r="K233" s="781">
        <v>1078</v>
      </c>
      <c r="L233" s="781">
        <v>0</v>
      </c>
      <c r="N233" s="781">
        <v>0</v>
      </c>
      <c r="O233" s="781">
        <v>0</v>
      </c>
      <c r="P233" s="781">
        <v>0</v>
      </c>
      <c r="Q233" s="781">
        <v>932</v>
      </c>
      <c r="R233" s="781"/>
      <c r="S233" s="781">
        <v>357</v>
      </c>
      <c r="T233" s="781">
        <v>-409</v>
      </c>
      <c r="U233" s="781">
        <v>-52</v>
      </c>
    </row>
    <row r="234" spans="1:21" ht="15" customHeight="1" x14ac:dyDescent="0.25">
      <c r="A234" s="776">
        <v>37305</v>
      </c>
      <c r="B234" s="774" t="s">
        <v>1017</v>
      </c>
      <c r="C234" s="779">
        <v>4.036E-4</v>
      </c>
      <c r="D234" s="779">
        <v>4.4040000000000003E-4</v>
      </c>
      <c r="E234" s="781">
        <f>IFERROR(VLOOKUP(A234,'DIPNC Contributions 2018'!A:C,3,FALSE),0)</f>
        <v>11806</v>
      </c>
      <c r="F234" s="803">
        <v>-26917</v>
      </c>
      <c r="G234" s="803">
        <v>-12260</v>
      </c>
      <c r="I234" s="781">
        <v>21386</v>
      </c>
      <c r="J234" s="803">
        <v>9548</v>
      </c>
      <c r="K234" s="781">
        <v>2315</v>
      </c>
      <c r="L234" s="781">
        <v>9839</v>
      </c>
      <c r="N234" s="781">
        <v>0</v>
      </c>
      <c r="O234" s="781">
        <v>0</v>
      </c>
      <c r="P234" s="781">
        <v>0</v>
      </c>
      <c r="Q234" s="781">
        <v>0</v>
      </c>
      <c r="R234" s="781"/>
      <c r="S234" s="781">
        <v>767</v>
      </c>
      <c r="T234" s="781">
        <v>3283</v>
      </c>
      <c r="U234" s="781">
        <v>4050</v>
      </c>
    </row>
    <row r="235" spans="1:21" ht="15" customHeight="1" x14ac:dyDescent="0.25">
      <c r="A235" s="776">
        <v>37400</v>
      </c>
      <c r="B235" s="774" t="s">
        <v>1018</v>
      </c>
      <c r="C235" s="779">
        <v>8.0984000000000004E-3</v>
      </c>
      <c r="D235" s="779">
        <v>8.0526999999999994E-3</v>
      </c>
      <c r="E235" s="781">
        <f>IFERROR(VLOOKUP(A235,'DIPNC Contributions 2018'!A:C,3,FALSE),0)</f>
        <v>172152</v>
      </c>
      <c r="F235" s="803">
        <v>-492181</v>
      </c>
      <c r="G235" s="803">
        <v>-245997</v>
      </c>
      <c r="I235" s="781">
        <v>429118</v>
      </c>
      <c r="J235" s="803">
        <v>191584</v>
      </c>
      <c r="K235" s="781">
        <v>46452</v>
      </c>
      <c r="L235" s="781">
        <v>0</v>
      </c>
      <c r="N235" s="781">
        <v>0</v>
      </c>
      <c r="O235" s="781">
        <v>0</v>
      </c>
      <c r="P235" s="781">
        <v>0</v>
      </c>
      <c r="Q235" s="781">
        <v>32554</v>
      </c>
      <c r="R235" s="781"/>
      <c r="S235" s="781">
        <v>15395</v>
      </c>
      <c r="T235" s="781">
        <v>-10167</v>
      </c>
      <c r="U235" s="781">
        <v>5228</v>
      </c>
    </row>
    <row r="236" spans="1:21" ht="15" customHeight="1" x14ac:dyDescent="0.25">
      <c r="A236" s="776">
        <v>37405</v>
      </c>
      <c r="B236" s="774" t="s">
        <v>1019</v>
      </c>
      <c r="C236" s="779">
        <v>1.7864999999999999E-3</v>
      </c>
      <c r="D236" s="779">
        <v>1.864E-3</v>
      </c>
      <c r="E236" s="781">
        <f>IFERROR(VLOOKUP(A236,'DIPNC Contributions 2018'!A:C,3,FALSE),0)</f>
        <v>41040</v>
      </c>
      <c r="F236" s="803">
        <v>-113928</v>
      </c>
      <c r="G236" s="803">
        <v>-54267</v>
      </c>
      <c r="I236" s="781">
        <v>94663</v>
      </c>
      <c r="J236" s="803">
        <v>42263</v>
      </c>
      <c r="K236" s="781">
        <v>10247</v>
      </c>
      <c r="L236" s="781">
        <v>5434</v>
      </c>
      <c r="N236" s="781">
        <v>0</v>
      </c>
      <c r="O236" s="781">
        <v>0</v>
      </c>
      <c r="P236" s="781">
        <v>0</v>
      </c>
      <c r="Q236" s="781">
        <v>2662</v>
      </c>
      <c r="R236" s="781"/>
      <c r="S236" s="781">
        <v>3396</v>
      </c>
      <c r="T236" s="781">
        <v>-425</v>
      </c>
      <c r="U236" s="781">
        <v>2971</v>
      </c>
    </row>
    <row r="237" spans="1:21" ht="15" customHeight="1" x14ac:dyDescent="0.25">
      <c r="A237" s="776">
        <v>37500</v>
      </c>
      <c r="B237" s="774" t="s">
        <v>1020</v>
      </c>
      <c r="C237" s="779">
        <v>8.7909999999999996E-4</v>
      </c>
      <c r="D237" s="779">
        <v>8.9360000000000004E-4</v>
      </c>
      <c r="E237" s="781">
        <f>IFERROR(VLOOKUP(A237,'DIPNC Contributions 2018'!A:C,3,FALSE),0)</f>
        <v>21315</v>
      </c>
      <c r="F237" s="803">
        <v>-54617</v>
      </c>
      <c r="G237" s="803">
        <v>-26704</v>
      </c>
      <c r="I237" s="781">
        <v>46582</v>
      </c>
      <c r="J237" s="803">
        <v>20797</v>
      </c>
      <c r="K237" s="781">
        <v>5043</v>
      </c>
      <c r="L237" s="781">
        <v>2526</v>
      </c>
      <c r="N237" s="781">
        <v>0</v>
      </c>
      <c r="O237" s="781">
        <v>0</v>
      </c>
      <c r="P237" s="781">
        <v>0</v>
      </c>
      <c r="Q237" s="781">
        <v>0</v>
      </c>
      <c r="R237" s="781"/>
      <c r="S237" s="781">
        <v>1671</v>
      </c>
      <c r="T237" s="781">
        <v>668</v>
      </c>
      <c r="U237" s="781">
        <v>2339</v>
      </c>
    </row>
    <row r="238" spans="1:21" ht="15" customHeight="1" x14ac:dyDescent="0.25">
      <c r="A238" s="776">
        <v>37600</v>
      </c>
      <c r="B238" s="774" t="s">
        <v>1021</v>
      </c>
      <c r="C238" s="779">
        <v>5.4774999999999997E-3</v>
      </c>
      <c r="D238" s="779">
        <v>5.6343000000000001E-3</v>
      </c>
      <c r="E238" s="781">
        <f>IFERROR(VLOOKUP(A238,'DIPNC Contributions 2018'!A:C,3,FALSE),0)</f>
        <v>121790</v>
      </c>
      <c r="F238" s="803">
        <v>-344368</v>
      </c>
      <c r="G238" s="803">
        <v>-166385</v>
      </c>
      <c r="I238" s="781">
        <v>290242</v>
      </c>
      <c r="J238" s="803">
        <v>129581</v>
      </c>
      <c r="K238" s="781">
        <v>31419</v>
      </c>
      <c r="L238" s="781">
        <v>6874</v>
      </c>
      <c r="N238" s="781">
        <v>0</v>
      </c>
      <c r="O238" s="781">
        <v>0</v>
      </c>
      <c r="P238" s="781">
        <v>0</v>
      </c>
      <c r="Q238" s="781">
        <v>5357</v>
      </c>
      <c r="R238" s="781"/>
      <c r="S238" s="781">
        <v>10413</v>
      </c>
      <c r="T238" s="781">
        <v>-1533</v>
      </c>
      <c r="U238" s="781">
        <v>8880</v>
      </c>
    </row>
    <row r="239" spans="1:21" ht="15" customHeight="1" x14ac:dyDescent="0.25">
      <c r="A239" s="776">
        <v>37601</v>
      </c>
      <c r="B239" s="774" t="s">
        <v>1022</v>
      </c>
      <c r="C239" s="779">
        <v>2.7910000000000001E-4</v>
      </c>
      <c r="D239" s="779">
        <v>2.3470000000000001E-4</v>
      </c>
      <c r="E239" s="781">
        <f>IFERROR(VLOOKUP(A239,'DIPNC Contributions 2018'!A:C,3,FALSE),0)</f>
        <v>4964</v>
      </c>
      <c r="F239" s="803">
        <v>-14345</v>
      </c>
      <c r="G239" s="803">
        <v>-8478</v>
      </c>
      <c r="I239" s="781">
        <v>14789</v>
      </c>
      <c r="J239" s="803">
        <v>6603</v>
      </c>
      <c r="K239" s="781">
        <v>1601</v>
      </c>
      <c r="L239" s="781">
        <v>0</v>
      </c>
      <c r="N239" s="781">
        <v>0</v>
      </c>
      <c r="O239" s="781">
        <v>0</v>
      </c>
      <c r="P239" s="781">
        <v>0</v>
      </c>
      <c r="Q239" s="781">
        <v>7734</v>
      </c>
      <c r="R239" s="781"/>
      <c r="S239" s="781">
        <v>531</v>
      </c>
      <c r="T239" s="781">
        <v>-2262</v>
      </c>
      <c r="U239" s="781">
        <v>-1731</v>
      </c>
    </row>
    <row r="240" spans="1:21" ht="15" customHeight="1" x14ac:dyDescent="0.25">
      <c r="A240" s="776">
        <v>37605</v>
      </c>
      <c r="B240" s="774" t="s">
        <v>1023</v>
      </c>
      <c r="C240" s="779">
        <v>6.8059999999999996E-4</v>
      </c>
      <c r="D240" s="779">
        <v>6.9490000000000003E-4</v>
      </c>
      <c r="E240" s="781">
        <f>IFERROR(VLOOKUP(A240,'DIPNC Contributions 2018'!A:C,3,FALSE),0)</f>
        <v>15428</v>
      </c>
      <c r="F240" s="803">
        <v>-42472</v>
      </c>
      <c r="G240" s="803">
        <v>-20674</v>
      </c>
      <c r="I240" s="781">
        <v>36064</v>
      </c>
      <c r="J240" s="803">
        <v>16101</v>
      </c>
      <c r="K240" s="781">
        <v>3904</v>
      </c>
      <c r="L240" s="781">
        <v>702</v>
      </c>
      <c r="N240" s="781">
        <v>0</v>
      </c>
      <c r="O240" s="781">
        <v>0</v>
      </c>
      <c r="P240" s="781">
        <v>0</v>
      </c>
      <c r="Q240" s="781">
        <v>1195</v>
      </c>
      <c r="R240" s="781"/>
      <c r="S240" s="781">
        <v>1294</v>
      </c>
      <c r="T240" s="781">
        <v>-481</v>
      </c>
      <c r="U240" s="781">
        <v>813</v>
      </c>
    </row>
    <row r="241" spans="1:21" ht="15" customHeight="1" x14ac:dyDescent="0.25">
      <c r="A241" s="776">
        <v>37610</v>
      </c>
      <c r="B241" s="774" t="s">
        <v>1024</v>
      </c>
      <c r="C241" s="779">
        <v>1.6825E-3</v>
      </c>
      <c r="D241" s="779">
        <v>1.7455999999999999E-3</v>
      </c>
      <c r="E241" s="781">
        <f>IFERROR(VLOOKUP(A241,'DIPNC Contributions 2018'!A:C,3,FALSE),0)</f>
        <v>36172</v>
      </c>
      <c r="F241" s="803">
        <v>-106691</v>
      </c>
      <c r="G241" s="803">
        <v>-51108</v>
      </c>
      <c r="I241" s="781">
        <v>89152</v>
      </c>
      <c r="J241" s="803">
        <v>39803</v>
      </c>
      <c r="K241" s="781">
        <v>9651</v>
      </c>
      <c r="L241" s="781">
        <v>2220</v>
      </c>
      <c r="N241" s="781">
        <v>0</v>
      </c>
      <c r="O241" s="781">
        <v>0</v>
      </c>
      <c r="P241" s="781">
        <v>0</v>
      </c>
      <c r="Q241" s="781">
        <v>5499</v>
      </c>
      <c r="R241" s="781"/>
      <c r="S241" s="781">
        <v>3198</v>
      </c>
      <c r="T241" s="781">
        <v>-2379</v>
      </c>
      <c r="U241" s="781">
        <v>819</v>
      </c>
    </row>
    <row r="242" spans="1:21" ht="15" customHeight="1" x14ac:dyDescent="0.25">
      <c r="A242" s="776">
        <v>37700</v>
      </c>
      <c r="B242" s="774" t="s">
        <v>1025</v>
      </c>
      <c r="C242" s="779">
        <v>2.3305000000000001E-3</v>
      </c>
      <c r="D242" s="779">
        <v>2.3754000000000002E-3</v>
      </c>
      <c r="E242" s="781">
        <f>IFERROR(VLOOKUP(A242,'DIPNC Contributions 2018'!A:C,3,FALSE),0)</f>
        <v>53229</v>
      </c>
      <c r="F242" s="803">
        <v>-145184</v>
      </c>
      <c r="G242" s="803">
        <v>-70791</v>
      </c>
      <c r="I242" s="781">
        <v>123489</v>
      </c>
      <c r="J242" s="803">
        <v>55133</v>
      </c>
      <c r="K242" s="781">
        <v>13368</v>
      </c>
      <c r="L242" s="781">
        <v>3840</v>
      </c>
      <c r="N242" s="781">
        <v>0</v>
      </c>
      <c r="O242" s="781">
        <v>0</v>
      </c>
      <c r="P242" s="781">
        <v>0</v>
      </c>
      <c r="Q242" s="781">
        <v>0</v>
      </c>
      <c r="R242" s="781"/>
      <c r="S242" s="781">
        <v>4430</v>
      </c>
      <c r="T242" s="781">
        <v>1111</v>
      </c>
      <c r="U242" s="781">
        <v>5541</v>
      </c>
    </row>
    <row r="243" spans="1:21" ht="15" customHeight="1" x14ac:dyDescent="0.25">
      <c r="A243" s="776">
        <v>37705</v>
      </c>
      <c r="B243" s="774" t="s">
        <v>1026</v>
      </c>
      <c r="C243" s="779">
        <v>7.2389999999999998E-4</v>
      </c>
      <c r="D243" s="779">
        <v>7.0790000000000002E-4</v>
      </c>
      <c r="E243" s="781">
        <f>IFERROR(VLOOKUP(A243,'DIPNC Contributions 2018'!A:C,3,FALSE),0)</f>
        <v>16926</v>
      </c>
      <c r="F243" s="803">
        <v>-43267</v>
      </c>
      <c r="G243" s="803">
        <v>-21989</v>
      </c>
      <c r="I243" s="781">
        <v>38358</v>
      </c>
      <c r="J243" s="803">
        <v>17125</v>
      </c>
      <c r="K243" s="781">
        <v>4152</v>
      </c>
      <c r="L243" s="781">
        <v>618</v>
      </c>
      <c r="N243" s="781">
        <v>0</v>
      </c>
      <c r="O243" s="781">
        <v>0</v>
      </c>
      <c r="P243" s="781">
        <v>0</v>
      </c>
      <c r="Q243" s="781">
        <v>1252</v>
      </c>
      <c r="R243" s="781"/>
      <c r="S243" s="781">
        <v>1376</v>
      </c>
      <c r="T243" s="781">
        <v>100</v>
      </c>
      <c r="U243" s="781">
        <v>1476</v>
      </c>
    </row>
    <row r="244" spans="1:21" ht="15" customHeight="1" x14ac:dyDescent="0.25">
      <c r="A244" s="776">
        <v>37800</v>
      </c>
      <c r="B244" s="774" t="s">
        <v>1027</v>
      </c>
      <c r="C244" s="779">
        <v>7.3794999999999998E-3</v>
      </c>
      <c r="D244" s="779">
        <v>7.3393E-3</v>
      </c>
      <c r="E244" s="781">
        <f>IFERROR(VLOOKUP(A244,'DIPNC Contributions 2018'!A:C,3,FALSE),0)</f>
        <v>171688</v>
      </c>
      <c r="F244" s="803">
        <v>-448578</v>
      </c>
      <c r="G244" s="803">
        <v>-224160</v>
      </c>
      <c r="I244" s="781">
        <v>391025</v>
      </c>
      <c r="J244" s="803">
        <v>174577</v>
      </c>
      <c r="K244" s="781">
        <v>42329</v>
      </c>
      <c r="L244" s="781">
        <v>0</v>
      </c>
      <c r="N244" s="781">
        <v>0</v>
      </c>
      <c r="O244" s="781">
        <v>0</v>
      </c>
      <c r="P244" s="781">
        <v>0</v>
      </c>
      <c r="Q244" s="781">
        <v>3976</v>
      </c>
      <c r="R244" s="781"/>
      <c r="S244" s="781">
        <v>14028</v>
      </c>
      <c r="T244" s="781">
        <v>-691</v>
      </c>
      <c r="U244" s="781">
        <v>13337</v>
      </c>
    </row>
    <row r="245" spans="1:21" ht="15" customHeight="1" x14ac:dyDescent="0.25">
      <c r="A245" s="776">
        <v>37801</v>
      </c>
      <c r="B245" s="774" t="s">
        <v>1028</v>
      </c>
      <c r="C245" s="779">
        <v>5.9200000000000002E-5</v>
      </c>
      <c r="D245" s="779">
        <v>5.6400000000000002E-5</v>
      </c>
      <c r="E245" s="781">
        <f>IFERROR(VLOOKUP(A245,'DIPNC Contributions 2018'!A:C,3,FALSE),0)</f>
        <v>1065</v>
      </c>
      <c r="F245" s="803">
        <v>-3447</v>
      </c>
      <c r="G245" s="803">
        <v>-1798</v>
      </c>
      <c r="I245" s="781">
        <v>3137</v>
      </c>
      <c r="J245" s="803">
        <v>1400</v>
      </c>
      <c r="K245" s="781">
        <v>340</v>
      </c>
      <c r="L245" s="781">
        <v>0</v>
      </c>
      <c r="N245" s="781">
        <v>0</v>
      </c>
      <c r="O245" s="781">
        <v>0</v>
      </c>
      <c r="P245" s="781">
        <v>0</v>
      </c>
      <c r="Q245" s="781">
        <v>1109</v>
      </c>
      <c r="R245" s="781"/>
      <c r="S245" s="781">
        <v>113</v>
      </c>
      <c r="T245" s="781">
        <v>-391</v>
      </c>
      <c r="U245" s="781">
        <v>-278</v>
      </c>
    </row>
    <row r="246" spans="1:21" ht="15" customHeight="1" x14ac:dyDescent="0.25">
      <c r="A246" s="776">
        <v>37805</v>
      </c>
      <c r="B246" s="774" t="s">
        <v>1029</v>
      </c>
      <c r="C246" s="779">
        <v>5.2300000000000003E-4</v>
      </c>
      <c r="D246" s="779">
        <v>5.4929999999999996E-4</v>
      </c>
      <c r="E246" s="781">
        <f>IFERROR(VLOOKUP(A246,'DIPNC Contributions 2018'!A:C,3,FALSE),0)</f>
        <v>13313</v>
      </c>
      <c r="F246" s="803">
        <v>-33573</v>
      </c>
      <c r="G246" s="803">
        <v>-15887</v>
      </c>
      <c r="I246" s="781">
        <v>27713</v>
      </c>
      <c r="J246" s="803">
        <v>12373</v>
      </c>
      <c r="K246" s="781">
        <v>3000</v>
      </c>
      <c r="L246" s="781">
        <v>5626</v>
      </c>
      <c r="N246" s="781">
        <v>0</v>
      </c>
      <c r="O246" s="781">
        <v>0</v>
      </c>
      <c r="P246" s="781">
        <v>0</v>
      </c>
      <c r="Q246" s="781">
        <v>0</v>
      </c>
      <c r="R246" s="781"/>
      <c r="S246" s="781">
        <v>994</v>
      </c>
      <c r="T246" s="781">
        <v>1818</v>
      </c>
      <c r="U246" s="781">
        <v>2812</v>
      </c>
    </row>
    <row r="247" spans="1:21" ht="15" customHeight="1" x14ac:dyDescent="0.25">
      <c r="A247" s="776">
        <v>37900</v>
      </c>
      <c r="B247" s="774" t="s">
        <v>1030</v>
      </c>
      <c r="C247" s="779">
        <v>3.7314000000000002E-3</v>
      </c>
      <c r="D247" s="779">
        <v>3.8422999999999999E-3</v>
      </c>
      <c r="E247" s="781">
        <f>IFERROR(VLOOKUP(A247,'DIPNC Contributions 2018'!A:C,3,FALSE),0)</f>
        <v>87100</v>
      </c>
      <c r="F247" s="803">
        <v>-234841</v>
      </c>
      <c r="G247" s="803">
        <v>-113345</v>
      </c>
      <c r="I247" s="781">
        <v>197719</v>
      </c>
      <c r="J247" s="803">
        <v>88274</v>
      </c>
      <c r="K247" s="781">
        <v>21403</v>
      </c>
      <c r="L247" s="781">
        <v>15180</v>
      </c>
      <c r="N247" s="781">
        <v>0</v>
      </c>
      <c r="O247" s="781">
        <v>0</v>
      </c>
      <c r="P247" s="781">
        <v>0</v>
      </c>
      <c r="Q247" s="781">
        <v>0</v>
      </c>
      <c r="R247" s="781"/>
      <c r="S247" s="781">
        <v>7093</v>
      </c>
      <c r="T247" s="781">
        <v>4741</v>
      </c>
      <c r="U247" s="781">
        <v>11834</v>
      </c>
    </row>
    <row r="248" spans="1:21" ht="15" customHeight="1" x14ac:dyDescent="0.25">
      <c r="A248" s="776">
        <v>37901</v>
      </c>
      <c r="B248" s="774" t="s">
        <v>1031</v>
      </c>
      <c r="C248" s="779">
        <v>7.3499999999999998E-5</v>
      </c>
      <c r="D248" s="779">
        <v>5.2200000000000002E-5</v>
      </c>
      <c r="E248" s="781">
        <f>IFERROR(VLOOKUP(A248,'DIPNC Contributions 2018'!A:C,3,FALSE),0)</f>
        <v>1620</v>
      </c>
      <c r="F248" s="803">
        <v>-3190</v>
      </c>
      <c r="G248" s="803">
        <v>-2233</v>
      </c>
      <c r="I248" s="781">
        <v>3895</v>
      </c>
      <c r="J248" s="803">
        <v>1739</v>
      </c>
      <c r="K248" s="781">
        <v>422</v>
      </c>
      <c r="L248" s="781">
        <v>153</v>
      </c>
      <c r="N248" s="781">
        <v>0</v>
      </c>
      <c r="O248" s="781">
        <v>0</v>
      </c>
      <c r="P248" s="781">
        <v>0</v>
      </c>
      <c r="Q248" s="781">
        <v>1751</v>
      </c>
      <c r="R248" s="781"/>
      <c r="S248" s="781">
        <v>140</v>
      </c>
      <c r="T248" s="781">
        <v>-216</v>
      </c>
      <c r="U248" s="781">
        <v>-76</v>
      </c>
    </row>
    <row r="249" spans="1:21" ht="15" customHeight="1" x14ac:dyDescent="0.25">
      <c r="A249" s="776">
        <v>37905</v>
      </c>
      <c r="B249" s="774" t="s">
        <v>1032</v>
      </c>
      <c r="C249" s="779">
        <v>4.0329999999999999E-4</v>
      </c>
      <c r="D249" s="779">
        <v>4.6309999999999998E-4</v>
      </c>
      <c r="E249" s="781">
        <f>IFERROR(VLOOKUP(A249,'DIPNC Contributions 2018'!A:C,3,FALSE),0)</f>
        <v>11212</v>
      </c>
      <c r="F249" s="803">
        <v>-28305</v>
      </c>
      <c r="G249" s="803">
        <v>-12251</v>
      </c>
      <c r="I249" s="781">
        <v>21370</v>
      </c>
      <c r="J249" s="803">
        <v>9541</v>
      </c>
      <c r="K249" s="781">
        <v>2313</v>
      </c>
      <c r="L249" s="781">
        <v>7173</v>
      </c>
      <c r="N249" s="781">
        <v>0</v>
      </c>
      <c r="O249" s="781">
        <v>0</v>
      </c>
      <c r="P249" s="781">
        <v>0</v>
      </c>
      <c r="Q249" s="781">
        <v>0</v>
      </c>
      <c r="R249" s="781"/>
      <c r="S249" s="781">
        <v>767</v>
      </c>
      <c r="T249" s="781">
        <v>1518</v>
      </c>
      <c r="U249" s="781">
        <v>2285</v>
      </c>
    </row>
    <row r="250" spans="1:21" ht="15" customHeight="1" x14ac:dyDescent="0.25">
      <c r="A250" s="776">
        <v>38000</v>
      </c>
      <c r="B250" s="774" t="s">
        <v>1033</v>
      </c>
      <c r="C250" s="779">
        <v>6.4384999999999998E-3</v>
      </c>
      <c r="D250" s="779">
        <v>6.3971999999999996E-3</v>
      </c>
      <c r="E250" s="781">
        <f>IFERROR(VLOOKUP(A250,'DIPNC Contributions 2018'!A:C,3,FALSE),0)</f>
        <v>144588</v>
      </c>
      <c r="F250" s="803">
        <v>-390997</v>
      </c>
      <c r="G250" s="803">
        <v>-195576</v>
      </c>
      <c r="I250" s="781">
        <v>341163</v>
      </c>
      <c r="J250" s="803">
        <v>152316</v>
      </c>
      <c r="K250" s="781">
        <v>36931</v>
      </c>
      <c r="L250" s="781">
        <v>0</v>
      </c>
      <c r="N250" s="781">
        <v>0</v>
      </c>
      <c r="O250" s="781">
        <v>0</v>
      </c>
      <c r="P250" s="781">
        <v>0</v>
      </c>
      <c r="Q250" s="781">
        <v>14907</v>
      </c>
      <c r="R250" s="781"/>
      <c r="S250" s="781">
        <v>12240</v>
      </c>
      <c r="T250" s="781">
        <v>-4672</v>
      </c>
      <c r="U250" s="781">
        <v>7568</v>
      </c>
    </row>
    <row r="251" spans="1:21" ht="15" customHeight="1" x14ac:dyDescent="0.25">
      <c r="A251" s="776">
        <v>38005</v>
      </c>
      <c r="B251" s="774" t="s">
        <v>1034</v>
      </c>
      <c r="C251" s="779">
        <v>1.1815E-3</v>
      </c>
      <c r="D251" s="779">
        <v>1.2283999999999999E-3</v>
      </c>
      <c r="E251" s="781">
        <f>IFERROR(VLOOKUP(A251,'DIPNC Contributions 2018'!A:C,3,FALSE),0)</f>
        <v>28527</v>
      </c>
      <c r="F251" s="803">
        <v>-75080</v>
      </c>
      <c r="G251" s="803">
        <v>-35889</v>
      </c>
      <c r="I251" s="781">
        <v>62605</v>
      </c>
      <c r="J251" s="803">
        <v>27951</v>
      </c>
      <c r="K251" s="781">
        <v>6777</v>
      </c>
      <c r="L251" s="781">
        <v>7828</v>
      </c>
      <c r="N251" s="781">
        <v>0</v>
      </c>
      <c r="O251" s="781">
        <v>0</v>
      </c>
      <c r="P251" s="781">
        <v>0</v>
      </c>
      <c r="Q251" s="781">
        <v>0</v>
      </c>
      <c r="R251" s="781"/>
      <c r="S251" s="781">
        <v>2246</v>
      </c>
      <c r="T251" s="781">
        <v>2434</v>
      </c>
      <c r="U251" s="781">
        <v>4680</v>
      </c>
    </row>
    <row r="252" spans="1:21" ht="15" customHeight="1" x14ac:dyDescent="0.25">
      <c r="A252" s="776">
        <v>38100</v>
      </c>
      <c r="B252" s="774" t="s">
        <v>1035</v>
      </c>
      <c r="C252" s="779">
        <v>2.862E-3</v>
      </c>
      <c r="D252" s="779">
        <v>2.8528E-3</v>
      </c>
      <c r="E252" s="781">
        <f>IFERROR(VLOOKUP(A252,'DIPNC Contributions 2018'!A:C,3,FALSE),0)</f>
        <v>66507</v>
      </c>
      <c r="F252" s="803">
        <v>-174363</v>
      </c>
      <c r="G252" s="803">
        <v>-86936</v>
      </c>
      <c r="I252" s="781">
        <v>151652</v>
      </c>
      <c r="J252" s="803">
        <v>67706</v>
      </c>
      <c r="K252" s="781">
        <v>16416</v>
      </c>
      <c r="L252" s="781">
        <v>3285</v>
      </c>
      <c r="N252" s="781">
        <v>0</v>
      </c>
      <c r="O252" s="781">
        <v>0</v>
      </c>
      <c r="P252" s="781">
        <v>0</v>
      </c>
      <c r="Q252" s="781">
        <v>1076</v>
      </c>
      <c r="R252" s="781"/>
      <c r="S252" s="781">
        <v>5441</v>
      </c>
      <c r="T252" s="781">
        <v>1464</v>
      </c>
      <c r="U252" s="781">
        <v>6905</v>
      </c>
    </row>
    <row r="253" spans="1:21" ht="15" customHeight="1" x14ac:dyDescent="0.25">
      <c r="A253" s="776">
        <v>38105</v>
      </c>
      <c r="B253" s="774" t="s">
        <v>1036</v>
      </c>
      <c r="C253" s="779">
        <v>5.5190000000000003E-4</v>
      </c>
      <c r="D253" s="779">
        <v>5.7609999999999996E-4</v>
      </c>
      <c r="E253" s="781">
        <f>IFERROR(VLOOKUP(A253,'DIPNC Contributions 2018'!A:C,3,FALSE),0)</f>
        <v>13363</v>
      </c>
      <c r="F253" s="803">
        <v>-35211</v>
      </c>
      <c r="G253" s="803">
        <v>-16765</v>
      </c>
      <c r="I253" s="781">
        <v>29244</v>
      </c>
      <c r="J253" s="803">
        <v>13056</v>
      </c>
      <c r="K253" s="781">
        <v>3166</v>
      </c>
      <c r="L253" s="781">
        <v>3224</v>
      </c>
      <c r="N253" s="781">
        <v>0</v>
      </c>
      <c r="O253" s="781">
        <v>0</v>
      </c>
      <c r="P253" s="781">
        <v>0</v>
      </c>
      <c r="Q253" s="781">
        <v>0</v>
      </c>
      <c r="R253" s="781"/>
      <c r="S253" s="781">
        <v>1049</v>
      </c>
      <c r="T253" s="781">
        <v>850</v>
      </c>
      <c r="U253" s="781">
        <v>1899</v>
      </c>
    </row>
    <row r="254" spans="1:21" ht="15" customHeight="1" x14ac:dyDescent="0.25">
      <c r="A254" s="776">
        <v>38200</v>
      </c>
      <c r="B254" s="774" t="s">
        <v>1037</v>
      </c>
      <c r="C254" s="779">
        <v>2.6646E-3</v>
      </c>
      <c r="D254" s="779">
        <v>2.7244000000000001E-3</v>
      </c>
      <c r="E254" s="781">
        <f>IFERROR(VLOOKUP(A254,'DIPNC Contributions 2018'!A:C,3,FALSE),0)</f>
        <v>61216</v>
      </c>
      <c r="F254" s="803">
        <v>-166515</v>
      </c>
      <c r="G254" s="803">
        <v>-80940</v>
      </c>
      <c r="I254" s="781">
        <v>141192</v>
      </c>
      <c r="J254" s="803">
        <v>63036</v>
      </c>
      <c r="K254" s="781">
        <v>15284</v>
      </c>
      <c r="L254" s="781">
        <v>5328</v>
      </c>
      <c r="N254" s="781">
        <v>0</v>
      </c>
      <c r="O254" s="781">
        <v>0</v>
      </c>
      <c r="P254" s="781">
        <v>0</v>
      </c>
      <c r="Q254" s="781">
        <v>0</v>
      </c>
      <c r="R254" s="781"/>
      <c r="S254" s="781">
        <v>5065</v>
      </c>
      <c r="T254" s="781">
        <v>1417</v>
      </c>
      <c r="U254" s="781">
        <v>6482</v>
      </c>
    </row>
    <row r="255" spans="1:21" ht="15" customHeight="1" x14ac:dyDescent="0.25">
      <c r="A255" s="776">
        <v>38205</v>
      </c>
      <c r="B255" s="774" t="s">
        <v>1038</v>
      </c>
      <c r="C255" s="779">
        <v>3.882E-4</v>
      </c>
      <c r="D255" s="779">
        <v>3.992E-4</v>
      </c>
      <c r="E255" s="781">
        <f>IFERROR(VLOOKUP(A255,'DIPNC Contributions 2018'!A:C,3,FALSE),0)</f>
        <v>9385</v>
      </c>
      <c r="F255" s="803">
        <v>-24399</v>
      </c>
      <c r="G255" s="803">
        <v>-11792</v>
      </c>
      <c r="I255" s="781">
        <v>20570</v>
      </c>
      <c r="J255" s="803">
        <v>9184</v>
      </c>
      <c r="K255" s="781">
        <v>2227</v>
      </c>
      <c r="L255" s="781">
        <v>2217</v>
      </c>
      <c r="N255" s="781">
        <v>0</v>
      </c>
      <c r="O255" s="781">
        <v>0</v>
      </c>
      <c r="P255" s="781">
        <v>0</v>
      </c>
      <c r="Q255" s="781">
        <v>0</v>
      </c>
      <c r="R255" s="781"/>
      <c r="S255" s="781">
        <v>738</v>
      </c>
      <c r="T255" s="781">
        <v>733</v>
      </c>
      <c r="U255" s="781">
        <v>1471</v>
      </c>
    </row>
    <row r="256" spans="1:21" ht="15" customHeight="1" x14ac:dyDescent="0.25">
      <c r="A256" s="776">
        <v>38210</v>
      </c>
      <c r="B256" s="774" t="s">
        <v>1039</v>
      </c>
      <c r="C256" s="779">
        <v>1.0505E-3</v>
      </c>
      <c r="D256" s="779">
        <v>1.0332E-3</v>
      </c>
      <c r="E256" s="781">
        <f>IFERROR(VLOOKUP(A256,'DIPNC Contributions 2018'!A:C,3,FALSE),0)</f>
        <v>23610</v>
      </c>
      <c r="F256" s="803">
        <v>-63149</v>
      </c>
      <c r="G256" s="803">
        <v>-31910</v>
      </c>
      <c r="I256" s="781">
        <v>55664</v>
      </c>
      <c r="J256" s="803">
        <v>24852</v>
      </c>
      <c r="K256" s="781">
        <v>6026</v>
      </c>
      <c r="L256" s="781">
        <v>0</v>
      </c>
      <c r="N256" s="781">
        <v>0</v>
      </c>
      <c r="O256" s="781">
        <v>0</v>
      </c>
      <c r="P256" s="781">
        <v>0</v>
      </c>
      <c r="Q256" s="781">
        <v>2957</v>
      </c>
      <c r="R256" s="781"/>
      <c r="S256" s="781">
        <v>1997</v>
      </c>
      <c r="T256" s="781">
        <v>-755</v>
      </c>
      <c r="U256" s="781">
        <v>1242</v>
      </c>
    </row>
    <row r="257" spans="1:21" ht="15" customHeight="1" x14ac:dyDescent="0.25">
      <c r="A257" s="776">
        <v>38300</v>
      </c>
      <c r="B257" s="774" t="s">
        <v>1040</v>
      </c>
      <c r="C257" s="779">
        <v>2.1603E-3</v>
      </c>
      <c r="D257" s="779">
        <v>2.1595E-3</v>
      </c>
      <c r="E257" s="781">
        <f>IFERROR(VLOOKUP(A257,'DIPNC Contributions 2018'!A:C,3,FALSE),0)</f>
        <v>48467</v>
      </c>
      <c r="F257" s="803">
        <v>-131989</v>
      </c>
      <c r="G257" s="803">
        <v>-65621</v>
      </c>
      <c r="I257" s="781">
        <v>114470</v>
      </c>
      <c r="J257" s="803">
        <v>51106</v>
      </c>
      <c r="K257" s="781">
        <v>12391</v>
      </c>
      <c r="L257" s="781">
        <v>1353</v>
      </c>
      <c r="N257" s="781">
        <v>0</v>
      </c>
      <c r="O257" s="781">
        <v>0</v>
      </c>
      <c r="P257" s="781">
        <v>0</v>
      </c>
      <c r="Q257" s="781">
        <v>1818</v>
      </c>
      <c r="R257" s="781"/>
      <c r="S257" s="781">
        <v>4107</v>
      </c>
      <c r="T257" s="781">
        <v>373</v>
      </c>
      <c r="U257" s="781">
        <v>4480</v>
      </c>
    </row>
    <row r="258" spans="1:21" ht="15" customHeight="1" x14ac:dyDescent="0.25">
      <c r="A258" s="776">
        <v>38400</v>
      </c>
      <c r="B258" s="774" t="s">
        <v>1041</v>
      </c>
      <c r="C258" s="779">
        <v>2.6324E-3</v>
      </c>
      <c r="D258" s="779">
        <v>2.6337999999999999E-3</v>
      </c>
      <c r="E258" s="781">
        <f>IFERROR(VLOOKUP(A258,'DIPNC Contributions 2018'!A:C,3,FALSE),0)</f>
        <v>61614</v>
      </c>
      <c r="F258" s="803">
        <v>-160978</v>
      </c>
      <c r="G258" s="803">
        <v>-79962</v>
      </c>
      <c r="I258" s="781">
        <v>139486</v>
      </c>
      <c r="J258" s="803">
        <v>62275</v>
      </c>
      <c r="K258" s="781">
        <v>15099</v>
      </c>
      <c r="L258" s="781">
        <v>3688</v>
      </c>
      <c r="N258" s="781">
        <v>0</v>
      </c>
      <c r="O258" s="781">
        <v>0</v>
      </c>
      <c r="P258" s="781">
        <v>0</v>
      </c>
      <c r="Q258" s="781">
        <v>0</v>
      </c>
      <c r="R258" s="781"/>
      <c r="S258" s="781">
        <v>5004</v>
      </c>
      <c r="T258" s="781">
        <v>1791</v>
      </c>
      <c r="U258" s="781">
        <v>6795</v>
      </c>
    </row>
    <row r="259" spans="1:21" ht="15" customHeight="1" x14ac:dyDescent="0.25">
      <c r="A259" s="776">
        <v>38402</v>
      </c>
      <c r="B259" s="774" t="s">
        <v>1042</v>
      </c>
      <c r="C259" s="779">
        <v>1.8259999999999999E-4</v>
      </c>
      <c r="D259" s="779">
        <v>1.12E-4</v>
      </c>
      <c r="E259" s="781">
        <f>IFERROR(VLOOKUP(A259,'DIPNC Contributions 2018'!A:C,3,FALSE),0)</f>
        <v>3510</v>
      </c>
      <c r="F259" s="803">
        <v>-6845</v>
      </c>
      <c r="G259" s="803">
        <v>-5547</v>
      </c>
      <c r="I259" s="781">
        <v>9676</v>
      </c>
      <c r="J259" s="803">
        <v>4320</v>
      </c>
      <c r="K259" s="781">
        <v>1047</v>
      </c>
      <c r="L259" s="781">
        <v>0</v>
      </c>
      <c r="N259" s="781">
        <v>0</v>
      </c>
      <c r="O259" s="781">
        <v>0</v>
      </c>
      <c r="P259" s="781">
        <v>0</v>
      </c>
      <c r="Q259" s="781">
        <v>7139</v>
      </c>
      <c r="R259" s="781"/>
      <c r="S259" s="781">
        <v>347</v>
      </c>
      <c r="T259" s="781">
        <v>-1510</v>
      </c>
      <c r="U259" s="781">
        <v>-1163</v>
      </c>
    </row>
    <row r="260" spans="1:21" ht="15" customHeight="1" x14ac:dyDescent="0.25">
      <c r="A260" s="776">
        <v>38405</v>
      </c>
      <c r="B260" s="774" t="s">
        <v>1043</v>
      </c>
      <c r="C260" s="779">
        <v>7.2099999999999996E-4</v>
      </c>
      <c r="D260" s="779">
        <v>7.0279999999999995E-4</v>
      </c>
      <c r="E260" s="781">
        <f>IFERROR(VLOOKUP(A260,'DIPNC Contributions 2018'!A:C,3,FALSE),0)</f>
        <v>15659</v>
      </c>
      <c r="F260" s="803">
        <v>-42955</v>
      </c>
      <c r="G260" s="803">
        <v>-21901</v>
      </c>
      <c r="I260" s="781">
        <v>38204</v>
      </c>
      <c r="J260" s="803">
        <v>17057</v>
      </c>
      <c r="K260" s="781">
        <v>4136</v>
      </c>
      <c r="L260" s="781">
        <v>0</v>
      </c>
      <c r="N260" s="781">
        <v>0</v>
      </c>
      <c r="O260" s="781">
        <v>0</v>
      </c>
      <c r="P260" s="781">
        <v>0</v>
      </c>
      <c r="Q260" s="781">
        <v>4288</v>
      </c>
      <c r="R260" s="781"/>
      <c r="S260" s="781">
        <v>1371</v>
      </c>
      <c r="T260" s="781">
        <v>-1326</v>
      </c>
      <c r="U260" s="781">
        <v>45</v>
      </c>
    </row>
    <row r="261" spans="1:21" ht="15" customHeight="1" x14ac:dyDescent="0.25">
      <c r="A261" s="776">
        <v>38500</v>
      </c>
      <c r="B261" s="774" t="s">
        <v>1044</v>
      </c>
      <c r="C261" s="779">
        <v>2.0306999999999999E-3</v>
      </c>
      <c r="D261" s="779">
        <v>2.0376999999999999E-3</v>
      </c>
      <c r="E261" s="781">
        <f>IFERROR(VLOOKUP(A261,'DIPNC Contributions 2018'!A:C,3,FALSE),0)</f>
        <v>47487</v>
      </c>
      <c r="F261" s="803">
        <v>-124544</v>
      </c>
      <c r="G261" s="803">
        <v>-61685</v>
      </c>
      <c r="I261" s="781">
        <v>107603</v>
      </c>
      <c r="J261" s="803">
        <v>48040</v>
      </c>
      <c r="K261" s="781">
        <v>11648</v>
      </c>
      <c r="L261" s="781">
        <v>6505</v>
      </c>
      <c r="N261" s="781">
        <v>0</v>
      </c>
      <c r="O261" s="781">
        <v>0</v>
      </c>
      <c r="P261" s="781">
        <v>0</v>
      </c>
      <c r="Q261" s="781">
        <v>0</v>
      </c>
      <c r="R261" s="781"/>
      <c r="S261" s="781">
        <v>3860</v>
      </c>
      <c r="T261" s="781">
        <v>3070</v>
      </c>
      <c r="U261" s="781">
        <v>6930</v>
      </c>
    </row>
    <row r="262" spans="1:21" ht="15" customHeight="1" x14ac:dyDescent="0.25">
      <c r="A262" s="776">
        <v>38600</v>
      </c>
      <c r="B262" s="774" t="s">
        <v>1045</v>
      </c>
      <c r="C262" s="779">
        <v>2.6059999999999998E-3</v>
      </c>
      <c r="D262" s="779">
        <v>2.6662000000000001E-3</v>
      </c>
      <c r="E262" s="781">
        <f>IFERROR(VLOOKUP(A262,'DIPNC Contributions 2018'!A:C,3,FALSE),0)</f>
        <v>60092</v>
      </c>
      <c r="F262" s="803">
        <v>-162958</v>
      </c>
      <c r="G262" s="803">
        <v>-79160</v>
      </c>
      <c r="I262" s="781">
        <v>138087</v>
      </c>
      <c r="J262" s="803">
        <v>61650</v>
      </c>
      <c r="K262" s="781">
        <v>14948</v>
      </c>
      <c r="L262" s="781">
        <v>4531</v>
      </c>
      <c r="N262" s="781">
        <v>0</v>
      </c>
      <c r="O262" s="781">
        <v>0</v>
      </c>
      <c r="P262" s="781">
        <v>0</v>
      </c>
      <c r="Q262" s="781">
        <v>0</v>
      </c>
      <c r="R262" s="781"/>
      <c r="S262" s="781">
        <v>4954</v>
      </c>
      <c r="T262" s="781">
        <v>936</v>
      </c>
      <c r="U262" s="781">
        <v>5890</v>
      </c>
    </row>
    <row r="263" spans="1:21" ht="15" customHeight="1" x14ac:dyDescent="0.25">
      <c r="A263" s="776">
        <v>38601</v>
      </c>
      <c r="B263" s="774" t="s">
        <v>1046</v>
      </c>
      <c r="C263" s="779">
        <v>3.79E-5</v>
      </c>
      <c r="D263" s="779">
        <v>3.18E-5</v>
      </c>
      <c r="E263" s="781">
        <f>IFERROR(VLOOKUP(A263,'DIPNC Contributions 2018'!A:C,3,FALSE),0)</f>
        <v>687</v>
      </c>
      <c r="F263" s="803">
        <v>-1944</v>
      </c>
      <c r="G263" s="803">
        <v>-1151</v>
      </c>
      <c r="I263" s="781">
        <v>2008</v>
      </c>
      <c r="J263" s="803">
        <v>897</v>
      </c>
      <c r="K263" s="781">
        <v>217</v>
      </c>
      <c r="L263" s="781">
        <v>76</v>
      </c>
      <c r="N263" s="781">
        <v>0</v>
      </c>
      <c r="O263" s="781">
        <v>0</v>
      </c>
      <c r="P263" s="781">
        <v>0</v>
      </c>
      <c r="Q263" s="781">
        <v>647</v>
      </c>
      <c r="R263" s="781"/>
      <c r="S263" s="781">
        <v>72</v>
      </c>
      <c r="T263" s="781">
        <v>-70</v>
      </c>
      <c r="U263" s="781">
        <v>2</v>
      </c>
    </row>
    <row r="264" spans="1:21" ht="15" customHeight="1" x14ac:dyDescent="0.25">
      <c r="A264" s="776">
        <v>38602</v>
      </c>
      <c r="B264" s="774" t="s">
        <v>1047</v>
      </c>
      <c r="C264" s="779">
        <v>2.307E-4</v>
      </c>
      <c r="D264" s="779">
        <v>1.9929999999999999E-4</v>
      </c>
      <c r="E264" s="781">
        <f>IFERROR(VLOOKUP(A264,'DIPNC Contributions 2018'!A:C,3,FALSE),0)</f>
        <v>5505</v>
      </c>
      <c r="F264" s="803">
        <v>-12181</v>
      </c>
      <c r="G264" s="803">
        <v>-7008</v>
      </c>
      <c r="I264" s="781">
        <v>12224</v>
      </c>
      <c r="J264" s="803">
        <v>5458</v>
      </c>
      <c r="K264" s="781">
        <v>1323</v>
      </c>
      <c r="L264" s="781">
        <v>0</v>
      </c>
      <c r="N264" s="781">
        <v>0</v>
      </c>
      <c r="O264" s="781">
        <v>0</v>
      </c>
      <c r="P264" s="781">
        <v>0</v>
      </c>
      <c r="Q264" s="781">
        <v>3867</v>
      </c>
      <c r="R264" s="781"/>
      <c r="S264" s="781">
        <v>439</v>
      </c>
      <c r="T264" s="781">
        <v>-1147</v>
      </c>
      <c r="U264" s="781">
        <v>-708</v>
      </c>
    </row>
    <row r="265" spans="1:21" ht="15" customHeight="1" x14ac:dyDescent="0.25">
      <c r="A265" s="776">
        <v>38605</v>
      </c>
      <c r="B265" s="774" t="s">
        <v>1048</v>
      </c>
      <c r="C265" s="779">
        <v>6.9430000000000002E-4</v>
      </c>
      <c r="D265" s="779">
        <v>7.4120000000000002E-4</v>
      </c>
      <c r="E265" s="781">
        <f>IFERROR(VLOOKUP(A265,'DIPNC Contributions 2018'!A:C,3,FALSE),0)</f>
        <v>16949</v>
      </c>
      <c r="F265" s="803">
        <v>-45302</v>
      </c>
      <c r="G265" s="803">
        <v>-21090</v>
      </c>
      <c r="I265" s="781">
        <v>36790</v>
      </c>
      <c r="J265" s="803">
        <v>16425</v>
      </c>
      <c r="K265" s="781">
        <v>3983</v>
      </c>
      <c r="L265" s="781">
        <v>4642</v>
      </c>
      <c r="N265" s="781">
        <v>0</v>
      </c>
      <c r="O265" s="781">
        <v>0</v>
      </c>
      <c r="P265" s="781">
        <v>0</v>
      </c>
      <c r="Q265" s="781">
        <v>0</v>
      </c>
      <c r="R265" s="781"/>
      <c r="S265" s="781">
        <v>1320</v>
      </c>
      <c r="T265" s="781">
        <v>893</v>
      </c>
      <c r="U265" s="781">
        <v>2213</v>
      </c>
    </row>
    <row r="266" spans="1:21" ht="15" customHeight="1" x14ac:dyDescent="0.25">
      <c r="A266" s="776">
        <v>38610</v>
      </c>
      <c r="B266" s="774" t="s">
        <v>1049</v>
      </c>
      <c r="C266" s="779">
        <v>5.3149999999999996E-4</v>
      </c>
      <c r="D266" s="779">
        <v>5.1929999999999999E-4</v>
      </c>
      <c r="E266" s="781">
        <f>IFERROR(VLOOKUP(A266,'DIPNC Contributions 2018'!A:C,3,FALSE),0)</f>
        <v>13172</v>
      </c>
      <c r="F266" s="803">
        <v>-31740</v>
      </c>
      <c r="G266" s="803">
        <v>-16145</v>
      </c>
      <c r="I266" s="781">
        <v>28163</v>
      </c>
      <c r="J266" s="803">
        <v>12574</v>
      </c>
      <c r="K266" s="781">
        <v>3049</v>
      </c>
      <c r="L266" s="781">
        <v>2209</v>
      </c>
      <c r="N266" s="781">
        <v>0</v>
      </c>
      <c r="O266" s="781">
        <v>0</v>
      </c>
      <c r="P266" s="781">
        <v>0</v>
      </c>
      <c r="Q266" s="781">
        <v>316</v>
      </c>
      <c r="R266" s="781"/>
      <c r="S266" s="781">
        <v>1010</v>
      </c>
      <c r="T266" s="781">
        <v>1052</v>
      </c>
      <c r="U266" s="781">
        <v>2062</v>
      </c>
    </row>
    <row r="267" spans="1:21" ht="15" customHeight="1" x14ac:dyDescent="0.25">
      <c r="A267" s="776">
        <v>38620</v>
      </c>
      <c r="B267" s="774" t="s">
        <v>1050</v>
      </c>
      <c r="C267" s="779">
        <v>4.1360000000000002E-4</v>
      </c>
      <c r="D267" s="779">
        <v>4.3080000000000001E-4</v>
      </c>
      <c r="E267" s="781">
        <f>IFERROR(VLOOKUP(A267,'DIPNC Contributions 2018'!A:C,3,FALSE),0)</f>
        <v>10000</v>
      </c>
      <c r="F267" s="803">
        <v>-26330</v>
      </c>
      <c r="G267" s="803">
        <v>-12564</v>
      </c>
      <c r="I267" s="781">
        <v>21916</v>
      </c>
      <c r="J267" s="803">
        <v>9785</v>
      </c>
      <c r="K267" s="781">
        <v>2372</v>
      </c>
      <c r="L267" s="781">
        <v>3139</v>
      </c>
      <c r="N267" s="781">
        <v>0</v>
      </c>
      <c r="O267" s="781">
        <v>0</v>
      </c>
      <c r="P267" s="781">
        <v>0</v>
      </c>
      <c r="Q267" s="781">
        <v>0</v>
      </c>
      <c r="R267" s="781"/>
      <c r="S267" s="781">
        <v>786</v>
      </c>
      <c r="T267" s="781">
        <v>1026</v>
      </c>
      <c r="U267" s="781">
        <v>1812</v>
      </c>
    </row>
    <row r="268" spans="1:21" ht="15" customHeight="1" x14ac:dyDescent="0.25">
      <c r="A268" s="776">
        <v>38700</v>
      </c>
      <c r="B268" s="774" t="s">
        <v>1051</v>
      </c>
      <c r="C268" s="779">
        <v>7.8169999999999997E-4</v>
      </c>
      <c r="D268" s="779">
        <v>8.0769999999999995E-4</v>
      </c>
      <c r="E268" s="781">
        <f>IFERROR(VLOOKUP(A268,'DIPNC Contributions 2018'!A:C,3,FALSE),0)</f>
        <v>16952</v>
      </c>
      <c r="F268" s="803">
        <v>-49367</v>
      </c>
      <c r="G268" s="803">
        <v>-23745</v>
      </c>
      <c r="I268" s="781">
        <v>41421</v>
      </c>
      <c r="J268" s="803">
        <v>18493</v>
      </c>
      <c r="K268" s="781">
        <v>4484</v>
      </c>
      <c r="L268" s="781">
        <v>897</v>
      </c>
      <c r="N268" s="781">
        <v>0</v>
      </c>
      <c r="O268" s="781">
        <v>0</v>
      </c>
      <c r="P268" s="781">
        <v>0</v>
      </c>
      <c r="Q268" s="781">
        <v>1255</v>
      </c>
      <c r="R268" s="781"/>
      <c r="S268" s="781">
        <v>1486</v>
      </c>
      <c r="T268" s="781">
        <v>-479</v>
      </c>
      <c r="U268" s="781">
        <v>1007</v>
      </c>
    </row>
    <row r="269" spans="1:21" ht="15" customHeight="1" x14ac:dyDescent="0.25">
      <c r="A269" s="776">
        <v>38701</v>
      </c>
      <c r="B269" s="774" t="s">
        <v>1052</v>
      </c>
      <c r="C269" s="779">
        <v>4.7700000000000001E-5</v>
      </c>
      <c r="D269" s="779">
        <v>4.4100000000000001E-5</v>
      </c>
      <c r="E269" s="781">
        <f>IFERROR(VLOOKUP(A269,'DIPNC Contributions 2018'!A:C,3,FALSE),0)</f>
        <v>1207</v>
      </c>
      <c r="F269" s="803">
        <v>-2695</v>
      </c>
      <c r="G269" s="803">
        <v>-1449</v>
      </c>
      <c r="I269" s="781">
        <v>2528</v>
      </c>
      <c r="J269" s="803">
        <v>1128</v>
      </c>
      <c r="K269" s="781">
        <v>274</v>
      </c>
      <c r="L269" s="781">
        <v>520</v>
      </c>
      <c r="N269" s="781">
        <v>0</v>
      </c>
      <c r="O269" s="781">
        <v>0</v>
      </c>
      <c r="P269" s="781">
        <v>0</v>
      </c>
      <c r="Q269" s="781">
        <v>202</v>
      </c>
      <c r="R269" s="781"/>
      <c r="S269" s="781">
        <v>91</v>
      </c>
      <c r="T269" s="781">
        <v>226</v>
      </c>
      <c r="U269" s="781">
        <v>317</v>
      </c>
    </row>
    <row r="270" spans="1:21" ht="15" customHeight="1" x14ac:dyDescent="0.25">
      <c r="A270" s="776">
        <v>38800</v>
      </c>
      <c r="B270" s="774" t="s">
        <v>1053</v>
      </c>
      <c r="C270" s="779">
        <v>1.3466000000000001E-3</v>
      </c>
      <c r="D270" s="779">
        <v>1.3588000000000001E-3</v>
      </c>
      <c r="E270" s="781">
        <f>IFERROR(VLOOKUP(A270,'DIPNC Contributions 2018'!A:C,3,FALSE),0)</f>
        <v>30638</v>
      </c>
      <c r="F270" s="803">
        <v>-83050</v>
      </c>
      <c r="G270" s="803">
        <v>-40904</v>
      </c>
      <c r="I270" s="781">
        <v>71354</v>
      </c>
      <c r="J270" s="803">
        <v>31857</v>
      </c>
      <c r="K270" s="781">
        <v>7724</v>
      </c>
      <c r="L270" s="781">
        <v>226</v>
      </c>
      <c r="N270" s="781">
        <v>0</v>
      </c>
      <c r="O270" s="781">
        <v>0</v>
      </c>
      <c r="P270" s="781">
        <v>0</v>
      </c>
      <c r="Q270" s="781">
        <v>25</v>
      </c>
      <c r="R270" s="781"/>
      <c r="S270" s="781">
        <v>2560</v>
      </c>
      <c r="T270" s="781">
        <v>26</v>
      </c>
      <c r="U270" s="781">
        <v>2586</v>
      </c>
    </row>
    <row r="271" spans="1:21" ht="15" customHeight="1" x14ac:dyDescent="0.25">
      <c r="A271" s="776">
        <v>38801</v>
      </c>
      <c r="B271" s="774" t="s">
        <v>1054</v>
      </c>
      <c r="C271" s="779">
        <v>1.259E-4</v>
      </c>
      <c r="D271" s="779">
        <v>1.1519999999999999E-4</v>
      </c>
      <c r="E271" s="781">
        <f>IFERROR(VLOOKUP(A271,'DIPNC Contributions 2018'!A:C,3,FALSE),0)</f>
        <v>2206</v>
      </c>
      <c r="F271" s="803">
        <v>-7041</v>
      </c>
      <c r="G271" s="803">
        <v>-3824</v>
      </c>
      <c r="I271" s="781">
        <v>6671</v>
      </c>
      <c r="J271" s="803">
        <v>2978</v>
      </c>
      <c r="K271" s="781">
        <v>722</v>
      </c>
      <c r="L271" s="781">
        <v>0</v>
      </c>
      <c r="N271" s="781">
        <v>0</v>
      </c>
      <c r="O271" s="781">
        <v>0</v>
      </c>
      <c r="P271" s="781">
        <v>0</v>
      </c>
      <c r="Q271" s="781">
        <v>2520</v>
      </c>
      <c r="R271" s="781"/>
      <c r="S271" s="781">
        <v>239</v>
      </c>
      <c r="T271" s="781">
        <v>-770</v>
      </c>
      <c r="U271" s="781">
        <v>-531</v>
      </c>
    </row>
    <row r="272" spans="1:21" ht="15" customHeight="1" x14ac:dyDescent="0.25">
      <c r="A272" s="776">
        <v>38900</v>
      </c>
      <c r="B272" s="774" t="s">
        <v>1055</v>
      </c>
      <c r="C272" s="779">
        <v>2.8679999999999998E-4</v>
      </c>
      <c r="D272" s="779">
        <v>2.9349999999999998E-4</v>
      </c>
      <c r="E272" s="781">
        <f>IFERROR(VLOOKUP(A272,'DIPNC Contributions 2018'!A:C,3,FALSE),0)</f>
        <v>6969</v>
      </c>
      <c r="F272" s="803">
        <v>-17939</v>
      </c>
      <c r="G272" s="803">
        <v>-8712</v>
      </c>
      <c r="I272" s="781">
        <v>15197</v>
      </c>
      <c r="J272" s="803">
        <v>6785</v>
      </c>
      <c r="K272" s="781">
        <v>1645</v>
      </c>
      <c r="L272" s="781">
        <v>1468</v>
      </c>
      <c r="N272" s="781">
        <v>0</v>
      </c>
      <c r="O272" s="781">
        <v>0</v>
      </c>
      <c r="P272" s="781">
        <v>0</v>
      </c>
      <c r="Q272" s="781">
        <v>0</v>
      </c>
      <c r="R272" s="781"/>
      <c r="S272" s="781">
        <v>545</v>
      </c>
      <c r="T272" s="781">
        <v>484</v>
      </c>
      <c r="U272" s="781">
        <v>1029</v>
      </c>
    </row>
    <row r="273" spans="1:21" ht="15" customHeight="1" x14ac:dyDescent="0.25">
      <c r="A273" s="776">
        <v>39000</v>
      </c>
      <c r="B273" s="774" t="s">
        <v>1056</v>
      </c>
      <c r="C273" s="779">
        <v>1.3759800000000001E-2</v>
      </c>
      <c r="D273" s="779">
        <v>1.4090699999999999E-2</v>
      </c>
      <c r="E273" s="781">
        <f>IFERROR(VLOOKUP(A273,'DIPNC Contributions 2018'!A:C,3,FALSE),0)</f>
        <v>300353</v>
      </c>
      <c r="F273" s="803">
        <v>-861224</v>
      </c>
      <c r="G273" s="803">
        <v>-417968</v>
      </c>
      <c r="I273" s="781">
        <v>729104</v>
      </c>
      <c r="J273" s="803">
        <v>325516</v>
      </c>
      <c r="K273" s="781">
        <v>78926</v>
      </c>
      <c r="L273" s="781">
        <v>7551</v>
      </c>
      <c r="N273" s="781">
        <v>0</v>
      </c>
      <c r="O273" s="781">
        <v>0</v>
      </c>
      <c r="P273" s="781">
        <v>0</v>
      </c>
      <c r="Q273" s="781">
        <v>35169</v>
      </c>
      <c r="R273" s="781"/>
      <c r="S273" s="781">
        <v>26157</v>
      </c>
      <c r="T273" s="781">
        <v>-16327</v>
      </c>
      <c r="U273" s="781">
        <v>9830</v>
      </c>
    </row>
    <row r="274" spans="1:21" ht="15" customHeight="1" x14ac:dyDescent="0.25">
      <c r="A274" s="776">
        <v>39100</v>
      </c>
      <c r="B274" s="774" t="s">
        <v>1057</v>
      </c>
      <c r="C274" s="779">
        <v>1.926E-3</v>
      </c>
      <c r="D274" s="779">
        <v>2.0573000000000002E-3</v>
      </c>
      <c r="E274" s="781">
        <f>IFERROR(VLOOKUP(A274,'DIPNC Contributions 2018'!A:C,3,FALSE),0)</f>
        <v>47593</v>
      </c>
      <c r="F274" s="803">
        <v>-125742</v>
      </c>
      <c r="G274" s="803">
        <v>-58504</v>
      </c>
      <c r="I274" s="781">
        <v>102055</v>
      </c>
      <c r="J274" s="803">
        <v>45563</v>
      </c>
      <c r="K274" s="781">
        <v>11048</v>
      </c>
      <c r="L274" s="781">
        <v>20233</v>
      </c>
      <c r="N274" s="781">
        <v>0</v>
      </c>
      <c r="O274" s="781">
        <v>0</v>
      </c>
      <c r="P274" s="781">
        <v>0</v>
      </c>
      <c r="Q274" s="781">
        <v>0</v>
      </c>
      <c r="R274" s="781"/>
      <c r="S274" s="781">
        <v>3661</v>
      </c>
      <c r="T274" s="781">
        <v>5961</v>
      </c>
      <c r="U274" s="781">
        <v>9622</v>
      </c>
    </row>
    <row r="275" spans="1:21" ht="15" customHeight="1" x14ac:dyDescent="0.25">
      <c r="A275" s="776">
        <v>39101</v>
      </c>
      <c r="B275" s="774" t="s">
        <v>1058</v>
      </c>
      <c r="C275" s="779">
        <v>2.0029999999999999E-4</v>
      </c>
      <c r="D275" s="779">
        <v>1.6899999999999999E-4</v>
      </c>
      <c r="E275" s="781">
        <f>IFERROR(VLOOKUP(A275,'DIPNC Contributions 2018'!A:C,3,FALSE),0)</f>
        <v>4720</v>
      </c>
      <c r="F275" s="803">
        <v>-10329</v>
      </c>
      <c r="G275" s="803">
        <v>-6084</v>
      </c>
      <c r="I275" s="781">
        <v>10613</v>
      </c>
      <c r="J275" s="803">
        <v>4738</v>
      </c>
      <c r="K275" s="781">
        <v>1149</v>
      </c>
      <c r="L275" s="781">
        <v>0</v>
      </c>
      <c r="N275" s="781">
        <v>0</v>
      </c>
      <c r="O275" s="781">
        <v>0</v>
      </c>
      <c r="P275" s="781">
        <v>0</v>
      </c>
      <c r="Q275" s="781">
        <v>2691</v>
      </c>
      <c r="R275" s="781"/>
      <c r="S275" s="781">
        <v>381</v>
      </c>
      <c r="T275" s="781">
        <v>-539</v>
      </c>
      <c r="U275" s="781">
        <v>-158</v>
      </c>
    </row>
    <row r="276" spans="1:21" ht="15" customHeight="1" x14ac:dyDescent="0.25">
      <c r="A276" s="776">
        <v>39105</v>
      </c>
      <c r="B276" s="774" t="s">
        <v>1059</v>
      </c>
      <c r="C276" s="779">
        <v>7.4660000000000004E-4</v>
      </c>
      <c r="D276" s="779">
        <v>8.4730000000000005E-4</v>
      </c>
      <c r="E276" s="781">
        <f>IFERROR(VLOOKUP(A276,'DIPNC Contributions 2018'!A:C,3,FALSE),0)</f>
        <v>18257</v>
      </c>
      <c r="F276" s="803">
        <v>-51787</v>
      </c>
      <c r="G276" s="803">
        <v>-22679</v>
      </c>
      <c r="I276" s="781">
        <v>39561</v>
      </c>
      <c r="J276" s="803">
        <v>17662</v>
      </c>
      <c r="K276" s="781">
        <v>4282</v>
      </c>
      <c r="L276" s="781">
        <v>10648</v>
      </c>
      <c r="N276" s="781">
        <v>0</v>
      </c>
      <c r="O276" s="781">
        <v>0</v>
      </c>
      <c r="P276" s="781">
        <v>0</v>
      </c>
      <c r="Q276" s="781">
        <v>0</v>
      </c>
      <c r="R276" s="781"/>
      <c r="S276" s="781">
        <v>1419</v>
      </c>
      <c r="T276" s="781">
        <v>2469</v>
      </c>
      <c r="U276" s="781">
        <v>3888</v>
      </c>
    </row>
    <row r="277" spans="1:21" ht="15" customHeight="1" x14ac:dyDescent="0.25">
      <c r="A277" s="776">
        <v>39200</v>
      </c>
      <c r="B277" s="774" t="s">
        <v>1558</v>
      </c>
      <c r="C277" s="779">
        <v>5.9201900000000002E-2</v>
      </c>
      <c r="D277" s="779">
        <v>5.8469500000000001E-2</v>
      </c>
      <c r="E277" s="781">
        <f>IFERROR(VLOOKUP(A277,'DIPNC Contributions 2018'!A:C,3,FALSE),0)</f>
        <v>1271799</v>
      </c>
      <c r="F277" s="803">
        <v>-3573656</v>
      </c>
      <c r="G277" s="803">
        <v>-1798317</v>
      </c>
      <c r="I277" s="781">
        <v>3136990</v>
      </c>
      <c r="J277" s="803">
        <v>1400539</v>
      </c>
      <c r="K277" s="781">
        <v>339582</v>
      </c>
      <c r="L277" s="781">
        <v>0</v>
      </c>
      <c r="N277" s="781">
        <v>0</v>
      </c>
      <c r="O277" s="781">
        <v>0</v>
      </c>
      <c r="P277" s="781">
        <v>0</v>
      </c>
      <c r="Q277" s="781">
        <v>310979</v>
      </c>
      <c r="R277" s="781"/>
      <c r="S277" s="781">
        <v>112543</v>
      </c>
      <c r="T277" s="781">
        <v>-104240</v>
      </c>
      <c r="U277" s="781">
        <v>8303</v>
      </c>
    </row>
    <row r="278" spans="1:21" ht="15" customHeight="1" x14ac:dyDescent="0.25">
      <c r="A278" s="776">
        <v>39201</v>
      </c>
      <c r="B278" s="774" t="s">
        <v>1061</v>
      </c>
      <c r="C278" s="779">
        <v>1.8019999999999999E-4</v>
      </c>
      <c r="D278" s="779">
        <v>1.7530000000000001E-4</v>
      </c>
      <c r="E278" s="781">
        <f>IFERROR(VLOOKUP(A278,'DIPNC Contributions 2018'!A:C,3,FALSE),0)</f>
        <v>3079</v>
      </c>
      <c r="F278" s="803">
        <v>-10714</v>
      </c>
      <c r="G278" s="803">
        <v>-5474</v>
      </c>
      <c r="I278" s="781">
        <v>9548</v>
      </c>
      <c r="J278" s="803">
        <v>4263</v>
      </c>
      <c r="K278" s="781">
        <v>1034</v>
      </c>
      <c r="L278" s="781">
        <v>0</v>
      </c>
      <c r="N278" s="781">
        <v>0</v>
      </c>
      <c r="O278" s="781">
        <v>0</v>
      </c>
      <c r="P278" s="781">
        <v>0</v>
      </c>
      <c r="Q278" s="781">
        <v>2585</v>
      </c>
      <c r="R278" s="781"/>
      <c r="S278" s="781">
        <v>343</v>
      </c>
      <c r="T278" s="781">
        <v>-840</v>
      </c>
      <c r="U278" s="781">
        <v>-497</v>
      </c>
    </row>
    <row r="279" spans="1:21" ht="15" customHeight="1" x14ac:dyDescent="0.25">
      <c r="A279" s="776">
        <v>39204</v>
      </c>
      <c r="B279" s="774" t="s">
        <v>1062</v>
      </c>
      <c r="C279" s="779">
        <v>2.0919999999999999E-4</v>
      </c>
      <c r="D279" s="779">
        <v>1.641E-4</v>
      </c>
      <c r="E279" s="781">
        <f>IFERROR(VLOOKUP(A279,'DIPNC Contributions 2018'!A:C,3,FALSE),0)</f>
        <v>4088</v>
      </c>
      <c r="F279" s="803">
        <v>-10030</v>
      </c>
      <c r="G279" s="803">
        <v>-6355</v>
      </c>
      <c r="I279" s="781">
        <v>11085</v>
      </c>
      <c r="J279" s="803">
        <v>4949</v>
      </c>
      <c r="K279" s="781">
        <v>1200</v>
      </c>
      <c r="L279" s="781">
        <v>0</v>
      </c>
      <c r="N279" s="781">
        <v>0</v>
      </c>
      <c r="O279" s="781">
        <v>0</v>
      </c>
      <c r="P279" s="781">
        <v>0</v>
      </c>
      <c r="Q279" s="781">
        <v>6433</v>
      </c>
      <c r="R279" s="781"/>
      <c r="S279" s="781">
        <v>398</v>
      </c>
      <c r="T279" s="781">
        <v>-1811</v>
      </c>
      <c r="U279" s="781">
        <v>-1413</v>
      </c>
    </row>
    <row r="280" spans="1:21" ht="15" customHeight="1" x14ac:dyDescent="0.25">
      <c r="A280" s="776">
        <v>39205</v>
      </c>
      <c r="B280" s="774" t="s">
        <v>1063</v>
      </c>
      <c r="C280" s="779">
        <v>4.6638000000000001E-3</v>
      </c>
      <c r="D280" s="779">
        <v>4.7406999999999996E-3</v>
      </c>
      <c r="E280" s="781">
        <f>IFERROR(VLOOKUP(A280,'DIPNC Contributions 2018'!A:C,3,FALSE),0)</f>
        <v>112011</v>
      </c>
      <c r="F280" s="803">
        <v>-289752</v>
      </c>
      <c r="G280" s="803">
        <v>-141668</v>
      </c>
      <c r="I280" s="781">
        <v>247125</v>
      </c>
      <c r="J280" s="803">
        <v>110332</v>
      </c>
      <c r="K280" s="781">
        <v>26752</v>
      </c>
      <c r="L280" s="781">
        <v>8552</v>
      </c>
      <c r="N280" s="781">
        <v>0</v>
      </c>
      <c r="O280" s="781">
        <v>0</v>
      </c>
      <c r="P280" s="781">
        <v>0</v>
      </c>
      <c r="Q280" s="781">
        <v>5830</v>
      </c>
      <c r="R280" s="781"/>
      <c r="S280" s="781">
        <v>8866</v>
      </c>
      <c r="T280" s="781">
        <v>-1490</v>
      </c>
      <c r="U280" s="781">
        <v>7376</v>
      </c>
    </row>
    <row r="281" spans="1:21" ht="15" customHeight="1" x14ac:dyDescent="0.25">
      <c r="A281" s="776">
        <v>39208</v>
      </c>
      <c r="B281" s="774" t="s">
        <v>1559</v>
      </c>
      <c r="C281" s="779">
        <v>3.5290000000000001E-4</v>
      </c>
      <c r="D281" s="779">
        <v>3.4610000000000001E-4</v>
      </c>
      <c r="E281" s="781">
        <f>IFERROR(VLOOKUP(A281,'DIPNC Contributions 2018'!A:C,3,FALSE),0)</f>
        <v>6758</v>
      </c>
      <c r="F281" s="803">
        <v>-21154</v>
      </c>
      <c r="G281" s="803">
        <v>-10720</v>
      </c>
      <c r="I281" s="781">
        <v>18699</v>
      </c>
      <c r="J281" s="803">
        <v>8349</v>
      </c>
      <c r="K281" s="781">
        <v>2024</v>
      </c>
      <c r="L281" s="781">
        <v>0</v>
      </c>
      <c r="N281" s="781">
        <v>0</v>
      </c>
      <c r="O281" s="781">
        <v>0</v>
      </c>
      <c r="P281" s="781">
        <v>0</v>
      </c>
      <c r="Q281" s="781">
        <v>2924</v>
      </c>
      <c r="R281" s="781"/>
      <c r="S281" s="781">
        <v>671</v>
      </c>
      <c r="T281" s="781">
        <v>-858</v>
      </c>
      <c r="U281" s="781">
        <v>-187</v>
      </c>
    </row>
    <row r="282" spans="1:21" ht="15" customHeight="1" x14ac:dyDescent="0.25">
      <c r="A282" s="776">
        <v>39209</v>
      </c>
      <c r="B282" s="774" t="s">
        <v>1065</v>
      </c>
      <c r="C282" s="779">
        <v>1.7880000000000001E-4</v>
      </c>
      <c r="D282" s="779">
        <v>1.916E-4</v>
      </c>
      <c r="E282" s="781">
        <f>IFERROR(VLOOKUP(A282,'DIPNC Contributions 2018'!A:C,3,FALSE),0)</f>
        <v>3273</v>
      </c>
      <c r="F282" s="803">
        <v>-11711</v>
      </c>
      <c r="G282" s="803">
        <v>-5431</v>
      </c>
      <c r="I282" s="781">
        <v>9474</v>
      </c>
      <c r="J282" s="803">
        <v>4230</v>
      </c>
      <c r="K282" s="781">
        <v>1026</v>
      </c>
      <c r="L282" s="781">
        <v>224</v>
      </c>
      <c r="N282" s="781">
        <v>0</v>
      </c>
      <c r="O282" s="781">
        <v>0</v>
      </c>
      <c r="P282" s="781">
        <v>0</v>
      </c>
      <c r="Q282" s="781">
        <v>1533</v>
      </c>
      <c r="R282" s="781"/>
      <c r="S282" s="781">
        <v>340</v>
      </c>
      <c r="T282" s="781">
        <v>-729</v>
      </c>
      <c r="U282" s="781">
        <v>-389</v>
      </c>
    </row>
    <row r="283" spans="1:21" ht="15" customHeight="1" x14ac:dyDescent="0.25">
      <c r="A283" s="776">
        <v>39300</v>
      </c>
      <c r="B283" s="774" t="s">
        <v>1066</v>
      </c>
      <c r="C283" s="779">
        <v>7.1560000000000005E-4</v>
      </c>
      <c r="D283" s="779">
        <v>7.6119999999999996E-4</v>
      </c>
      <c r="E283" s="781">
        <f>IFERROR(VLOOKUP(A283,'DIPNC Contributions 2018'!A:C,3,FALSE),0)</f>
        <v>17829</v>
      </c>
      <c r="F283" s="803">
        <v>-46525</v>
      </c>
      <c r="G283" s="803">
        <v>-21737</v>
      </c>
      <c r="I283" s="781">
        <v>37918</v>
      </c>
      <c r="J283" s="803">
        <v>16929</v>
      </c>
      <c r="K283" s="781">
        <v>4105</v>
      </c>
      <c r="L283" s="781">
        <v>8488</v>
      </c>
      <c r="N283" s="781">
        <v>0</v>
      </c>
      <c r="O283" s="781">
        <v>0</v>
      </c>
      <c r="P283" s="781">
        <v>0</v>
      </c>
      <c r="Q283" s="781">
        <v>0</v>
      </c>
      <c r="R283" s="781"/>
      <c r="S283" s="781">
        <v>1360</v>
      </c>
      <c r="T283" s="781">
        <v>2741</v>
      </c>
      <c r="U283" s="781">
        <v>4101</v>
      </c>
    </row>
    <row r="284" spans="1:21" ht="15" customHeight="1" x14ac:dyDescent="0.25">
      <c r="A284" s="776">
        <v>39301</v>
      </c>
      <c r="B284" s="774" t="s">
        <v>1067</v>
      </c>
      <c r="C284" s="779">
        <v>3.5800000000000003E-5</v>
      </c>
      <c r="D284" s="779">
        <v>5.3900000000000002E-5</v>
      </c>
      <c r="E284" s="781">
        <f>IFERROR(VLOOKUP(A284,'DIPNC Contributions 2018'!A:C,3,FALSE),0)</f>
        <v>819</v>
      </c>
      <c r="F284" s="803">
        <v>-3294</v>
      </c>
      <c r="G284" s="803">
        <v>-1087</v>
      </c>
      <c r="I284" s="781">
        <v>1897</v>
      </c>
      <c r="J284" s="803">
        <v>847</v>
      </c>
      <c r="K284" s="781">
        <v>205</v>
      </c>
      <c r="L284" s="781">
        <v>1400</v>
      </c>
      <c r="N284" s="781">
        <v>0</v>
      </c>
      <c r="O284" s="781">
        <v>0</v>
      </c>
      <c r="P284" s="781">
        <v>0</v>
      </c>
      <c r="Q284" s="781">
        <v>329</v>
      </c>
      <c r="R284" s="781"/>
      <c r="S284" s="781">
        <v>68</v>
      </c>
      <c r="T284" s="781">
        <v>69</v>
      </c>
      <c r="U284" s="781">
        <v>137</v>
      </c>
    </row>
    <row r="285" spans="1:21" ht="15" customHeight="1" x14ac:dyDescent="0.25">
      <c r="A285" s="776">
        <v>39400</v>
      </c>
      <c r="B285" s="774" t="s">
        <v>1068</v>
      </c>
      <c r="C285" s="779">
        <v>5.2320000000000003E-4</v>
      </c>
      <c r="D285" s="779">
        <v>5.419E-4</v>
      </c>
      <c r="E285" s="781">
        <f>IFERROR(VLOOKUP(A285,'DIPNC Contributions 2018'!A:C,3,FALSE),0)</f>
        <v>13737</v>
      </c>
      <c r="F285" s="803">
        <v>-33121</v>
      </c>
      <c r="G285" s="803">
        <v>-15893</v>
      </c>
      <c r="I285" s="781">
        <v>27723</v>
      </c>
      <c r="J285" s="803">
        <v>12377</v>
      </c>
      <c r="K285" s="781">
        <v>3001</v>
      </c>
      <c r="L285" s="781">
        <v>6046</v>
      </c>
      <c r="N285" s="781">
        <v>0</v>
      </c>
      <c r="O285" s="781">
        <v>0</v>
      </c>
      <c r="P285" s="781">
        <v>0</v>
      </c>
      <c r="Q285" s="781">
        <v>0</v>
      </c>
      <c r="R285" s="781"/>
      <c r="S285" s="781">
        <v>995</v>
      </c>
      <c r="T285" s="781">
        <v>2107</v>
      </c>
      <c r="U285" s="781">
        <v>3102</v>
      </c>
    </row>
    <row r="286" spans="1:21" ht="15" customHeight="1" x14ac:dyDescent="0.25">
      <c r="A286" s="776">
        <v>39401</v>
      </c>
      <c r="B286" s="774" t="s">
        <v>1069</v>
      </c>
      <c r="C286" s="779">
        <v>3.6919999999999998E-4</v>
      </c>
      <c r="D286" s="779">
        <v>3.1119999999999997E-4</v>
      </c>
      <c r="E286" s="781">
        <f>IFERROR(VLOOKUP(A286,'DIPNC Contributions 2018'!A:C,3,FALSE),0)</f>
        <v>5999</v>
      </c>
      <c r="F286" s="803">
        <v>-19021</v>
      </c>
      <c r="G286" s="803">
        <v>-11215</v>
      </c>
      <c r="I286" s="781">
        <v>19563</v>
      </c>
      <c r="J286" s="803">
        <v>8734</v>
      </c>
      <c r="K286" s="781">
        <v>2118</v>
      </c>
      <c r="L286" s="781">
        <v>0</v>
      </c>
      <c r="N286" s="781">
        <v>0</v>
      </c>
      <c r="O286" s="781">
        <v>0</v>
      </c>
      <c r="P286" s="781">
        <v>0</v>
      </c>
      <c r="Q286" s="781">
        <v>12639</v>
      </c>
      <c r="R286" s="781"/>
      <c r="S286" s="781">
        <v>702</v>
      </c>
      <c r="T286" s="781">
        <v>-4055</v>
      </c>
      <c r="U286" s="781">
        <v>-3353</v>
      </c>
    </row>
    <row r="287" spans="1:21" ht="15" customHeight="1" x14ac:dyDescent="0.25">
      <c r="A287" s="776">
        <v>39500</v>
      </c>
      <c r="B287" s="774" t="s">
        <v>1070</v>
      </c>
      <c r="C287" s="779">
        <v>1.7768E-3</v>
      </c>
      <c r="D287" s="779">
        <v>1.745E-3</v>
      </c>
      <c r="E287" s="781">
        <f>IFERROR(VLOOKUP(A287,'DIPNC Contributions 2018'!A:C,3,FALSE),0)</f>
        <v>39807</v>
      </c>
      <c r="F287" s="803">
        <v>-106654</v>
      </c>
      <c r="G287" s="803">
        <v>-53972</v>
      </c>
      <c r="I287" s="781">
        <v>94149</v>
      </c>
      <c r="J287" s="803">
        <v>42034</v>
      </c>
      <c r="K287" s="781">
        <v>10192</v>
      </c>
      <c r="L287" s="781">
        <v>0</v>
      </c>
      <c r="N287" s="781">
        <v>0</v>
      </c>
      <c r="O287" s="781">
        <v>0</v>
      </c>
      <c r="P287" s="781">
        <v>0</v>
      </c>
      <c r="Q287" s="781">
        <v>4676</v>
      </c>
      <c r="R287" s="781"/>
      <c r="S287" s="781">
        <v>3378</v>
      </c>
      <c r="T287" s="781">
        <v>-1011</v>
      </c>
      <c r="U287" s="781">
        <v>2367</v>
      </c>
    </row>
    <row r="288" spans="1:21" ht="15" customHeight="1" x14ac:dyDescent="0.25">
      <c r="A288" s="776">
        <v>39501</v>
      </c>
      <c r="B288" s="774" t="s">
        <v>1071</v>
      </c>
      <c r="C288" s="779">
        <v>5.1E-5</v>
      </c>
      <c r="D288" s="779">
        <v>6.0399999999999998E-5</v>
      </c>
      <c r="E288" s="781">
        <f>IFERROR(VLOOKUP(A288,'DIPNC Contributions 2018'!A:C,3,FALSE),0)</f>
        <v>1105</v>
      </c>
      <c r="F288" s="803">
        <v>-3692</v>
      </c>
      <c r="G288" s="803">
        <v>-1549</v>
      </c>
      <c r="I288" s="781">
        <v>2702</v>
      </c>
      <c r="J288" s="803">
        <v>1207</v>
      </c>
      <c r="K288" s="781">
        <v>293</v>
      </c>
      <c r="L288" s="781">
        <v>660</v>
      </c>
      <c r="N288" s="781">
        <v>0</v>
      </c>
      <c r="O288" s="781">
        <v>0</v>
      </c>
      <c r="P288" s="781">
        <v>0</v>
      </c>
      <c r="Q288" s="781">
        <v>325</v>
      </c>
      <c r="R288" s="781"/>
      <c r="S288" s="781">
        <v>97</v>
      </c>
      <c r="T288" s="781">
        <v>-53</v>
      </c>
      <c r="U288" s="781">
        <v>44</v>
      </c>
    </row>
    <row r="289" spans="1:21" ht="15" customHeight="1" x14ac:dyDescent="0.25">
      <c r="A289" s="776">
        <v>39600</v>
      </c>
      <c r="B289" s="774" t="s">
        <v>1072</v>
      </c>
      <c r="C289" s="779">
        <v>5.7412000000000001E-3</v>
      </c>
      <c r="D289" s="779">
        <v>5.7155000000000001E-3</v>
      </c>
      <c r="E289" s="781">
        <f>IFERROR(VLOOKUP(A289,'DIPNC Contributions 2018'!A:C,3,FALSE),0)</f>
        <v>134463</v>
      </c>
      <c r="F289" s="803">
        <v>-349331</v>
      </c>
      <c r="G289" s="803">
        <v>-174395</v>
      </c>
      <c r="I289" s="781">
        <v>304215</v>
      </c>
      <c r="J289" s="803">
        <v>135820</v>
      </c>
      <c r="K289" s="781">
        <v>32932</v>
      </c>
      <c r="L289" s="781">
        <v>3614</v>
      </c>
      <c r="N289" s="781">
        <v>0</v>
      </c>
      <c r="O289" s="781">
        <v>0</v>
      </c>
      <c r="P289" s="781">
        <v>0</v>
      </c>
      <c r="Q289" s="781">
        <v>1826</v>
      </c>
      <c r="R289" s="781"/>
      <c r="S289" s="781">
        <v>10914</v>
      </c>
      <c r="T289" s="781">
        <v>1503</v>
      </c>
      <c r="U289" s="781">
        <v>12417</v>
      </c>
    </row>
    <row r="290" spans="1:21" ht="15" customHeight="1" x14ac:dyDescent="0.25">
      <c r="A290" s="776">
        <v>39605</v>
      </c>
      <c r="B290" s="774" t="s">
        <v>1073</v>
      </c>
      <c r="C290" s="779">
        <v>8.5769999999999998E-4</v>
      </c>
      <c r="D290" s="779">
        <v>8.4079999999999995E-4</v>
      </c>
      <c r="E290" s="781">
        <f>IFERROR(VLOOKUP(A290,'DIPNC Contributions 2018'!A:C,3,FALSE),0)</f>
        <v>20626</v>
      </c>
      <c r="F290" s="803">
        <v>-51390</v>
      </c>
      <c r="G290" s="803">
        <v>-26053</v>
      </c>
      <c r="I290" s="781">
        <v>45448</v>
      </c>
      <c r="J290" s="803">
        <v>20291</v>
      </c>
      <c r="K290" s="781">
        <v>4920</v>
      </c>
      <c r="L290" s="781">
        <v>490</v>
      </c>
      <c r="N290" s="781">
        <v>0</v>
      </c>
      <c r="O290" s="781">
        <v>0</v>
      </c>
      <c r="P290" s="781">
        <v>0</v>
      </c>
      <c r="Q290" s="781">
        <v>834</v>
      </c>
      <c r="R290" s="781"/>
      <c r="S290" s="781">
        <v>1630</v>
      </c>
      <c r="T290" s="781">
        <v>106</v>
      </c>
      <c r="U290" s="781">
        <v>1736</v>
      </c>
    </row>
    <row r="291" spans="1:21" ht="15" customHeight="1" x14ac:dyDescent="0.25">
      <c r="A291" s="776">
        <v>39700</v>
      </c>
      <c r="B291" s="774" t="s">
        <v>1074</v>
      </c>
      <c r="C291" s="779">
        <v>3.1887999999999999E-3</v>
      </c>
      <c r="D291" s="779">
        <v>3.3145000000000002E-3</v>
      </c>
      <c r="E291" s="781">
        <f>IFERROR(VLOOKUP(A291,'DIPNC Contributions 2018'!A:C,3,FALSE),0)</f>
        <v>72705</v>
      </c>
      <c r="F291" s="803">
        <v>-202582</v>
      </c>
      <c r="G291" s="803">
        <v>-96863</v>
      </c>
      <c r="I291" s="781">
        <v>168968</v>
      </c>
      <c r="J291" s="803">
        <v>75437</v>
      </c>
      <c r="K291" s="781">
        <v>18291</v>
      </c>
      <c r="L291" s="781">
        <v>9590</v>
      </c>
      <c r="N291" s="781">
        <v>0</v>
      </c>
      <c r="O291" s="781">
        <v>0</v>
      </c>
      <c r="P291" s="781">
        <v>0</v>
      </c>
      <c r="Q291" s="781">
        <v>0</v>
      </c>
      <c r="R291" s="781"/>
      <c r="S291" s="781">
        <v>6062</v>
      </c>
      <c r="T291" s="781">
        <v>2049</v>
      </c>
      <c r="U291" s="781">
        <v>8111</v>
      </c>
    </row>
    <row r="292" spans="1:21" ht="15" customHeight="1" x14ac:dyDescent="0.25">
      <c r="A292" s="776">
        <v>39703</v>
      </c>
      <c r="B292" s="774" t="s">
        <v>1075</v>
      </c>
      <c r="C292" s="779">
        <v>2.052E-4</v>
      </c>
      <c r="D292" s="779">
        <v>1.4329999999999999E-4</v>
      </c>
      <c r="E292" s="781">
        <f>IFERROR(VLOOKUP(A292,'DIPNC Contributions 2018'!A:C,3,FALSE),0)</f>
        <v>3681</v>
      </c>
      <c r="F292" s="803">
        <v>-8758</v>
      </c>
      <c r="G292" s="803">
        <v>-6233</v>
      </c>
      <c r="I292" s="781">
        <v>10873</v>
      </c>
      <c r="J292" s="803">
        <v>4854</v>
      </c>
      <c r="K292" s="781">
        <v>1177</v>
      </c>
      <c r="L292" s="781">
        <v>0</v>
      </c>
      <c r="N292" s="781">
        <v>0</v>
      </c>
      <c r="O292" s="781">
        <v>0</v>
      </c>
      <c r="P292" s="781">
        <v>0</v>
      </c>
      <c r="Q292" s="781">
        <v>7821</v>
      </c>
      <c r="R292" s="781"/>
      <c r="S292" s="781">
        <v>390</v>
      </c>
      <c r="T292" s="781">
        <v>-1977</v>
      </c>
      <c r="U292" s="781">
        <v>-1587</v>
      </c>
    </row>
    <row r="293" spans="1:21" ht="15" customHeight="1" x14ac:dyDescent="0.25">
      <c r="A293" s="776">
        <v>39705</v>
      </c>
      <c r="B293" s="774" t="s">
        <v>1076</v>
      </c>
      <c r="C293" s="779">
        <v>7.6630000000000003E-4</v>
      </c>
      <c r="D293" s="779">
        <v>7.8140000000000002E-4</v>
      </c>
      <c r="E293" s="781">
        <f>IFERROR(VLOOKUP(A293,'DIPNC Contributions 2018'!A:C,3,FALSE),0)</f>
        <v>19046</v>
      </c>
      <c r="F293" s="803">
        <v>-47759</v>
      </c>
      <c r="G293" s="803">
        <v>-23277</v>
      </c>
      <c r="I293" s="781">
        <v>40605</v>
      </c>
      <c r="J293" s="803">
        <v>18128</v>
      </c>
      <c r="K293" s="781">
        <v>4395</v>
      </c>
      <c r="L293" s="781">
        <v>4451</v>
      </c>
      <c r="N293" s="781">
        <v>0</v>
      </c>
      <c r="O293" s="781">
        <v>0</v>
      </c>
      <c r="P293" s="781">
        <v>0</v>
      </c>
      <c r="Q293" s="781">
        <v>0</v>
      </c>
      <c r="R293" s="781"/>
      <c r="S293" s="781">
        <v>1457</v>
      </c>
      <c r="T293" s="781">
        <v>1510</v>
      </c>
      <c r="U293" s="781">
        <v>2967</v>
      </c>
    </row>
    <row r="294" spans="1:21" ht="15" customHeight="1" x14ac:dyDescent="0.25">
      <c r="A294" s="776">
        <v>39800</v>
      </c>
      <c r="B294" s="774" t="s">
        <v>1077</v>
      </c>
      <c r="C294" s="779">
        <v>3.7350999999999999E-3</v>
      </c>
      <c r="D294" s="779">
        <v>3.7190999999999999E-3</v>
      </c>
      <c r="E294" s="781">
        <f>IFERROR(VLOOKUP(A294,'DIPNC Contributions 2018'!A:C,3,FALSE),0)</f>
        <v>86755</v>
      </c>
      <c r="F294" s="803">
        <v>-227311</v>
      </c>
      <c r="G294" s="803">
        <v>-113457</v>
      </c>
      <c r="I294" s="781">
        <v>197915</v>
      </c>
      <c r="J294" s="803">
        <v>88361</v>
      </c>
      <c r="K294" s="781">
        <v>21425</v>
      </c>
      <c r="L294" s="781">
        <v>3043</v>
      </c>
      <c r="N294" s="781">
        <v>0</v>
      </c>
      <c r="O294" s="781">
        <v>0</v>
      </c>
      <c r="P294" s="781">
        <v>0</v>
      </c>
      <c r="Q294" s="781">
        <v>1752</v>
      </c>
      <c r="R294" s="781"/>
      <c r="S294" s="781">
        <v>7100</v>
      </c>
      <c r="T294" s="781">
        <v>1229</v>
      </c>
      <c r="U294" s="781">
        <v>8329</v>
      </c>
    </row>
    <row r="295" spans="1:21" ht="15" customHeight="1" x14ac:dyDescent="0.25">
      <c r="A295" s="776">
        <v>39805</v>
      </c>
      <c r="B295" s="774" t="s">
        <v>1078</v>
      </c>
      <c r="C295" s="779">
        <v>4.0989999999999999E-4</v>
      </c>
      <c r="D295" s="779">
        <v>4.4000000000000002E-4</v>
      </c>
      <c r="E295" s="781">
        <f>IFERROR(VLOOKUP(A295,'DIPNC Contributions 2018'!A:C,3,FALSE),0)</f>
        <v>10700</v>
      </c>
      <c r="F295" s="803">
        <v>-26893</v>
      </c>
      <c r="G295" s="803">
        <v>-12451</v>
      </c>
      <c r="I295" s="781">
        <v>21720</v>
      </c>
      <c r="J295" s="803">
        <v>9697</v>
      </c>
      <c r="K295" s="781">
        <v>2351</v>
      </c>
      <c r="L295" s="781">
        <v>3901</v>
      </c>
      <c r="N295" s="781">
        <v>0</v>
      </c>
      <c r="O295" s="781">
        <v>0</v>
      </c>
      <c r="P295" s="781">
        <v>0</v>
      </c>
      <c r="Q295" s="781">
        <v>0</v>
      </c>
      <c r="R295" s="781"/>
      <c r="S295" s="781">
        <v>779</v>
      </c>
      <c r="T295" s="781">
        <v>848</v>
      </c>
      <c r="U295" s="781">
        <v>1627</v>
      </c>
    </row>
    <row r="296" spans="1:21" ht="15" customHeight="1" x14ac:dyDescent="0.25">
      <c r="A296" s="776">
        <v>39900</v>
      </c>
      <c r="B296" s="774" t="s">
        <v>1079</v>
      </c>
      <c r="C296" s="779">
        <v>1.8162E-3</v>
      </c>
      <c r="D296" s="779">
        <v>1.8667E-3</v>
      </c>
      <c r="E296" s="781">
        <f>IFERROR(VLOOKUP(A296,'DIPNC Contributions 2018'!A:C,3,FALSE),0)</f>
        <v>42923</v>
      </c>
      <c r="F296" s="803">
        <v>-114093</v>
      </c>
      <c r="G296" s="803">
        <v>-55169</v>
      </c>
      <c r="I296" s="781">
        <v>96237</v>
      </c>
      <c r="J296" s="803">
        <v>42966</v>
      </c>
      <c r="K296" s="781">
        <v>10418</v>
      </c>
      <c r="L296" s="781">
        <v>5874</v>
      </c>
      <c r="N296" s="781">
        <v>0</v>
      </c>
      <c r="O296" s="781">
        <v>0</v>
      </c>
      <c r="P296" s="781">
        <v>0</v>
      </c>
      <c r="Q296" s="781">
        <v>0</v>
      </c>
      <c r="R296" s="781"/>
      <c r="S296" s="781">
        <v>3453</v>
      </c>
      <c r="T296" s="781">
        <v>1490</v>
      </c>
      <c r="U296" s="781">
        <v>4943</v>
      </c>
    </row>
    <row r="297" spans="1:21" ht="15" customHeight="1" x14ac:dyDescent="0.25">
      <c r="A297" s="776">
        <v>51000</v>
      </c>
      <c r="B297" s="774" t="s">
        <v>1169</v>
      </c>
      <c r="C297" s="779">
        <v>2.4977200000000001E-2</v>
      </c>
      <c r="D297" s="779">
        <v>2.6253800000000001E-2</v>
      </c>
      <c r="E297" s="781">
        <f>IFERROR(VLOOKUP(A297,'DIPNC Contributions 2018'!A:C,3,FALSE),0)</f>
        <v>719583</v>
      </c>
      <c r="F297" s="803">
        <v>-1604632</v>
      </c>
      <c r="G297" s="803">
        <v>-758707</v>
      </c>
      <c r="I297" s="781">
        <v>1323492</v>
      </c>
      <c r="J297" s="803">
        <v>590886</v>
      </c>
      <c r="K297" s="781">
        <v>143269</v>
      </c>
      <c r="L297" s="781">
        <v>471176</v>
      </c>
      <c r="N297" s="781">
        <v>0</v>
      </c>
      <c r="O297" s="781">
        <v>0</v>
      </c>
      <c r="P297" s="781">
        <v>0</v>
      </c>
      <c r="Q297" s="781">
        <v>0</v>
      </c>
      <c r="R297" s="781"/>
      <c r="S297" s="781">
        <v>47482</v>
      </c>
      <c r="T297" s="781">
        <v>168861</v>
      </c>
      <c r="U297" s="781">
        <v>216343</v>
      </c>
    </row>
    <row r="298" spans="1:21" ht="15" customHeight="1" x14ac:dyDescent="0.25">
      <c r="A298" s="776">
        <v>51000.2</v>
      </c>
      <c r="B298" s="774" t="s">
        <v>1170</v>
      </c>
      <c r="C298" s="779">
        <v>2.4000000000000001E-5</v>
      </c>
      <c r="D298" s="779">
        <v>1.63E-5</v>
      </c>
      <c r="E298" s="781">
        <f>IFERROR(VLOOKUP(A298,'DIPNC Contributions 2018'!A:C,3,FALSE),0)</f>
        <v>0</v>
      </c>
      <c r="F298" s="803">
        <v>-996</v>
      </c>
      <c r="G298" s="803">
        <v>-729</v>
      </c>
      <c r="I298" s="781">
        <v>1272</v>
      </c>
      <c r="J298" s="803">
        <v>568</v>
      </c>
      <c r="K298" s="781">
        <v>138</v>
      </c>
      <c r="L298" s="781">
        <v>465</v>
      </c>
      <c r="N298" s="781">
        <v>0</v>
      </c>
      <c r="O298" s="781">
        <v>0</v>
      </c>
      <c r="P298" s="781">
        <v>0</v>
      </c>
      <c r="Q298" s="781">
        <v>315</v>
      </c>
      <c r="R298" s="781"/>
      <c r="S298" s="781">
        <v>46</v>
      </c>
      <c r="T298" s="781">
        <v>179</v>
      </c>
      <c r="U298" s="781">
        <v>225</v>
      </c>
    </row>
    <row r="299" spans="1:21" ht="15" customHeight="1" x14ac:dyDescent="0.25">
      <c r="A299" s="776">
        <v>51000.3</v>
      </c>
      <c r="B299" s="774" t="s">
        <v>1171</v>
      </c>
      <c r="C299" s="779">
        <v>6.9099999999999999E-4</v>
      </c>
      <c r="D299" s="779">
        <v>6.3610000000000001E-4</v>
      </c>
      <c r="E299" s="781">
        <f>IFERROR(VLOOKUP(A299,'DIPNC Contributions 2018'!A:C,3,FALSE),0)</f>
        <v>0</v>
      </c>
      <c r="F299" s="803">
        <v>-38878</v>
      </c>
      <c r="G299" s="803">
        <v>-20990</v>
      </c>
      <c r="I299" s="781">
        <v>36615</v>
      </c>
      <c r="J299" s="803">
        <v>16347</v>
      </c>
      <c r="K299" s="781">
        <v>3964</v>
      </c>
      <c r="L299" s="781">
        <v>5719</v>
      </c>
      <c r="N299" s="781">
        <v>0</v>
      </c>
      <c r="O299" s="781">
        <v>0</v>
      </c>
      <c r="P299" s="781">
        <v>0</v>
      </c>
      <c r="Q299" s="781">
        <v>3043</v>
      </c>
      <c r="R299" s="781"/>
      <c r="S299" s="781">
        <v>1314</v>
      </c>
      <c r="T299" s="781">
        <v>2353</v>
      </c>
      <c r="U299" s="781">
        <v>3667</v>
      </c>
    </row>
    <row r="300" spans="1:21" ht="15" customHeight="1" x14ac:dyDescent="0.25">
      <c r="A300" s="776">
        <v>11050</v>
      </c>
      <c r="B300" s="774" t="s">
        <v>1666</v>
      </c>
      <c r="C300" s="779">
        <v>1.95E-4</v>
      </c>
      <c r="D300" s="779">
        <v>0</v>
      </c>
      <c r="E300" s="781">
        <f>IFERROR(VLOOKUP(A300,'DIPNC Contributions 2018'!A:C,3,FALSE),0)</f>
        <v>5954</v>
      </c>
      <c r="G300" s="803">
        <v>-5923</v>
      </c>
      <c r="I300" s="781">
        <v>10333</v>
      </c>
      <c r="J300" s="803">
        <v>4613</v>
      </c>
      <c r="K300" s="781">
        <v>1119</v>
      </c>
      <c r="L300" s="781">
        <v>0</v>
      </c>
      <c r="N300" s="781">
        <v>0</v>
      </c>
      <c r="O300" s="781">
        <v>0</v>
      </c>
      <c r="P300" s="781">
        <v>0</v>
      </c>
      <c r="Q300" s="781">
        <v>14061</v>
      </c>
      <c r="R300" s="781"/>
      <c r="S300" s="781">
        <v>371</v>
      </c>
      <c r="T300" s="781">
        <v>-2343</v>
      </c>
      <c r="U300" s="781">
        <v>-1972</v>
      </c>
    </row>
    <row r="301" spans="1:21" ht="15" customHeight="1" x14ac:dyDescent="0.25">
      <c r="A301" s="776">
        <v>18640</v>
      </c>
      <c r="B301" s="774" t="s">
        <v>819</v>
      </c>
      <c r="C301" s="779">
        <v>1.3999999999999999E-6</v>
      </c>
      <c r="D301" s="779">
        <v>0</v>
      </c>
      <c r="E301" s="781">
        <f>IFERROR(VLOOKUP(A301,'DIPNC Contributions 2018'!A:C,3,FALSE),0)</f>
        <v>43</v>
      </c>
      <c r="G301" s="803">
        <v>-43</v>
      </c>
      <c r="I301" s="781">
        <v>74</v>
      </c>
      <c r="J301" s="803">
        <v>33</v>
      </c>
      <c r="K301" s="781">
        <v>8</v>
      </c>
      <c r="L301" s="781">
        <v>0</v>
      </c>
      <c r="N301" s="781">
        <v>0</v>
      </c>
      <c r="O301" s="781">
        <v>0</v>
      </c>
      <c r="P301" s="781">
        <v>0</v>
      </c>
      <c r="Q301" s="781">
        <v>101</v>
      </c>
      <c r="R301" s="781"/>
      <c r="S301" s="781">
        <v>3</v>
      </c>
      <c r="T301" s="781">
        <v>-17</v>
      </c>
      <c r="U301" s="781">
        <v>-14</v>
      </c>
    </row>
    <row r="302" spans="1:21" ht="15" customHeight="1" x14ac:dyDescent="0.25">
      <c r="A302" s="776">
        <v>36303</v>
      </c>
      <c r="B302" s="774" t="s">
        <v>1667</v>
      </c>
      <c r="C302" s="779">
        <v>1.6359999999999999E-4</v>
      </c>
      <c r="D302" s="779">
        <v>0</v>
      </c>
      <c r="E302" s="781">
        <f>IFERROR(VLOOKUP(A302,'DIPNC Contributions 2018'!A:C,3,FALSE),0)</f>
        <v>2854</v>
      </c>
      <c r="G302" s="803">
        <v>-4970</v>
      </c>
      <c r="I302" s="781">
        <v>8669</v>
      </c>
      <c r="J302" s="803">
        <v>3870</v>
      </c>
      <c r="K302" s="781">
        <v>938</v>
      </c>
      <c r="L302" s="781">
        <v>0</v>
      </c>
      <c r="N302" s="781">
        <v>0</v>
      </c>
      <c r="O302" s="781">
        <v>0</v>
      </c>
      <c r="P302" s="781">
        <v>0</v>
      </c>
      <c r="Q302" s="781">
        <v>13631</v>
      </c>
      <c r="R302" s="781"/>
      <c r="S302" s="781">
        <v>311</v>
      </c>
      <c r="T302" s="781">
        <v>-2272</v>
      </c>
      <c r="U302" s="781">
        <v>-1961</v>
      </c>
    </row>
    <row r="303" spans="1:21" x14ac:dyDescent="0.25">
      <c r="A303" s="776" t="s">
        <v>1157</v>
      </c>
      <c r="B303" s="774" t="s">
        <v>1163</v>
      </c>
      <c r="C303" s="779">
        <f>C180</f>
        <v>2.8099999999999999E-5</v>
      </c>
      <c r="D303" s="779">
        <f>D180</f>
        <v>3.2499999999999997E-5</v>
      </c>
      <c r="E303" s="781">
        <f>E180*0.5</f>
        <v>311</v>
      </c>
      <c r="F303" s="781">
        <f>F180*0.5</f>
        <v>-993</v>
      </c>
      <c r="G303" s="803">
        <f>G180*0.5</f>
        <v>-427</v>
      </c>
      <c r="I303" s="781">
        <f>I180*0.5</f>
        <v>745</v>
      </c>
      <c r="J303" s="778">
        <f>J180*0.5</f>
        <v>333</v>
      </c>
      <c r="K303" s="781">
        <f>K180*0.5</f>
        <v>81</v>
      </c>
      <c r="L303" s="781">
        <f>L180*0.5</f>
        <v>158</v>
      </c>
      <c r="N303" s="781">
        <f>N180</f>
        <v>0</v>
      </c>
      <c r="O303" s="781">
        <f>O180</f>
        <v>0</v>
      </c>
      <c r="P303" s="781">
        <f>P180</f>
        <v>0</v>
      </c>
      <c r="Q303" s="781">
        <f>Q180*0.5</f>
        <v>196</v>
      </c>
      <c r="R303" s="781"/>
      <c r="S303" s="781">
        <f>S180*0.5</f>
        <v>27</v>
      </c>
      <c r="T303" s="781">
        <f>T180*0.5</f>
        <v>-72</v>
      </c>
      <c r="U303" s="781">
        <f>U180*0.5</f>
        <v>-46</v>
      </c>
    </row>
    <row r="304" spans="1:21" x14ac:dyDescent="0.25">
      <c r="C304" s="780">
        <f>SUM(C5:C302)</f>
        <v>1</v>
      </c>
      <c r="D304" s="780">
        <f t="shared" ref="D304:U304" si="0">SUM(D5:D302)</f>
        <v>1</v>
      </c>
      <c r="E304" s="782">
        <f t="shared" si="0"/>
        <v>23383111</v>
      </c>
      <c r="F304" s="805">
        <f>SUM(F5:F302)</f>
        <v>-61119997</v>
      </c>
      <c r="G304" s="805">
        <f>SUM(G5:G302)</f>
        <v>-30376010</v>
      </c>
      <c r="H304" s="780"/>
      <c r="I304" s="782">
        <f t="shared" si="0"/>
        <v>52987997</v>
      </c>
      <c r="J304" s="808">
        <f>SUM(J5:J302)</f>
        <v>23657004</v>
      </c>
      <c r="K304" s="782">
        <f t="shared" si="0"/>
        <v>5736007</v>
      </c>
      <c r="L304" s="782">
        <f t="shared" si="0"/>
        <v>2311160</v>
      </c>
      <c r="M304" s="782"/>
      <c r="N304" s="782">
        <f t="shared" si="0"/>
        <v>0</v>
      </c>
      <c r="O304" s="782">
        <f t="shared" si="0"/>
        <v>0</v>
      </c>
      <c r="P304" s="782">
        <f t="shared" si="0"/>
        <v>0</v>
      </c>
      <c r="Q304" s="782">
        <f t="shared" si="0"/>
        <v>2310732</v>
      </c>
      <c r="R304" s="782"/>
      <c r="S304" s="782">
        <f t="shared" si="0"/>
        <v>1901001</v>
      </c>
      <c r="T304" s="782">
        <f t="shared" si="0"/>
        <v>211</v>
      </c>
      <c r="U304" s="782">
        <f t="shared" si="0"/>
        <v>1901212</v>
      </c>
    </row>
    <row r="305" spans="2:10" x14ac:dyDescent="0.25">
      <c r="E305" s="801">
        <f>E304-'DIPNC Contributions 2018'!C296</f>
        <v>6</v>
      </c>
      <c r="G305" s="803"/>
      <c r="J305" s="778"/>
    </row>
    <row r="306" spans="2:10" x14ac:dyDescent="0.25">
      <c r="B306" s="774" t="s">
        <v>1543</v>
      </c>
      <c r="C306" s="774" t="s">
        <v>533</v>
      </c>
      <c r="G306" s="803"/>
      <c r="J306" s="778"/>
    </row>
    <row r="307" spans="2:10" x14ac:dyDescent="0.25">
      <c r="B307" s="774" t="s">
        <v>927</v>
      </c>
      <c r="C307" s="774">
        <v>33501</v>
      </c>
      <c r="G307" s="803"/>
      <c r="J307" s="778"/>
    </row>
    <row r="308" spans="2:10" x14ac:dyDescent="0.25">
      <c r="B308" s="774" t="s">
        <v>990</v>
      </c>
      <c r="C308" s="774">
        <v>36301</v>
      </c>
      <c r="G308" s="803"/>
      <c r="J308" s="778"/>
    </row>
    <row r="309" spans="2:10" x14ac:dyDescent="0.25">
      <c r="B309" s="774" t="s">
        <v>795</v>
      </c>
      <c r="C309" s="774">
        <v>10800</v>
      </c>
      <c r="G309" s="803"/>
      <c r="J309" s="778"/>
    </row>
    <row r="310" spans="2:10" x14ac:dyDescent="0.25">
      <c r="B310" s="774" t="s">
        <v>851</v>
      </c>
      <c r="C310" s="774">
        <v>30105</v>
      </c>
      <c r="G310" s="803"/>
      <c r="J310" s="778"/>
    </row>
    <row r="311" spans="2:10" x14ac:dyDescent="0.25">
      <c r="B311" s="774" t="s">
        <v>847</v>
      </c>
      <c r="C311" s="774">
        <v>30100</v>
      </c>
      <c r="G311" s="803"/>
      <c r="J311" s="778"/>
    </row>
    <row r="312" spans="2:10" x14ac:dyDescent="0.25">
      <c r="B312" s="774" t="s">
        <v>852</v>
      </c>
      <c r="C312" s="774">
        <v>30200</v>
      </c>
      <c r="G312" s="803"/>
      <c r="J312" s="778"/>
    </row>
    <row r="313" spans="2:10" x14ac:dyDescent="0.25">
      <c r="B313" s="774" t="s">
        <v>853</v>
      </c>
      <c r="C313" s="774">
        <v>30300</v>
      </c>
      <c r="G313" s="803"/>
      <c r="J313" s="778"/>
    </row>
    <row r="314" spans="2:10" x14ac:dyDescent="0.25">
      <c r="B314" s="774" t="s">
        <v>1552</v>
      </c>
      <c r="C314" s="774">
        <v>34901</v>
      </c>
      <c r="G314" s="803"/>
      <c r="J314" s="778"/>
    </row>
    <row r="315" spans="2:10" x14ac:dyDescent="0.25">
      <c r="B315" s="774" t="s">
        <v>854</v>
      </c>
      <c r="C315" s="774">
        <v>30400</v>
      </c>
    </row>
    <row r="316" spans="2:10" x14ac:dyDescent="0.25">
      <c r="B316" s="774" t="s">
        <v>826</v>
      </c>
      <c r="C316" s="774">
        <v>20100</v>
      </c>
      <c r="G316" s="807"/>
      <c r="J316" s="807"/>
    </row>
    <row r="317" spans="2:10" x14ac:dyDescent="0.25">
      <c r="B317" s="774" t="s">
        <v>1009</v>
      </c>
      <c r="C317" s="774">
        <v>36901</v>
      </c>
    </row>
    <row r="318" spans="2:10" x14ac:dyDescent="0.25">
      <c r="B318" s="774" t="s">
        <v>923</v>
      </c>
      <c r="C318" s="774">
        <v>33402</v>
      </c>
    </row>
    <row r="319" spans="2:10" x14ac:dyDescent="0.25">
      <c r="B319" s="774" t="s">
        <v>856</v>
      </c>
      <c r="C319" s="774">
        <v>30500</v>
      </c>
    </row>
    <row r="320" spans="2:10" x14ac:dyDescent="0.25">
      <c r="B320" s="774" t="s">
        <v>1024</v>
      </c>
      <c r="C320" s="774">
        <v>37610</v>
      </c>
    </row>
    <row r="321" spans="2:3" x14ac:dyDescent="0.25">
      <c r="B321" s="774" t="s">
        <v>870</v>
      </c>
      <c r="C321" s="774">
        <v>31110</v>
      </c>
    </row>
    <row r="322" spans="2:3" x14ac:dyDescent="0.25">
      <c r="B322" s="774" t="s">
        <v>869</v>
      </c>
      <c r="C322" s="774">
        <v>31105</v>
      </c>
    </row>
    <row r="323" spans="2:3" x14ac:dyDescent="0.25">
      <c r="B323" s="774" t="s">
        <v>857</v>
      </c>
      <c r="C323" s="774">
        <v>30600</v>
      </c>
    </row>
    <row r="324" spans="2:3" x14ac:dyDescent="0.25">
      <c r="B324" s="774" t="s">
        <v>818</v>
      </c>
      <c r="C324" s="774">
        <v>18600</v>
      </c>
    </row>
    <row r="325" spans="2:3" x14ac:dyDescent="0.25">
      <c r="B325" s="774" t="s">
        <v>919</v>
      </c>
      <c r="C325" s="774">
        <v>33206</v>
      </c>
    </row>
    <row r="326" spans="2:3" x14ac:dyDescent="0.25">
      <c r="B326" s="774" t="s">
        <v>860</v>
      </c>
      <c r="C326" s="774">
        <v>30705</v>
      </c>
    </row>
    <row r="327" spans="2:3" x14ac:dyDescent="0.25">
      <c r="B327" s="774" t="s">
        <v>859</v>
      </c>
      <c r="C327" s="774">
        <v>30700</v>
      </c>
    </row>
    <row r="328" spans="2:3" x14ac:dyDescent="0.25">
      <c r="B328" s="774" t="s">
        <v>861</v>
      </c>
      <c r="C328" s="774">
        <v>30800</v>
      </c>
    </row>
    <row r="329" spans="2:3" x14ac:dyDescent="0.25">
      <c r="B329" s="774" t="s">
        <v>1031</v>
      </c>
      <c r="C329" s="774">
        <v>37901</v>
      </c>
    </row>
    <row r="330" spans="2:3" x14ac:dyDescent="0.25">
      <c r="B330" s="774" t="s">
        <v>863</v>
      </c>
      <c r="C330" s="774">
        <v>30905</v>
      </c>
    </row>
    <row r="331" spans="2:3" x14ac:dyDescent="0.25">
      <c r="B331" s="774" t="s">
        <v>862</v>
      </c>
      <c r="C331" s="774">
        <v>30900</v>
      </c>
    </row>
    <row r="332" spans="2:3" x14ac:dyDescent="0.25">
      <c r="B332" s="774" t="s">
        <v>945</v>
      </c>
      <c r="C332" s="774">
        <v>34505</v>
      </c>
    </row>
    <row r="333" spans="2:3" x14ac:dyDescent="0.25">
      <c r="B333" s="774" t="s">
        <v>1054</v>
      </c>
      <c r="C333" s="774">
        <v>38801</v>
      </c>
    </row>
    <row r="334" spans="2:3" x14ac:dyDescent="0.25">
      <c r="B334" s="774" t="s">
        <v>1046</v>
      </c>
      <c r="C334" s="774">
        <v>38601</v>
      </c>
    </row>
    <row r="335" spans="2:3" x14ac:dyDescent="0.25">
      <c r="B335" s="774" t="s">
        <v>865</v>
      </c>
      <c r="C335" s="774">
        <v>31005</v>
      </c>
    </row>
    <row r="336" spans="2:3" x14ac:dyDescent="0.25">
      <c r="B336" s="774" t="s">
        <v>864</v>
      </c>
      <c r="C336" s="774">
        <v>31000</v>
      </c>
    </row>
    <row r="337" spans="2:3" x14ac:dyDescent="0.25">
      <c r="B337" s="774" t="s">
        <v>866</v>
      </c>
      <c r="C337" s="774">
        <v>31100</v>
      </c>
    </row>
    <row r="338" spans="2:3" x14ac:dyDescent="0.25">
      <c r="B338" s="774" t="s">
        <v>871</v>
      </c>
      <c r="C338" s="774">
        <v>31200</v>
      </c>
    </row>
    <row r="339" spans="2:3" x14ac:dyDescent="0.25">
      <c r="B339" s="774" t="s">
        <v>873</v>
      </c>
      <c r="C339" s="774">
        <v>31300</v>
      </c>
    </row>
    <row r="340" spans="2:3" x14ac:dyDescent="0.25">
      <c r="B340" s="774" t="s">
        <v>877</v>
      </c>
      <c r="C340" s="774">
        <v>31405</v>
      </c>
    </row>
    <row r="341" spans="2:3" x14ac:dyDescent="0.25">
      <c r="B341" s="774" t="s">
        <v>876</v>
      </c>
      <c r="C341" s="774">
        <v>31400</v>
      </c>
    </row>
    <row r="342" spans="2:3" x14ac:dyDescent="0.25">
      <c r="B342" s="774" t="s">
        <v>878</v>
      </c>
      <c r="C342" s="774">
        <v>31500</v>
      </c>
    </row>
    <row r="343" spans="2:3" x14ac:dyDescent="0.25">
      <c r="B343" s="774" t="s">
        <v>998</v>
      </c>
      <c r="C343" s="774">
        <v>36505</v>
      </c>
    </row>
    <row r="344" spans="2:3" x14ac:dyDescent="0.25">
      <c r="B344" s="774" t="s">
        <v>996</v>
      </c>
      <c r="C344" s="774">
        <v>36501</v>
      </c>
    </row>
    <row r="345" spans="2:3" x14ac:dyDescent="0.25">
      <c r="B345" s="774" t="s">
        <v>874</v>
      </c>
      <c r="C345" s="774">
        <v>31301</v>
      </c>
    </row>
    <row r="346" spans="2:3" x14ac:dyDescent="0.25">
      <c r="B346" s="774" t="s">
        <v>881</v>
      </c>
      <c r="C346" s="774">
        <v>31605</v>
      </c>
    </row>
    <row r="347" spans="2:3" x14ac:dyDescent="0.25">
      <c r="B347" s="774" t="s">
        <v>879</v>
      </c>
      <c r="C347" s="774">
        <v>31600</v>
      </c>
    </row>
    <row r="348" spans="2:3" x14ac:dyDescent="0.25">
      <c r="B348" s="774" t="s">
        <v>1065</v>
      </c>
      <c r="C348" s="774">
        <v>39209</v>
      </c>
    </row>
    <row r="349" spans="2:3" x14ac:dyDescent="0.25">
      <c r="B349" s="774" t="s">
        <v>882</v>
      </c>
      <c r="C349" s="774">
        <v>31700</v>
      </c>
    </row>
    <row r="350" spans="2:3" x14ac:dyDescent="0.25">
      <c r="B350" s="774" t="s">
        <v>883</v>
      </c>
      <c r="C350" s="774">
        <v>31800</v>
      </c>
    </row>
    <row r="351" spans="2:3" x14ac:dyDescent="0.25">
      <c r="B351" s="774" t="s">
        <v>884</v>
      </c>
      <c r="C351" s="774">
        <v>31805</v>
      </c>
    </row>
    <row r="352" spans="2:3" x14ac:dyDescent="0.25">
      <c r="B352" s="774" t="s">
        <v>962</v>
      </c>
      <c r="C352" s="774">
        <v>35305</v>
      </c>
    </row>
    <row r="353" spans="2:3" x14ac:dyDescent="0.25">
      <c r="B353" s="774" t="s">
        <v>915</v>
      </c>
      <c r="C353" s="774">
        <v>33202</v>
      </c>
    </row>
    <row r="354" spans="2:3" x14ac:dyDescent="0.25">
      <c r="B354" s="774" t="s">
        <v>979</v>
      </c>
      <c r="C354" s="774">
        <v>36005</v>
      </c>
    </row>
    <row r="355" spans="2:3" x14ac:dyDescent="0.25">
      <c r="B355" s="774" t="s">
        <v>1557</v>
      </c>
      <c r="C355" s="774">
        <v>36810</v>
      </c>
    </row>
    <row r="356" spans="2:3" x14ac:dyDescent="0.25">
      <c r="B356" s="774" t="s">
        <v>983</v>
      </c>
      <c r="C356" s="774">
        <v>36009</v>
      </c>
    </row>
    <row r="357" spans="2:3" x14ac:dyDescent="0.25">
      <c r="B357" s="774" t="s">
        <v>974</v>
      </c>
      <c r="C357" s="774">
        <v>36000</v>
      </c>
    </row>
    <row r="358" spans="2:3" x14ac:dyDescent="0.25">
      <c r="B358" s="774" t="s">
        <v>887</v>
      </c>
      <c r="C358" s="774">
        <v>31900</v>
      </c>
    </row>
    <row r="359" spans="2:3" x14ac:dyDescent="0.25">
      <c r="B359" s="774" t="s">
        <v>888</v>
      </c>
      <c r="C359" s="774">
        <v>32000</v>
      </c>
    </row>
    <row r="360" spans="2:3" x14ac:dyDescent="0.25">
      <c r="B360" s="774" t="s">
        <v>964</v>
      </c>
      <c r="C360" s="774">
        <v>35401</v>
      </c>
    </row>
    <row r="361" spans="2:3" x14ac:dyDescent="0.25">
      <c r="B361" s="774" t="s">
        <v>891</v>
      </c>
      <c r="C361" s="774">
        <v>32200</v>
      </c>
    </row>
    <row r="362" spans="2:3" x14ac:dyDescent="0.25">
      <c r="B362" s="774" t="s">
        <v>1548</v>
      </c>
      <c r="C362" s="774">
        <v>32305</v>
      </c>
    </row>
    <row r="363" spans="2:3" x14ac:dyDescent="0.25">
      <c r="B363" s="774" t="s">
        <v>892</v>
      </c>
      <c r="C363" s="774">
        <v>32300</v>
      </c>
    </row>
    <row r="364" spans="2:3" x14ac:dyDescent="0.25">
      <c r="B364" s="774" t="s">
        <v>1039</v>
      </c>
      <c r="C364" s="774">
        <v>38210</v>
      </c>
    </row>
    <row r="365" spans="2:3" x14ac:dyDescent="0.25">
      <c r="B365" s="774" t="s">
        <v>848</v>
      </c>
      <c r="C365" s="774">
        <v>30102</v>
      </c>
    </row>
    <row r="366" spans="2:3" x14ac:dyDescent="0.25">
      <c r="B366" s="774" t="s">
        <v>1003</v>
      </c>
      <c r="C366" s="774">
        <v>36705</v>
      </c>
    </row>
    <row r="367" spans="2:3" x14ac:dyDescent="0.25">
      <c r="B367" s="774" t="s">
        <v>1012</v>
      </c>
      <c r="C367" s="774">
        <v>37005</v>
      </c>
    </row>
    <row r="368" spans="2:3" x14ac:dyDescent="0.25">
      <c r="B368" s="774" t="s">
        <v>894</v>
      </c>
      <c r="C368" s="774">
        <v>32400</v>
      </c>
    </row>
    <row r="369" spans="2:3" x14ac:dyDescent="0.25">
      <c r="B369" s="774" t="s">
        <v>975</v>
      </c>
      <c r="C369" s="774">
        <v>36001</v>
      </c>
    </row>
    <row r="370" spans="2:3" x14ac:dyDescent="0.25">
      <c r="B370" s="774" t="s">
        <v>824</v>
      </c>
      <c r="C370" s="774">
        <v>19005</v>
      </c>
    </row>
    <row r="371" spans="2:3" x14ac:dyDescent="0.25">
      <c r="B371" s="774" t="s">
        <v>977</v>
      </c>
      <c r="C371" s="774">
        <v>36003</v>
      </c>
    </row>
    <row r="372" spans="2:3" x14ac:dyDescent="0.25">
      <c r="B372" s="774" t="s">
        <v>911</v>
      </c>
      <c r="C372" s="774">
        <v>33027</v>
      </c>
    </row>
    <row r="373" spans="2:3" x14ac:dyDescent="0.25">
      <c r="B373" s="774" t="s">
        <v>1554</v>
      </c>
      <c r="C373" s="774">
        <v>36004</v>
      </c>
    </row>
    <row r="374" spans="2:3" x14ac:dyDescent="0.25">
      <c r="B374" s="774" t="s">
        <v>899</v>
      </c>
      <c r="C374" s="774">
        <v>32505</v>
      </c>
    </row>
    <row r="375" spans="2:3" x14ac:dyDescent="0.25">
      <c r="B375" s="774" t="s">
        <v>900</v>
      </c>
      <c r="C375" s="774">
        <v>32600</v>
      </c>
    </row>
    <row r="376" spans="2:3" x14ac:dyDescent="0.25">
      <c r="B376" s="774" t="s">
        <v>902</v>
      </c>
      <c r="C376" s="774">
        <v>32700</v>
      </c>
    </row>
    <row r="377" spans="2:3" x14ac:dyDescent="0.25">
      <c r="B377" s="774" t="s">
        <v>903</v>
      </c>
      <c r="C377" s="774">
        <v>32800</v>
      </c>
    </row>
    <row r="378" spans="2:3" x14ac:dyDescent="0.25">
      <c r="B378" s="774" t="s">
        <v>906</v>
      </c>
      <c r="C378" s="774">
        <v>32905</v>
      </c>
    </row>
    <row r="379" spans="2:3" x14ac:dyDescent="0.25">
      <c r="B379" s="774" t="s">
        <v>904</v>
      </c>
      <c r="C379" s="774">
        <v>32900</v>
      </c>
    </row>
    <row r="380" spans="2:3" x14ac:dyDescent="0.25">
      <c r="B380" s="774" t="s">
        <v>909</v>
      </c>
      <c r="C380" s="774">
        <v>33000</v>
      </c>
    </row>
    <row r="381" spans="2:3" x14ac:dyDescent="0.25">
      <c r="B381" s="774" t="s">
        <v>797</v>
      </c>
      <c r="C381" s="774">
        <v>10900</v>
      </c>
    </row>
    <row r="382" spans="2:3" x14ac:dyDescent="0.25">
      <c r="B382" s="774" t="s">
        <v>810</v>
      </c>
      <c r="C382" s="774">
        <v>12510</v>
      </c>
    </row>
    <row r="383" spans="2:3" x14ac:dyDescent="0.25">
      <c r="B383" s="774" t="s">
        <v>792</v>
      </c>
      <c r="C383" s="774">
        <v>10400</v>
      </c>
    </row>
    <row r="384" spans="2:3" x14ac:dyDescent="0.25">
      <c r="B384" s="774" t="s">
        <v>1544</v>
      </c>
      <c r="C384" s="774">
        <v>10700</v>
      </c>
    </row>
    <row r="385" spans="2:3" x14ac:dyDescent="0.25">
      <c r="B385" s="774" t="s">
        <v>842</v>
      </c>
      <c r="C385" s="774">
        <v>22000</v>
      </c>
    </row>
    <row r="386" spans="2:3" x14ac:dyDescent="0.25">
      <c r="B386" s="774" t="s">
        <v>825</v>
      </c>
      <c r="C386" s="774">
        <v>19100</v>
      </c>
    </row>
    <row r="387" spans="2:3" x14ac:dyDescent="0.25">
      <c r="B387" s="774" t="s">
        <v>1546</v>
      </c>
      <c r="C387" s="774">
        <v>18400</v>
      </c>
    </row>
    <row r="388" spans="2:3" x14ac:dyDescent="0.25">
      <c r="B388" s="774" t="s">
        <v>912</v>
      </c>
      <c r="C388" s="774">
        <v>33100</v>
      </c>
    </row>
    <row r="389" spans="2:3" x14ac:dyDescent="0.25">
      <c r="B389" s="774" t="s">
        <v>914</v>
      </c>
      <c r="C389" s="774">
        <v>33200</v>
      </c>
    </row>
    <row r="390" spans="2:3" x14ac:dyDescent="0.25">
      <c r="B390" s="774" t="s">
        <v>918</v>
      </c>
      <c r="C390" s="774">
        <v>33205</v>
      </c>
    </row>
    <row r="391" spans="2:3" x14ac:dyDescent="0.25">
      <c r="B391" s="774" t="s">
        <v>828</v>
      </c>
      <c r="C391" s="774">
        <v>20300</v>
      </c>
    </row>
    <row r="392" spans="2:3" x14ac:dyDescent="0.25">
      <c r="B392" s="774" t="s">
        <v>1559</v>
      </c>
      <c r="C392" s="774">
        <v>39208</v>
      </c>
    </row>
    <row r="393" spans="2:3" x14ac:dyDescent="0.25">
      <c r="B393" s="774" t="s">
        <v>890</v>
      </c>
      <c r="C393" s="774">
        <v>32100</v>
      </c>
    </row>
    <row r="394" spans="2:3" x14ac:dyDescent="0.25">
      <c r="B394" s="774" t="s">
        <v>920</v>
      </c>
      <c r="C394" s="774">
        <v>33300</v>
      </c>
    </row>
    <row r="395" spans="2:3" x14ac:dyDescent="0.25">
      <c r="B395" s="774" t="s">
        <v>921</v>
      </c>
      <c r="C395" s="774">
        <v>33305</v>
      </c>
    </row>
    <row r="396" spans="2:3" x14ac:dyDescent="0.25">
      <c r="B396" s="774" t="s">
        <v>1011</v>
      </c>
      <c r="C396" s="774">
        <v>37000</v>
      </c>
    </row>
    <row r="397" spans="2:3" x14ac:dyDescent="0.25">
      <c r="B397" s="774" t="s">
        <v>829</v>
      </c>
      <c r="C397" s="774">
        <v>20400</v>
      </c>
    </row>
    <row r="398" spans="2:3" x14ac:dyDescent="0.25">
      <c r="B398" s="774" t="s">
        <v>1050</v>
      </c>
      <c r="C398" s="774">
        <v>38620</v>
      </c>
    </row>
    <row r="399" spans="2:3" x14ac:dyDescent="0.25">
      <c r="B399" s="774" t="s">
        <v>1061</v>
      </c>
      <c r="C399" s="774">
        <v>39201</v>
      </c>
    </row>
    <row r="400" spans="2:3" x14ac:dyDescent="0.25">
      <c r="B400" s="774" t="s">
        <v>802</v>
      </c>
      <c r="C400" s="774">
        <v>11300</v>
      </c>
    </row>
    <row r="401" spans="2:3" x14ac:dyDescent="0.25">
      <c r="B401" s="774" t="s">
        <v>868</v>
      </c>
      <c r="C401" s="774">
        <v>31102</v>
      </c>
    </row>
    <row r="402" spans="2:3" x14ac:dyDescent="0.25">
      <c r="B402" s="774" t="s">
        <v>867</v>
      </c>
      <c r="C402" s="774">
        <v>31101</v>
      </c>
    </row>
    <row r="403" spans="2:3" x14ac:dyDescent="0.25">
      <c r="B403" s="774" t="s">
        <v>830</v>
      </c>
      <c r="C403" s="774">
        <v>20600</v>
      </c>
    </row>
    <row r="404" spans="2:3" x14ac:dyDescent="0.25">
      <c r="B404" s="774" t="s">
        <v>901</v>
      </c>
      <c r="C404" s="774">
        <v>32605</v>
      </c>
    </row>
    <row r="405" spans="2:3" x14ac:dyDescent="0.25">
      <c r="B405" s="774" t="s">
        <v>1555</v>
      </c>
      <c r="C405" s="774">
        <v>36310</v>
      </c>
    </row>
    <row r="406" spans="2:3" x14ac:dyDescent="0.25">
      <c r="B406" s="774" t="s">
        <v>925</v>
      </c>
      <c r="C406" s="774">
        <v>33405</v>
      </c>
    </row>
    <row r="407" spans="2:3" x14ac:dyDescent="0.25">
      <c r="B407" s="774" t="s">
        <v>926</v>
      </c>
      <c r="C407" s="774">
        <v>33500</v>
      </c>
    </row>
    <row r="408" spans="2:3" x14ac:dyDescent="0.25">
      <c r="B408" s="774" t="s">
        <v>929</v>
      </c>
      <c r="C408" s="774">
        <v>33605</v>
      </c>
    </row>
    <row r="409" spans="2:3" x14ac:dyDescent="0.25">
      <c r="B409" s="774" t="s">
        <v>1000</v>
      </c>
      <c r="C409" s="774">
        <v>36601</v>
      </c>
    </row>
    <row r="410" spans="2:3" x14ac:dyDescent="0.25">
      <c r="B410" s="774" t="s">
        <v>928</v>
      </c>
      <c r="C410" s="774">
        <v>33600</v>
      </c>
    </row>
    <row r="411" spans="2:3" x14ac:dyDescent="0.25">
      <c r="B411" s="774" t="s">
        <v>930</v>
      </c>
      <c r="C411" s="774">
        <v>33700</v>
      </c>
    </row>
    <row r="412" spans="2:3" x14ac:dyDescent="0.25">
      <c r="B412" s="774" t="s">
        <v>808</v>
      </c>
      <c r="C412" s="774">
        <v>12160</v>
      </c>
    </row>
    <row r="413" spans="2:3" x14ac:dyDescent="0.25">
      <c r="B413" s="774" t="s">
        <v>806</v>
      </c>
      <c r="C413" s="774">
        <v>12100</v>
      </c>
    </row>
    <row r="414" spans="2:3" x14ac:dyDescent="0.25">
      <c r="B414" s="774" t="s">
        <v>931</v>
      </c>
      <c r="C414" s="774">
        <v>33800</v>
      </c>
    </row>
    <row r="415" spans="2:3" x14ac:dyDescent="0.25">
      <c r="B415" s="774" t="s">
        <v>858</v>
      </c>
      <c r="C415" s="774">
        <v>30601</v>
      </c>
    </row>
    <row r="416" spans="2:3" x14ac:dyDescent="0.25">
      <c r="B416" s="774" t="s">
        <v>932</v>
      </c>
      <c r="C416" s="774">
        <v>33900</v>
      </c>
    </row>
    <row r="417" spans="2:3" x14ac:dyDescent="0.25">
      <c r="B417" s="774" t="s">
        <v>1042</v>
      </c>
      <c r="C417" s="774">
        <v>38402</v>
      </c>
    </row>
    <row r="418" spans="2:3" x14ac:dyDescent="0.25">
      <c r="B418" s="774" t="s">
        <v>933</v>
      </c>
      <c r="C418" s="774">
        <v>34000</v>
      </c>
    </row>
    <row r="419" spans="2:3" x14ac:dyDescent="0.25">
      <c r="B419" s="774" t="s">
        <v>934</v>
      </c>
      <c r="C419" s="774">
        <v>34100</v>
      </c>
    </row>
    <row r="420" spans="2:3" x14ac:dyDescent="0.25">
      <c r="B420" s="774" t="s">
        <v>935</v>
      </c>
      <c r="C420" s="774">
        <v>34105</v>
      </c>
    </row>
    <row r="421" spans="2:3" x14ac:dyDescent="0.25">
      <c r="B421" s="774" t="s">
        <v>937</v>
      </c>
      <c r="C421" s="774">
        <v>34205</v>
      </c>
    </row>
    <row r="422" spans="2:3" x14ac:dyDescent="0.25">
      <c r="B422" s="774" t="s">
        <v>936</v>
      </c>
      <c r="C422" s="774">
        <v>34200</v>
      </c>
    </row>
    <row r="423" spans="2:3" x14ac:dyDescent="0.25">
      <c r="B423" s="774" t="s">
        <v>1067</v>
      </c>
      <c r="C423" s="774">
        <v>39301</v>
      </c>
    </row>
    <row r="424" spans="2:3" x14ac:dyDescent="0.25">
      <c r="B424" s="774" t="s">
        <v>940</v>
      </c>
      <c r="C424" s="774">
        <v>34300</v>
      </c>
    </row>
    <row r="425" spans="2:3" x14ac:dyDescent="0.25">
      <c r="B425" s="774" t="s">
        <v>941</v>
      </c>
      <c r="C425" s="774">
        <v>34400</v>
      </c>
    </row>
    <row r="426" spans="2:3" x14ac:dyDescent="0.25">
      <c r="B426" s="774" t="s">
        <v>942</v>
      </c>
      <c r="C426" s="774">
        <v>34405</v>
      </c>
    </row>
    <row r="427" spans="2:3" x14ac:dyDescent="0.25">
      <c r="B427" s="774" t="s">
        <v>809</v>
      </c>
      <c r="C427" s="774">
        <v>12220</v>
      </c>
    </row>
    <row r="428" spans="2:3" x14ac:dyDescent="0.25">
      <c r="B428" s="774" t="s">
        <v>916</v>
      </c>
      <c r="C428" s="774">
        <v>33203</v>
      </c>
    </row>
    <row r="429" spans="2:3" x14ac:dyDescent="0.25">
      <c r="B429" s="774" t="s">
        <v>1069</v>
      </c>
      <c r="C429" s="774">
        <v>39401</v>
      </c>
    </row>
    <row r="430" spans="2:3" x14ac:dyDescent="0.25">
      <c r="B430" s="774" t="s">
        <v>943</v>
      </c>
      <c r="C430" s="774">
        <v>34500</v>
      </c>
    </row>
    <row r="431" spans="2:3" x14ac:dyDescent="0.25">
      <c r="B431" s="774" t="s">
        <v>946</v>
      </c>
      <c r="C431" s="774">
        <v>34600</v>
      </c>
    </row>
    <row r="432" spans="2:3" x14ac:dyDescent="0.25">
      <c r="B432" s="774" t="s">
        <v>885</v>
      </c>
      <c r="C432" s="774">
        <v>31810</v>
      </c>
    </row>
    <row r="433" spans="2:3" x14ac:dyDescent="0.25">
      <c r="B433" s="774" t="s">
        <v>1170</v>
      </c>
      <c r="C433" s="774">
        <v>51000.2</v>
      </c>
    </row>
    <row r="434" spans="2:3" x14ac:dyDescent="0.25">
      <c r="B434" s="774" t="s">
        <v>1171</v>
      </c>
      <c r="C434" s="774">
        <v>51000.3</v>
      </c>
    </row>
    <row r="435" spans="2:3" x14ac:dyDescent="0.25">
      <c r="B435" s="774" t="s">
        <v>1169</v>
      </c>
      <c r="C435" s="774">
        <v>51000</v>
      </c>
    </row>
    <row r="436" spans="2:3" x14ac:dyDescent="0.25">
      <c r="B436" s="774" t="s">
        <v>948</v>
      </c>
      <c r="C436" s="774">
        <v>34700</v>
      </c>
    </row>
    <row r="437" spans="2:3" x14ac:dyDescent="0.25">
      <c r="B437" s="774" t="s">
        <v>949</v>
      </c>
      <c r="C437" s="774">
        <v>34800</v>
      </c>
    </row>
    <row r="438" spans="2:3" x14ac:dyDescent="0.25">
      <c r="B438" s="774" t="s">
        <v>799</v>
      </c>
      <c r="C438" s="774">
        <v>10930</v>
      </c>
    </row>
    <row r="439" spans="2:3" x14ac:dyDescent="0.25">
      <c r="B439" s="774" t="s">
        <v>811</v>
      </c>
      <c r="C439" s="774">
        <v>12600</v>
      </c>
    </row>
    <row r="440" spans="2:3" x14ac:dyDescent="0.25">
      <c r="B440" s="774" t="s">
        <v>1134</v>
      </c>
      <c r="C440" s="774">
        <v>33207</v>
      </c>
    </row>
    <row r="441" spans="2:3" x14ac:dyDescent="0.25">
      <c r="B441" s="774" t="s">
        <v>1550</v>
      </c>
      <c r="C441" s="774">
        <v>32901</v>
      </c>
    </row>
    <row r="442" spans="2:3" x14ac:dyDescent="0.25">
      <c r="B442" s="774" t="s">
        <v>1551</v>
      </c>
      <c r="C442" s="774">
        <v>34900</v>
      </c>
    </row>
    <row r="443" spans="2:3" x14ac:dyDescent="0.25">
      <c r="B443" s="774" t="s">
        <v>1036</v>
      </c>
      <c r="C443" s="774">
        <v>38105</v>
      </c>
    </row>
    <row r="444" spans="2:3" x14ac:dyDescent="0.25">
      <c r="B444" s="774" t="s">
        <v>955</v>
      </c>
      <c r="C444" s="774">
        <v>35000</v>
      </c>
    </row>
    <row r="445" spans="2:3" x14ac:dyDescent="0.25">
      <c r="B445" s="774" t="s">
        <v>913</v>
      </c>
      <c r="C445" s="774">
        <v>33105</v>
      </c>
    </row>
    <row r="446" spans="2:3" x14ac:dyDescent="0.25">
      <c r="B446" s="774" t="s">
        <v>957</v>
      </c>
      <c r="C446" s="774">
        <v>35100</v>
      </c>
    </row>
    <row r="447" spans="2:3" x14ac:dyDescent="0.25">
      <c r="B447" s="774" t="s">
        <v>958</v>
      </c>
      <c r="C447" s="774">
        <v>35105</v>
      </c>
    </row>
    <row r="448" spans="2:3" x14ac:dyDescent="0.25">
      <c r="B448" s="774" t="s">
        <v>960</v>
      </c>
      <c r="C448" s="774">
        <v>35200</v>
      </c>
    </row>
    <row r="449" spans="2:3" x14ac:dyDescent="0.25">
      <c r="B449" s="774" t="s">
        <v>875</v>
      </c>
      <c r="C449" s="774">
        <v>31320</v>
      </c>
    </row>
    <row r="450" spans="2:3" x14ac:dyDescent="0.25">
      <c r="B450" s="774" t="s">
        <v>976</v>
      </c>
      <c r="C450" s="774">
        <v>36002</v>
      </c>
    </row>
    <row r="451" spans="2:3" x14ac:dyDescent="0.25">
      <c r="B451" s="774" t="s">
        <v>985</v>
      </c>
      <c r="C451" s="774">
        <v>36102</v>
      </c>
    </row>
    <row r="452" spans="2:3" x14ac:dyDescent="0.25">
      <c r="B452" s="774" t="s">
        <v>1135</v>
      </c>
      <c r="C452" s="774">
        <v>33208</v>
      </c>
    </row>
    <row r="453" spans="2:3" x14ac:dyDescent="0.25">
      <c r="B453" s="774" t="s">
        <v>812</v>
      </c>
      <c r="C453" s="774">
        <v>12700</v>
      </c>
    </row>
    <row r="454" spans="2:3" x14ac:dyDescent="0.25">
      <c r="B454" s="774" t="s">
        <v>980</v>
      </c>
      <c r="C454" s="774">
        <v>36006</v>
      </c>
    </row>
    <row r="455" spans="2:3" x14ac:dyDescent="0.25">
      <c r="B455" s="774" t="s">
        <v>1553</v>
      </c>
      <c r="C455" s="774">
        <v>35300</v>
      </c>
    </row>
    <row r="456" spans="2:3" x14ac:dyDescent="0.25">
      <c r="B456" s="774" t="s">
        <v>966</v>
      </c>
      <c r="C456" s="774">
        <v>35405</v>
      </c>
    </row>
    <row r="457" spans="2:3" x14ac:dyDescent="0.25">
      <c r="B457" s="774" t="s">
        <v>963</v>
      </c>
      <c r="C457" s="774">
        <v>35400</v>
      </c>
    </row>
    <row r="458" spans="2:3" x14ac:dyDescent="0.25">
      <c r="B458" s="774" t="s">
        <v>907</v>
      </c>
      <c r="C458" s="774">
        <v>32910</v>
      </c>
    </row>
    <row r="459" spans="2:3" x14ac:dyDescent="0.25">
      <c r="B459" s="774" t="s">
        <v>967</v>
      </c>
      <c r="C459" s="774">
        <v>35500</v>
      </c>
    </row>
    <row r="460" spans="2:3" x14ac:dyDescent="0.25">
      <c r="B460" s="774" t="s">
        <v>807</v>
      </c>
      <c r="C460" s="774">
        <v>12150</v>
      </c>
    </row>
    <row r="461" spans="2:3" x14ac:dyDescent="0.25">
      <c r="B461" s="774" t="s">
        <v>968</v>
      </c>
      <c r="C461" s="774">
        <v>35600</v>
      </c>
    </row>
    <row r="462" spans="2:3" x14ac:dyDescent="0.25">
      <c r="B462" s="774" t="s">
        <v>969</v>
      </c>
      <c r="C462" s="774">
        <v>35700</v>
      </c>
    </row>
    <row r="463" spans="2:3" x14ac:dyDescent="0.25">
      <c r="B463" s="774" t="s">
        <v>971</v>
      </c>
      <c r="C463" s="774">
        <v>35805</v>
      </c>
    </row>
    <row r="464" spans="2:3" x14ac:dyDescent="0.25">
      <c r="B464" s="774" t="s">
        <v>970</v>
      </c>
      <c r="C464" s="774">
        <v>35800</v>
      </c>
    </row>
    <row r="465" spans="2:3" x14ac:dyDescent="0.25">
      <c r="B465" s="774" t="s">
        <v>986</v>
      </c>
      <c r="C465" s="774">
        <v>36105</v>
      </c>
    </row>
    <row r="466" spans="2:3" x14ac:dyDescent="0.25">
      <c r="B466" s="774" t="s">
        <v>972</v>
      </c>
      <c r="C466" s="774">
        <v>35900</v>
      </c>
    </row>
    <row r="467" spans="2:3" x14ac:dyDescent="0.25">
      <c r="B467" s="774" t="s">
        <v>973</v>
      </c>
      <c r="C467" s="774">
        <v>35905</v>
      </c>
    </row>
    <row r="468" spans="2:3" x14ac:dyDescent="0.25">
      <c r="B468" s="774" t="s">
        <v>1047</v>
      </c>
      <c r="C468" s="774">
        <v>38602</v>
      </c>
    </row>
    <row r="469" spans="2:3" x14ac:dyDescent="0.25">
      <c r="B469" s="774" t="s">
        <v>953</v>
      </c>
      <c r="C469" s="774">
        <v>34905</v>
      </c>
    </row>
    <row r="470" spans="2:3" x14ac:dyDescent="0.25">
      <c r="B470" s="774" t="s">
        <v>984</v>
      </c>
      <c r="C470" s="774">
        <v>36100</v>
      </c>
    </row>
    <row r="471" spans="2:3" x14ac:dyDescent="0.25">
      <c r="B471" s="774" t="s">
        <v>988</v>
      </c>
      <c r="C471" s="774">
        <v>36205</v>
      </c>
    </row>
    <row r="472" spans="2:3" x14ac:dyDescent="0.25">
      <c r="B472" s="774" t="s">
        <v>987</v>
      </c>
      <c r="C472" s="774">
        <v>36200</v>
      </c>
    </row>
    <row r="473" spans="2:3" x14ac:dyDescent="0.25">
      <c r="B473" s="774" t="s">
        <v>989</v>
      </c>
      <c r="C473" s="774">
        <v>36300</v>
      </c>
    </row>
    <row r="474" spans="2:3" x14ac:dyDescent="0.25">
      <c r="B474" s="774" t="s">
        <v>954</v>
      </c>
      <c r="C474" s="774">
        <v>34910</v>
      </c>
    </row>
    <row r="475" spans="2:3" x14ac:dyDescent="0.25">
      <c r="B475" s="774" t="s">
        <v>1049</v>
      </c>
      <c r="C475" s="774">
        <v>38610</v>
      </c>
    </row>
    <row r="476" spans="2:3" x14ac:dyDescent="0.25">
      <c r="B476" s="774" t="s">
        <v>944</v>
      </c>
      <c r="C476" s="774">
        <v>34501</v>
      </c>
    </row>
    <row r="477" spans="2:3" x14ac:dyDescent="0.25">
      <c r="B477" s="774" t="s">
        <v>1052</v>
      </c>
      <c r="C477" s="774">
        <v>38701</v>
      </c>
    </row>
    <row r="478" spans="2:3" x14ac:dyDescent="0.25">
      <c r="B478" s="774" t="s">
        <v>822</v>
      </c>
      <c r="C478" s="774">
        <v>18740</v>
      </c>
    </row>
    <row r="479" spans="2:3" x14ac:dyDescent="0.25">
      <c r="B479" s="774" t="s">
        <v>832</v>
      </c>
      <c r="C479" s="774">
        <v>20800</v>
      </c>
    </row>
    <row r="480" spans="2:3" x14ac:dyDescent="0.25">
      <c r="B480" s="774" t="s">
        <v>821</v>
      </c>
      <c r="C480" s="774">
        <v>18690</v>
      </c>
    </row>
    <row r="481" spans="2:3" x14ac:dyDescent="0.25">
      <c r="B481" s="774" t="s">
        <v>801</v>
      </c>
      <c r="C481" s="774">
        <v>10950</v>
      </c>
    </row>
    <row r="482" spans="2:3" x14ac:dyDescent="0.25">
      <c r="B482" s="774" t="s">
        <v>827</v>
      </c>
      <c r="C482" s="774">
        <v>20200</v>
      </c>
    </row>
    <row r="483" spans="2:3" x14ac:dyDescent="0.25">
      <c r="B483" s="774" t="s">
        <v>823</v>
      </c>
      <c r="C483" s="774">
        <v>18780</v>
      </c>
    </row>
    <row r="484" spans="2:3" x14ac:dyDescent="0.25">
      <c r="B484" s="774" t="s">
        <v>835</v>
      </c>
      <c r="C484" s="774">
        <v>21300</v>
      </c>
    </row>
    <row r="485" spans="2:3" x14ac:dyDescent="0.25">
      <c r="B485" s="774" t="s">
        <v>1168</v>
      </c>
      <c r="C485" s="774">
        <v>37001</v>
      </c>
    </row>
    <row r="486" spans="2:3" x14ac:dyDescent="0.25">
      <c r="B486" s="774" t="s">
        <v>910</v>
      </c>
      <c r="C486" s="774">
        <v>33001</v>
      </c>
    </row>
    <row r="487" spans="2:3" x14ac:dyDescent="0.25">
      <c r="B487" s="774" t="s">
        <v>1556</v>
      </c>
      <c r="C487" s="774">
        <v>36405</v>
      </c>
    </row>
    <row r="488" spans="2:3" x14ac:dyDescent="0.25">
      <c r="B488" s="774" t="s">
        <v>993</v>
      </c>
      <c r="C488" s="774">
        <v>36400</v>
      </c>
    </row>
    <row r="489" spans="2:3" x14ac:dyDescent="0.25">
      <c r="B489" s="774" t="s">
        <v>831</v>
      </c>
      <c r="C489" s="774">
        <v>20700</v>
      </c>
    </row>
    <row r="490" spans="2:3" x14ac:dyDescent="0.25">
      <c r="B490" s="774" t="s">
        <v>803</v>
      </c>
      <c r="C490" s="774">
        <v>11310</v>
      </c>
    </row>
    <row r="491" spans="2:3" x14ac:dyDescent="0.25">
      <c r="B491" s="774" t="s">
        <v>959</v>
      </c>
      <c r="C491" s="774">
        <v>35106</v>
      </c>
    </row>
    <row r="492" spans="2:3" x14ac:dyDescent="0.25">
      <c r="B492" s="774" t="s">
        <v>1549</v>
      </c>
      <c r="C492" s="774">
        <v>32500</v>
      </c>
    </row>
    <row r="493" spans="2:3" x14ac:dyDescent="0.25">
      <c r="B493" s="774" t="s">
        <v>995</v>
      </c>
      <c r="C493" s="774">
        <v>36500</v>
      </c>
    </row>
    <row r="494" spans="2:3" x14ac:dyDescent="0.25">
      <c r="B494" s="774" t="s">
        <v>886</v>
      </c>
      <c r="C494" s="774">
        <v>31820</v>
      </c>
    </row>
    <row r="495" spans="2:3" x14ac:dyDescent="0.25">
      <c r="B495" s="774" t="s">
        <v>791</v>
      </c>
      <c r="C495" s="774">
        <v>10200</v>
      </c>
    </row>
    <row r="496" spans="2:3" x14ac:dyDescent="0.25">
      <c r="B496" s="774" t="s">
        <v>999</v>
      </c>
      <c r="C496" s="774">
        <v>36600</v>
      </c>
    </row>
    <row r="497" spans="2:3" x14ac:dyDescent="0.25">
      <c r="B497" s="774" t="s">
        <v>796</v>
      </c>
      <c r="C497" s="774">
        <v>10850</v>
      </c>
    </row>
    <row r="498" spans="2:3" x14ac:dyDescent="0.25">
      <c r="B498" s="774" t="s">
        <v>798</v>
      </c>
      <c r="C498" s="774">
        <v>10910</v>
      </c>
    </row>
    <row r="499" spans="2:3" x14ac:dyDescent="0.25">
      <c r="B499" s="774" t="s">
        <v>800</v>
      </c>
      <c r="C499" s="774">
        <v>10940</v>
      </c>
    </row>
    <row r="500" spans="2:3" x14ac:dyDescent="0.25">
      <c r="B500" s="774" t="s">
        <v>1001</v>
      </c>
      <c r="C500" s="774">
        <v>36700</v>
      </c>
    </row>
    <row r="501" spans="2:3" x14ac:dyDescent="0.25">
      <c r="B501" s="774" t="s">
        <v>1006</v>
      </c>
      <c r="C501" s="774">
        <v>36802</v>
      </c>
    </row>
    <row r="502" spans="2:3" x14ac:dyDescent="0.25">
      <c r="B502" s="774" t="s">
        <v>1004</v>
      </c>
      <c r="C502" s="774">
        <v>36800</v>
      </c>
    </row>
    <row r="503" spans="2:3" x14ac:dyDescent="0.25">
      <c r="B503" s="774" t="s">
        <v>1005</v>
      </c>
      <c r="C503" s="774">
        <v>36801</v>
      </c>
    </row>
    <row r="504" spans="2:3" x14ac:dyDescent="0.25">
      <c r="B504" s="774" t="s">
        <v>1010</v>
      </c>
      <c r="C504" s="774">
        <v>36905</v>
      </c>
    </row>
    <row r="505" spans="2:3" x14ac:dyDescent="0.25">
      <c r="B505" s="774" t="s">
        <v>1008</v>
      </c>
      <c r="C505" s="774">
        <v>36900</v>
      </c>
    </row>
    <row r="506" spans="2:3" x14ac:dyDescent="0.25">
      <c r="B506" s="774" t="s">
        <v>1013</v>
      </c>
      <c r="C506" s="774">
        <v>37100</v>
      </c>
    </row>
    <row r="507" spans="2:3" x14ac:dyDescent="0.25">
      <c r="B507" s="774" t="s">
        <v>1014</v>
      </c>
      <c r="C507" s="774">
        <v>37200</v>
      </c>
    </row>
    <row r="508" spans="2:3" x14ac:dyDescent="0.25">
      <c r="B508" s="774" t="s">
        <v>1015</v>
      </c>
      <c r="C508" s="774">
        <v>37300</v>
      </c>
    </row>
    <row r="509" spans="2:3" x14ac:dyDescent="0.25">
      <c r="B509" s="774" t="s">
        <v>1017</v>
      </c>
      <c r="C509" s="774">
        <v>37305</v>
      </c>
    </row>
    <row r="510" spans="2:3" x14ac:dyDescent="0.25">
      <c r="B510" s="774" t="s">
        <v>982</v>
      </c>
      <c r="C510" s="774">
        <v>36008</v>
      </c>
    </row>
    <row r="511" spans="2:3" x14ac:dyDescent="0.25">
      <c r="B511" s="774" t="s">
        <v>1075</v>
      </c>
      <c r="C511" s="774">
        <v>39703</v>
      </c>
    </row>
    <row r="512" spans="2:3" x14ac:dyDescent="0.25">
      <c r="B512" s="774" t="s">
        <v>1136</v>
      </c>
      <c r="C512" s="774">
        <v>33209</v>
      </c>
    </row>
    <row r="513" spans="2:3" x14ac:dyDescent="0.25">
      <c r="B513" s="774" t="s">
        <v>1019</v>
      </c>
      <c r="C513" s="774">
        <v>37405</v>
      </c>
    </row>
    <row r="514" spans="2:3" x14ac:dyDescent="0.25">
      <c r="B514" s="774" t="s">
        <v>1018</v>
      </c>
      <c r="C514" s="774">
        <v>37400</v>
      </c>
    </row>
    <row r="515" spans="2:3" x14ac:dyDescent="0.25">
      <c r="B515" s="774" t="s">
        <v>1020</v>
      </c>
      <c r="C515" s="774">
        <v>37500</v>
      </c>
    </row>
    <row r="516" spans="2:3" x14ac:dyDescent="0.25">
      <c r="B516" s="774" t="s">
        <v>1023</v>
      </c>
      <c r="C516" s="774">
        <v>37605</v>
      </c>
    </row>
    <row r="517" spans="2:3" x14ac:dyDescent="0.25">
      <c r="B517" s="774" t="s">
        <v>1021</v>
      </c>
      <c r="C517" s="774">
        <v>37600</v>
      </c>
    </row>
    <row r="518" spans="2:3" x14ac:dyDescent="0.25">
      <c r="B518" s="774" t="s">
        <v>813</v>
      </c>
      <c r="C518" s="774">
        <v>13500</v>
      </c>
    </row>
    <row r="519" spans="2:3" x14ac:dyDescent="0.25">
      <c r="B519" s="774" t="s">
        <v>1025</v>
      </c>
      <c r="C519" s="774">
        <v>37700</v>
      </c>
    </row>
    <row r="520" spans="2:3" x14ac:dyDescent="0.25">
      <c r="B520" s="774" t="s">
        <v>1026</v>
      </c>
      <c r="C520" s="774">
        <v>37705</v>
      </c>
    </row>
    <row r="521" spans="2:3" x14ac:dyDescent="0.25">
      <c r="B521" s="774" t="s">
        <v>849</v>
      </c>
      <c r="C521" s="774">
        <v>30103</v>
      </c>
    </row>
    <row r="522" spans="2:3" x14ac:dyDescent="0.25">
      <c r="B522" s="774" t="s">
        <v>938</v>
      </c>
      <c r="C522" s="774">
        <v>34220</v>
      </c>
    </row>
    <row r="523" spans="2:3" x14ac:dyDescent="0.25">
      <c r="B523" s="774" t="s">
        <v>947</v>
      </c>
      <c r="C523" s="774">
        <v>34605</v>
      </c>
    </row>
    <row r="524" spans="2:3" x14ac:dyDescent="0.25">
      <c r="B524" s="774" t="s">
        <v>1029</v>
      </c>
      <c r="C524" s="774">
        <v>37805</v>
      </c>
    </row>
    <row r="525" spans="2:3" x14ac:dyDescent="0.25">
      <c r="B525" s="774" t="s">
        <v>1027</v>
      </c>
      <c r="C525" s="774">
        <v>37800</v>
      </c>
    </row>
    <row r="526" spans="2:3" x14ac:dyDescent="0.25">
      <c r="B526" s="774" t="s">
        <v>1032</v>
      </c>
      <c r="C526" s="774">
        <v>37905</v>
      </c>
    </row>
    <row r="527" spans="2:3" x14ac:dyDescent="0.25">
      <c r="B527" s="774" t="s">
        <v>1030</v>
      </c>
      <c r="C527" s="774">
        <v>37900</v>
      </c>
    </row>
    <row r="528" spans="2:3" x14ac:dyDescent="0.25">
      <c r="B528" s="774" t="s">
        <v>1034</v>
      </c>
      <c r="C528" s="774">
        <v>38005</v>
      </c>
    </row>
    <row r="529" spans="2:3" x14ac:dyDescent="0.25">
      <c r="B529" s="774" t="s">
        <v>1033</v>
      </c>
      <c r="C529" s="774">
        <v>38000</v>
      </c>
    </row>
    <row r="530" spans="2:3" x14ac:dyDescent="0.25">
      <c r="B530" s="774" t="s">
        <v>1016</v>
      </c>
      <c r="C530" s="774">
        <v>37301</v>
      </c>
    </row>
    <row r="531" spans="2:3" x14ac:dyDescent="0.25">
      <c r="B531" s="774" t="s">
        <v>1035</v>
      </c>
      <c r="C531" s="774">
        <v>38100</v>
      </c>
    </row>
    <row r="532" spans="2:3" x14ac:dyDescent="0.25">
      <c r="B532" s="774" t="s">
        <v>1038</v>
      </c>
      <c r="C532" s="774">
        <v>38205</v>
      </c>
    </row>
    <row r="533" spans="2:3" x14ac:dyDescent="0.25">
      <c r="B533" s="774" t="s">
        <v>1037</v>
      </c>
      <c r="C533" s="774">
        <v>38200</v>
      </c>
    </row>
    <row r="534" spans="2:3" x14ac:dyDescent="0.25">
      <c r="B534" s="774" t="s">
        <v>992</v>
      </c>
      <c r="C534" s="774">
        <v>36305</v>
      </c>
    </row>
    <row r="535" spans="2:3" x14ac:dyDescent="0.25">
      <c r="B535" s="774" t="s">
        <v>1040</v>
      </c>
      <c r="C535" s="774">
        <v>38300</v>
      </c>
    </row>
    <row r="536" spans="2:3" x14ac:dyDescent="0.25">
      <c r="B536" s="774" t="s">
        <v>814</v>
      </c>
      <c r="C536" s="774">
        <v>13700</v>
      </c>
    </row>
    <row r="537" spans="2:3" x14ac:dyDescent="0.25">
      <c r="B537" s="774" t="s">
        <v>897</v>
      </c>
      <c r="C537" s="774">
        <v>32420</v>
      </c>
    </row>
    <row r="538" spans="2:3" x14ac:dyDescent="0.25">
      <c r="B538" s="774" t="s">
        <v>981</v>
      </c>
      <c r="C538" s="774">
        <v>36007</v>
      </c>
    </row>
    <row r="539" spans="2:3" x14ac:dyDescent="0.25">
      <c r="B539" s="774" t="s">
        <v>855</v>
      </c>
      <c r="C539" s="774">
        <v>30405</v>
      </c>
    </row>
    <row r="540" spans="2:3" x14ac:dyDescent="0.25">
      <c r="B540" s="774" t="s">
        <v>1028</v>
      </c>
      <c r="C540" s="774">
        <v>37801</v>
      </c>
    </row>
    <row r="541" spans="2:3" x14ac:dyDescent="0.25">
      <c r="B541" s="774" t="s">
        <v>895</v>
      </c>
      <c r="C541" s="774">
        <v>32405</v>
      </c>
    </row>
    <row r="542" spans="2:3" x14ac:dyDescent="0.25">
      <c r="B542" s="774" t="s">
        <v>1062</v>
      </c>
      <c r="C542" s="774">
        <v>39204</v>
      </c>
    </row>
    <row r="543" spans="2:3" x14ac:dyDescent="0.25">
      <c r="B543" s="774" t="s">
        <v>956</v>
      </c>
      <c r="C543" s="774">
        <v>35005</v>
      </c>
    </row>
    <row r="544" spans="2:3" x14ac:dyDescent="0.25">
      <c r="B544" s="774" t="s">
        <v>1043</v>
      </c>
      <c r="C544" s="774">
        <v>38405</v>
      </c>
    </row>
    <row r="545" spans="2:3" x14ac:dyDescent="0.25">
      <c r="B545" s="774" t="s">
        <v>1041</v>
      </c>
      <c r="C545" s="774">
        <v>38400</v>
      </c>
    </row>
    <row r="546" spans="2:3" x14ac:dyDescent="0.25">
      <c r="B546" s="774" t="s">
        <v>991</v>
      </c>
      <c r="C546" s="774">
        <v>36302</v>
      </c>
    </row>
    <row r="547" spans="2:3" x14ac:dyDescent="0.25">
      <c r="B547" s="774" t="s">
        <v>793</v>
      </c>
      <c r="C547" s="774">
        <v>10500</v>
      </c>
    </row>
    <row r="548" spans="2:3" x14ac:dyDescent="0.25">
      <c r="B548" s="774" t="s">
        <v>805</v>
      </c>
      <c r="C548" s="774">
        <v>11900</v>
      </c>
    </row>
    <row r="549" spans="2:3" x14ac:dyDescent="0.25">
      <c r="B549" s="774" t="s">
        <v>1545</v>
      </c>
      <c r="C549" s="774">
        <v>12200</v>
      </c>
    </row>
    <row r="550" spans="2:3" x14ac:dyDescent="0.25">
      <c r="B550" s="774" t="s">
        <v>1165</v>
      </c>
      <c r="C550" s="774">
        <v>14300.2</v>
      </c>
    </row>
    <row r="551" spans="2:3" x14ac:dyDescent="0.25">
      <c r="B551" s="774" t="s">
        <v>1164</v>
      </c>
      <c r="C551" s="774">
        <v>14300</v>
      </c>
    </row>
    <row r="552" spans="2:3" x14ac:dyDescent="0.25">
      <c r="B552" s="774" t="s">
        <v>1044</v>
      </c>
      <c r="C552" s="774">
        <v>38500</v>
      </c>
    </row>
    <row r="553" spans="2:3" x14ac:dyDescent="0.25">
      <c r="B553" s="774" t="s">
        <v>952</v>
      </c>
      <c r="C553" s="774">
        <v>34903</v>
      </c>
    </row>
    <row r="554" spans="2:3" x14ac:dyDescent="0.25">
      <c r="B554" s="774" t="s">
        <v>1048</v>
      </c>
      <c r="C554" s="774">
        <v>38605</v>
      </c>
    </row>
    <row r="555" spans="2:3" x14ac:dyDescent="0.25">
      <c r="B555" s="774" t="s">
        <v>1045</v>
      </c>
      <c r="C555" s="774">
        <v>38600</v>
      </c>
    </row>
    <row r="556" spans="2:3" x14ac:dyDescent="0.25">
      <c r="B556" s="774" t="s">
        <v>1051</v>
      </c>
      <c r="C556" s="774">
        <v>38700</v>
      </c>
    </row>
    <row r="557" spans="2:3" x14ac:dyDescent="0.25">
      <c r="B557" s="774" t="s">
        <v>850</v>
      </c>
      <c r="C557" s="774">
        <v>30104</v>
      </c>
    </row>
    <row r="558" spans="2:3" x14ac:dyDescent="0.25">
      <c r="B558" s="774" t="s">
        <v>908</v>
      </c>
      <c r="C558" s="774">
        <v>32920</v>
      </c>
    </row>
    <row r="559" spans="2:3" x14ac:dyDescent="0.25">
      <c r="B559" s="774" t="s">
        <v>1053</v>
      </c>
      <c r="C559" s="774">
        <v>38800</v>
      </c>
    </row>
    <row r="560" spans="2:3" x14ac:dyDescent="0.25">
      <c r="B560" s="774" t="s">
        <v>889</v>
      </c>
      <c r="C560" s="774">
        <v>32005</v>
      </c>
    </row>
    <row r="561" spans="2:3" x14ac:dyDescent="0.25">
      <c r="B561" s="774" t="s">
        <v>1071</v>
      </c>
      <c r="C561" s="774">
        <v>39501</v>
      </c>
    </row>
    <row r="562" spans="2:3" x14ac:dyDescent="0.25">
      <c r="B562" s="774" t="s">
        <v>1055</v>
      </c>
      <c r="C562" s="774">
        <v>38900</v>
      </c>
    </row>
    <row r="563" spans="2:3" x14ac:dyDescent="0.25">
      <c r="B563" s="774" t="s">
        <v>834</v>
      </c>
      <c r="C563" s="774">
        <v>21200</v>
      </c>
    </row>
    <row r="564" spans="2:3" x14ac:dyDescent="0.25">
      <c r="B564" s="774" t="s">
        <v>838</v>
      </c>
      <c r="C564" s="774">
        <v>21550</v>
      </c>
    </row>
    <row r="565" spans="2:3" x14ac:dyDescent="0.25">
      <c r="B565" s="774" t="s">
        <v>1547</v>
      </c>
      <c r="C565" s="774">
        <v>21520</v>
      </c>
    </row>
    <row r="566" spans="2:3" x14ac:dyDescent="0.25">
      <c r="B566" s="774" t="s">
        <v>1167</v>
      </c>
      <c r="C566" s="774">
        <v>21525.200000000001</v>
      </c>
    </row>
    <row r="567" spans="2:3" x14ac:dyDescent="0.25">
      <c r="B567" s="774" t="s">
        <v>1166</v>
      </c>
      <c r="C567" s="774">
        <v>21525</v>
      </c>
    </row>
    <row r="568" spans="2:3" x14ac:dyDescent="0.25">
      <c r="B568" s="774" t="s">
        <v>1056</v>
      </c>
      <c r="C568" s="774">
        <v>39000</v>
      </c>
    </row>
    <row r="569" spans="2:3" x14ac:dyDescent="0.25">
      <c r="B569" s="774" t="s">
        <v>843</v>
      </c>
      <c r="C569" s="774">
        <v>23000</v>
      </c>
    </row>
    <row r="570" spans="2:3" x14ac:dyDescent="0.25">
      <c r="B570" s="774" t="s">
        <v>844</v>
      </c>
      <c r="C570" s="774">
        <v>23100</v>
      </c>
    </row>
    <row r="571" spans="2:3" x14ac:dyDescent="0.25">
      <c r="B571" s="774" t="s">
        <v>833</v>
      </c>
      <c r="C571" s="774">
        <v>20900</v>
      </c>
    </row>
    <row r="572" spans="2:3" x14ac:dyDescent="0.25">
      <c r="B572" s="774" t="s">
        <v>845</v>
      </c>
      <c r="C572" s="774">
        <v>23200</v>
      </c>
    </row>
    <row r="573" spans="2:3" x14ac:dyDescent="0.25">
      <c r="B573" s="774" t="s">
        <v>839</v>
      </c>
      <c r="C573" s="774">
        <v>21570</v>
      </c>
    </row>
    <row r="574" spans="2:3" x14ac:dyDescent="0.25">
      <c r="B574" s="774" t="s">
        <v>1022</v>
      </c>
      <c r="C574" s="774">
        <v>37601</v>
      </c>
    </row>
    <row r="575" spans="2:3" x14ac:dyDescent="0.25">
      <c r="B575" s="774" t="s">
        <v>1058</v>
      </c>
      <c r="C575" s="774">
        <v>39101</v>
      </c>
    </row>
    <row r="576" spans="2:3" x14ac:dyDescent="0.25">
      <c r="B576" s="774" t="s">
        <v>1057</v>
      </c>
      <c r="C576" s="774">
        <v>39100</v>
      </c>
    </row>
    <row r="577" spans="2:3" x14ac:dyDescent="0.25">
      <c r="B577" s="774" t="s">
        <v>1059</v>
      </c>
      <c r="C577" s="774">
        <v>39105</v>
      </c>
    </row>
    <row r="578" spans="2:3" x14ac:dyDescent="0.25">
      <c r="B578" s="774" t="s">
        <v>917</v>
      </c>
      <c r="C578" s="774">
        <v>33204</v>
      </c>
    </row>
    <row r="579" spans="2:3" x14ac:dyDescent="0.25">
      <c r="B579" s="774" t="s">
        <v>1558</v>
      </c>
      <c r="C579" s="774">
        <v>39200</v>
      </c>
    </row>
    <row r="580" spans="2:3" x14ac:dyDescent="0.25">
      <c r="B580" s="774" t="s">
        <v>1063</v>
      </c>
      <c r="C580" s="774">
        <v>39205</v>
      </c>
    </row>
    <row r="581" spans="2:3" x14ac:dyDescent="0.25">
      <c r="B581" s="774" t="s">
        <v>1066</v>
      </c>
      <c r="C581" s="774">
        <v>39300</v>
      </c>
    </row>
    <row r="582" spans="2:3" x14ac:dyDescent="0.25">
      <c r="B582" s="774" t="s">
        <v>1068</v>
      </c>
      <c r="C582" s="774">
        <v>39400</v>
      </c>
    </row>
    <row r="583" spans="2:3" x14ac:dyDescent="0.25">
      <c r="B583" s="774" t="s">
        <v>1070</v>
      </c>
      <c r="C583" s="774">
        <v>39500</v>
      </c>
    </row>
    <row r="584" spans="2:3" x14ac:dyDescent="0.25">
      <c r="B584" s="774" t="s">
        <v>1073</v>
      </c>
      <c r="C584" s="774">
        <v>39605</v>
      </c>
    </row>
    <row r="585" spans="2:3" x14ac:dyDescent="0.25">
      <c r="B585" s="774" t="s">
        <v>1072</v>
      </c>
      <c r="C585" s="774">
        <v>39600</v>
      </c>
    </row>
    <row r="586" spans="2:3" x14ac:dyDescent="0.25">
      <c r="B586" s="774" t="s">
        <v>939</v>
      </c>
      <c r="C586" s="774">
        <v>34230</v>
      </c>
    </row>
    <row r="587" spans="2:3" x14ac:dyDescent="0.25">
      <c r="B587" s="774" t="s">
        <v>840</v>
      </c>
      <c r="C587" s="774">
        <v>21800</v>
      </c>
    </row>
    <row r="588" spans="2:3" x14ac:dyDescent="0.25">
      <c r="B588" s="774" t="s">
        <v>872</v>
      </c>
      <c r="C588" s="774">
        <v>31205</v>
      </c>
    </row>
    <row r="589" spans="2:3" x14ac:dyDescent="0.25">
      <c r="B589" s="774" t="s">
        <v>896</v>
      </c>
      <c r="C589" s="774">
        <v>32410</v>
      </c>
    </row>
    <row r="590" spans="2:3" x14ac:dyDescent="0.25">
      <c r="B590" s="774" t="s">
        <v>804</v>
      </c>
      <c r="C590" s="774">
        <v>11600</v>
      </c>
    </row>
    <row r="591" spans="2:3" x14ac:dyDescent="0.25">
      <c r="B591" s="774" t="s">
        <v>1076</v>
      </c>
      <c r="C591" s="774">
        <v>39705</v>
      </c>
    </row>
    <row r="592" spans="2:3" x14ac:dyDescent="0.25">
      <c r="B592" s="774" t="s">
        <v>1074</v>
      </c>
      <c r="C592" s="774">
        <v>39700</v>
      </c>
    </row>
    <row r="593" spans="2:3" x14ac:dyDescent="0.25">
      <c r="B593" s="774" t="s">
        <v>997</v>
      </c>
      <c r="C593" s="774">
        <v>36502</v>
      </c>
    </row>
    <row r="594" spans="2:3" x14ac:dyDescent="0.25">
      <c r="B594" s="774" t="s">
        <v>1078</v>
      </c>
      <c r="C594" s="774">
        <v>39805</v>
      </c>
    </row>
    <row r="595" spans="2:3" x14ac:dyDescent="0.25">
      <c r="B595" s="774" t="s">
        <v>1077</v>
      </c>
      <c r="C595" s="774">
        <v>39800</v>
      </c>
    </row>
    <row r="596" spans="2:3" x14ac:dyDescent="0.25">
      <c r="B596" s="774" t="s">
        <v>841</v>
      </c>
      <c r="C596" s="774">
        <v>21900</v>
      </c>
    </row>
    <row r="597" spans="2:3" x14ac:dyDescent="0.25">
      <c r="B597" s="774" t="s">
        <v>922</v>
      </c>
      <c r="C597" s="774">
        <v>33400</v>
      </c>
    </row>
    <row r="598" spans="2:3" x14ac:dyDescent="0.25">
      <c r="B598" s="774" t="s">
        <v>1079</v>
      </c>
      <c r="C598" s="774">
        <v>39900</v>
      </c>
    </row>
    <row r="599" spans="2:3" x14ac:dyDescent="0.25">
      <c r="B599" s="774" t="s">
        <v>846</v>
      </c>
      <c r="C599" s="774">
        <v>30000</v>
      </c>
    </row>
    <row r="600" spans="2:3" x14ac:dyDescent="0.25">
      <c r="B600" s="774" t="s">
        <v>1002</v>
      </c>
      <c r="C600" s="774">
        <v>36701</v>
      </c>
    </row>
    <row r="601" spans="2:3" x14ac:dyDescent="0.25">
      <c r="B601" s="774" t="s">
        <v>1163</v>
      </c>
      <c r="C601" s="788" t="s">
        <v>1525</v>
      </c>
    </row>
  </sheetData>
  <autoFilter ref="A4:G302" xr:uid="{92B6B074-55CB-4DFB-B09C-D186B70E7CDF}"/>
  <mergeCells count="3">
    <mergeCell ref="S3:U3"/>
    <mergeCell ref="N3:Q3"/>
    <mergeCell ref="I3:L3"/>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C7455-2F74-41EE-AC68-E3DC077D36CD}">
  <sheetPr codeName="Sheet22"/>
  <dimension ref="A1:C297"/>
  <sheetViews>
    <sheetView topLeftCell="A259" workbookViewId="0">
      <selection sqref="A1:B2"/>
    </sheetView>
  </sheetViews>
  <sheetFormatPr defaultRowHeight="15" x14ac:dyDescent="0.25"/>
  <cols>
    <col min="1" max="1" width="17.28515625" style="793" customWidth="1"/>
    <col min="2" max="2" width="54" style="792" customWidth="1"/>
    <col min="3" max="3" width="25.28515625" style="792" customWidth="1"/>
    <col min="4" max="16384" width="9.140625" style="792"/>
  </cols>
  <sheetData>
    <row r="1" spans="1:3" ht="30" x14ac:dyDescent="0.25">
      <c r="A1" s="789" t="s">
        <v>1207</v>
      </c>
      <c r="B1" s="790" t="s">
        <v>1670</v>
      </c>
      <c r="C1" s="791" t="s">
        <v>1671</v>
      </c>
    </row>
    <row r="2" spans="1:3" x14ac:dyDescent="0.25">
      <c r="A2" s="793" t="s">
        <v>533</v>
      </c>
      <c r="B2" s="792" t="s">
        <v>1543</v>
      </c>
      <c r="C2" s="794">
        <v>0</v>
      </c>
    </row>
    <row r="3" spans="1:3" x14ac:dyDescent="0.25">
      <c r="A3" s="793">
        <v>10200</v>
      </c>
      <c r="B3" s="792" t="s">
        <v>791</v>
      </c>
      <c r="C3" s="794">
        <v>22003.63</v>
      </c>
    </row>
    <row r="4" spans="1:3" x14ac:dyDescent="0.25">
      <c r="A4" s="793">
        <v>10400</v>
      </c>
      <c r="B4" s="792" t="s">
        <v>792</v>
      </c>
      <c r="C4" s="794">
        <v>67383.59</v>
      </c>
    </row>
    <row r="5" spans="1:3" x14ac:dyDescent="0.25">
      <c r="A5" s="793">
        <v>10500</v>
      </c>
      <c r="B5" s="792" t="s">
        <v>793</v>
      </c>
      <c r="C5" s="794">
        <v>15634.56</v>
      </c>
    </row>
    <row r="6" spans="1:3" x14ac:dyDescent="0.25">
      <c r="A6" s="793">
        <v>10700</v>
      </c>
      <c r="B6" s="792" t="s">
        <v>1544</v>
      </c>
      <c r="C6" s="794">
        <v>109406.18</v>
      </c>
    </row>
    <row r="7" spans="1:3" x14ac:dyDescent="0.25">
      <c r="A7" s="793">
        <v>10800</v>
      </c>
      <c r="B7" s="792" t="s">
        <v>795</v>
      </c>
      <c r="C7" s="794">
        <v>453217.43</v>
      </c>
    </row>
    <row r="8" spans="1:3" x14ac:dyDescent="0.25">
      <c r="A8" s="793">
        <v>10850</v>
      </c>
      <c r="B8" s="792" t="s">
        <v>796</v>
      </c>
      <c r="C8" s="794">
        <v>5097.1499999999996</v>
      </c>
    </row>
    <row r="9" spans="1:3" x14ac:dyDescent="0.25">
      <c r="A9" s="793">
        <v>10900</v>
      </c>
      <c r="B9" s="792" t="s">
        <v>797</v>
      </c>
      <c r="C9" s="794">
        <v>40799.919999999998</v>
      </c>
    </row>
    <row r="10" spans="1:3" x14ac:dyDescent="0.25">
      <c r="A10" s="793">
        <v>10910</v>
      </c>
      <c r="B10" s="792" t="s">
        <v>798</v>
      </c>
      <c r="C10" s="794">
        <v>6366.12</v>
      </c>
    </row>
    <row r="11" spans="1:3" x14ac:dyDescent="0.25">
      <c r="A11" s="793">
        <v>10930</v>
      </c>
      <c r="B11" s="792" t="s">
        <v>799</v>
      </c>
      <c r="C11" s="794">
        <v>67926.53</v>
      </c>
    </row>
    <row r="12" spans="1:3" x14ac:dyDescent="0.25">
      <c r="A12" s="793">
        <v>10940</v>
      </c>
      <c r="B12" s="792" t="s">
        <v>800</v>
      </c>
      <c r="C12" s="794">
        <v>16717.060000000001</v>
      </c>
    </row>
    <row r="13" spans="1:3" x14ac:dyDescent="0.25">
      <c r="A13" s="793">
        <v>10950</v>
      </c>
      <c r="B13" s="792" t="s">
        <v>801</v>
      </c>
      <c r="C13" s="794">
        <v>18511.41</v>
      </c>
    </row>
    <row r="14" spans="1:3" x14ac:dyDescent="0.25">
      <c r="A14" s="793">
        <v>11300</v>
      </c>
      <c r="B14" s="792" t="s">
        <v>802</v>
      </c>
      <c r="C14" s="794">
        <v>114272.9</v>
      </c>
    </row>
    <row r="15" spans="1:3" x14ac:dyDescent="0.25">
      <c r="A15" s="793">
        <v>11310</v>
      </c>
      <c r="B15" s="792" t="s">
        <v>803</v>
      </c>
      <c r="C15" s="794">
        <v>12385.29</v>
      </c>
    </row>
    <row r="16" spans="1:3" x14ac:dyDescent="0.25">
      <c r="A16" s="793">
        <v>11600</v>
      </c>
      <c r="B16" s="792" t="s">
        <v>804</v>
      </c>
      <c r="C16" s="794">
        <v>44303.63</v>
      </c>
    </row>
    <row r="17" spans="1:3" x14ac:dyDescent="0.25">
      <c r="A17" s="793">
        <v>11900</v>
      </c>
      <c r="B17" s="792" t="s">
        <v>805</v>
      </c>
      <c r="C17" s="794">
        <v>4695.75</v>
      </c>
    </row>
    <row r="18" spans="1:3" x14ac:dyDescent="0.25">
      <c r="A18" s="793">
        <v>12100</v>
      </c>
      <c r="B18" s="792" t="s">
        <v>806</v>
      </c>
      <c r="C18" s="794">
        <v>5488.72</v>
      </c>
    </row>
    <row r="19" spans="1:3" x14ac:dyDescent="0.25">
      <c r="A19" s="793">
        <v>12150</v>
      </c>
      <c r="B19" s="792" t="s">
        <v>807</v>
      </c>
      <c r="C19" s="794">
        <v>821.16</v>
      </c>
    </row>
    <row r="20" spans="1:3" x14ac:dyDescent="0.25">
      <c r="A20" s="793">
        <v>12160</v>
      </c>
      <c r="B20" s="792" t="s">
        <v>808</v>
      </c>
      <c r="C20" s="794">
        <v>44091.17</v>
      </c>
    </row>
    <row r="21" spans="1:3" x14ac:dyDescent="0.25">
      <c r="A21" s="793">
        <v>12220</v>
      </c>
      <c r="B21" s="792" t="s">
        <v>809</v>
      </c>
      <c r="C21" s="794">
        <v>1114341.32</v>
      </c>
    </row>
    <row r="22" spans="1:3" x14ac:dyDescent="0.25">
      <c r="A22" s="793">
        <v>12510</v>
      </c>
      <c r="B22" s="792" t="s">
        <v>810</v>
      </c>
      <c r="C22" s="794">
        <v>121797.4</v>
      </c>
    </row>
    <row r="23" spans="1:3" x14ac:dyDescent="0.25">
      <c r="A23" s="793">
        <v>12600</v>
      </c>
      <c r="B23" s="792" t="s">
        <v>811</v>
      </c>
      <c r="C23" s="794">
        <v>44822.47</v>
      </c>
    </row>
    <row r="24" spans="1:3" x14ac:dyDescent="0.25">
      <c r="A24" s="793">
        <v>12700</v>
      </c>
      <c r="B24" s="792" t="s">
        <v>812</v>
      </c>
      <c r="C24" s="794">
        <v>28334.22</v>
      </c>
    </row>
    <row r="25" spans="1:3" x14ac:dyDescent="0.25">
      <c r="A25" s="793">
        <v>13500</v>
      </c>
      <c r="B25" s="792" t="s">
        <v>813</v>
      </c>
      <c r="C25" s="794">
        <v>101041.56</v>
      </c>
    </row>
    <row r="26" spans="1:3" x14ac:dyDescent="0.25">
      <c r="A26" s="793">
        <v>13700</v>
      </c>
      <c r="B26" s="792" t="s">
        <v>814</v>
      </c>
      <c r="C26" s="794">
        <v>11963.86</v>
      </c>
    </row>
    <row r="27" spans="1:3" x14ac:dyDescent="0.25">
      <c r="A27" s="793">
        <v>14300</v>
      </c>
      <c r="B27" s="792" t="s">
        <v>816</v>
      </c>
      <c r="C27" s="794">
        <v>36975.93</v>
      </c>
    </row>
    <row r="28" spans="1:3" x14ac:dyDescent="0.25">
      <c r="A28" s="793">
        <v>18400</v>
      </c>
      <c r="B28" s="792" t="s">
        <v>1546</v>
      </c>
      <c r="C28" s="794">
        <v>126394.03</v>
      </c>
    </row>
    <row r="29" spans="1:3" x14ac:dyDescent="0.25">
      <c r="A29" s="793">
        <v>18600</v>
      </c>
      <c r="B29" s="792" t="s">
        <v>818</v>
      </c>
      <c r="C29" s="794">
        <v>364.51</v>
      </c>
    </row>
    <row r="30" spans="1:3" x14ac:dyDescent="0.25">
      <c r="A30" s="793">
        <v>18640</v>
      </c>
      <c r="B30" s="792" t="s">
        <v>819</v>
      </c>
      <c r="C30" s="794">
        <v>43.46</v>
      </c>
    </row>
    <row r="31" spans="1:3" x14ac:dyDescent="0.25">
      <c r="A31" s="793">
        <v>18690</v>
      </c>
      <c r="B31" s="792" t="s">
        <v>821</v>
      </c>
      <c r="C31" s="794">
        <v>0</v>
      </c>
    </row>
    <row r="32" spans="1:3" x14ac:dyDescent="0.25">
      <c r="A32" s="793">
        <v>18740</v>
      </c>
      <c r="B32" s="792" t="s">
        <v>822</v>
      </c>
      <c r="C32" s="794">
        <v>186.6</v>
      </c>
    </row>
    <row r="33" spans="1:3" x14ac:dyDescent="0.25">
      <c r="A33" s="793">
        <v>18780</v>
      </c>
      <c r="B33" s="792" t="s">
        <v>823</v>
      </c>
      <c r="C33" s="794">
        <v>395.85</v>
      </c>
    </row>
    <row r="34" spans="1:3" x14ac:dyDescent="0.25">
      <c r="A34" s="793">
        <v>19005</v>
      </c>
      <c r="B34" s="792" t="s">
        <v>824</v>
      </c>
      <c r="C34" s="794">
        <v>20278.95</v>
      </c>
    </row>
    <row r="35" spans="1:3" x14ac:dyDescent="0.25">
      <c r="A35" s="793">
        <v>19100</v>
      </c>
      <c r="B35" s="792" t="s">
        <v>825</v>
      </c>
      <c r="C35" s="794">
        <v>1509747.75</v>
      </c>
    </row>
    <row r="36" spans="1:3" x14ac:dyDescent="0.25">
      <c r="A36" s="795">
        <v>20100</v>
      </c>
      <c r="B36" s="796" t="s">
        <v>826</v>
      </c>
      <c r="C36" s="797">
        <v>250532.54</v>
      </c>
    </row>
    <row r="37" spans="1:3" x14ac:dyDescent="0.25">
      <c r="A37" s="793">
        <v>20200</v>
      </c>
      <c r="B37" s="792" t="s">
        <v>827</v>
      </c>
      <c r="C37" s="794">
        <v>39291.379999999997</v>
      </c>
    </row>
    <row r="38" spans="1:3" x14ac:dyDescent="0.25">
      <c r="A38" s="793">
        <v>20300</v>
      </c>
      <c r="B38" s="792" t="s">
        <v>828</v>
      </c>
      <c r="C38" s="794">
        <v>581051.06000000006</v>
      </c>
    </row>
    <row r="39" spans="1:3" x14ac:dyDescent="0.25">
      <c r="A39" s="793">
        <v>20400</v>
      </c>
      <c r="B39" s="792" t="s">
        <v>829</v>
      </c>
      <c r="C39" s="794">
        <v>29441.52</v>
      </c>
    </row>
    <row r="40" spans="1:3" x14ac:dyDescent="0.25">
      <c r="A40" s="793">
        <v>20600</v>
      </c>
      <c r="B40" s="792" t="s">
        <v>830</v>
      </c>
      <c r="C40" s="794">
        <v>74124.899999999994</v>
      </c>
    </row>
    <row r="41" spans="1:3" x14ac:dyDescent="0.25">
      <c r="A41" s="793">
        <v>20700</v>
      </c>
      <c r="B41" s="792" t="s">
        <v>831</v>
      </c>
      <c r="C41" s="794">
        <v>153662.75</v>
      </c>
    </row>
    <row r="42" spans="1:3" x14ac:dyDescent="0.25">
      <c r="A42" s="793">
        <v>20800</v>
      </c>
      <c r="B42" s="792" t="s">
        <v>832</v>
      </c>
      <c r="C42" s="794">
        <v>116349.61</v>
      </c>
    </row>
    <row r="43" spans="1:3" x14ac:dyDescent="0.25">
      <c r="A43" s="793">
        <v>20900</v>
      </c>
      <c r="B43" s="792" t="s">
        <v>833</v>
      </c>
      <c r="C43" s="794">
        <v>245132.09</v>
      </c>
    </row>
    <row r="44" spans="1:3" x14ac:dyDescent="0.25">
      <c r="A44" s="793">
        <v>21200</v>
      </c>
      <c r="B44" s="792" t="s">
        <v>834</v>
      </c>
      <c r="C44" s="794">
        <v>71609.16</v>
      </c>
    </row>
    <row r="45" spans="1:3" x14ac:dyDescent="0.25">
      <c r="A45" s="793">
        <v>21300</v>
      </c>
      <c r="B45" s="792" t="s">
        <v>835</v>
      </c>
      <c r="C45" s="794">
        <v>899008.02</v>
      </c>
    </row>
    <row r="46" spans="1:3" x14ac:dyDescent="0.25">
      <c r="A46" s="793">
        <v>21520</v>
      </c>
      <c r="B46" s="792" t="s">
        <v>1547</v>
      </c>
      <c r="C46" s="794">
        <v>1601185.99</v>
      </c>
    </row>
    <row r="47" spans="1:3" x14ac:dyDescent="0.25">
      <c r="A47" s="793">
        <v>21525</v>
      </c>
      <c r="B47" s="792" t="s">
        <v>837</v>
      </c>
      <c r="C47" s="794">
        <v>44620.959999999999</v>
      </c>
    </row>
    <row r="48" spans="1:3" x14ac:dyDescent="0.25">
      <c r="A48" s="793">
        <v>21550</v>
      </c>
      <c r="B48" s="792" t="s">
        <v>838</v>
      </c>
      <c r="C48" s="794">
        <v>920469.4</v>
      </c>
    </row>
    <row r="49" spans="1:3" x14ac:dyDescent="0.25">
      <c r="A49" s="793">
        <v>21570</v>
      </c>
      <c r="B49" s="792" t="s">
        <v>839</v>
      </c>
      <c r="C49" s="794">
        <v>4621.5600000000004</v>
      </c>
    </row>
    <row r="50" spans="1:3" x14ac:dyDescent="0.25">
      <c r="A50" s="793">
        <v>21800</v>
      </c>
      <c r="B50" s="792" t="s">
        <v>840</v>
      </c>
      <c r="C50" s="794">
        <v>132298.98000000001</v>
      </c>
    </row>
    <row r="51" spans="1:3" x14ac:dyDescent="0.25">
      <c r="A51" s="793">
        <v>21900</v>
      </c>
      <c r="B51" s="792" t="s">
        <v>841</v>
      </c>
      <c r="C51" s="794">
        <v>80453.55</v>
      </c>
    </row>
    <row r="52" spans="1:3" x14ac:dyDescent="0.25">
      <c r="A52" s="793">
        <v>22000</v>
      </c>
      <c r="B52" s="792" t="s">
        <v>842</v>
      </c>
      <c r="C52" s="794">
        <v>87832.11</v>
      </c>
    </row>
    <row r="53" spans="1:3" x14ac:dyDescent="0.25">
      <c r="A53" s="793">
        <v>23000</v>
      </c>
      <c r="B53" s="792" t="s">
        <v>843</v>
      </c>
      <c r="C53" s="794">
        <v>59964.49</v>
      </c>
    </row>
    <row r="54" spans="1:3" x14ac:dyDescent="0.25">
      <c r="A54" s="793">
        <v>23100</v>
      </c>
      <c r="B54" s="792" t="s">
        <v>844</v>
      </c>
      <c r="C54" s="794">
        <v>357427.9</v>
      </c>
    </row>
    <row r="55" spans="1:3" x14ac:dyDescent="0.25">
      <c r="A55" s="793">
        <v>23200</v>
      </c>
      <c r="B55" s="792" t="s">
        <v>845</v>
      </c>
      <c r="C55" s="794">
        <v>189830.12</v>
      </c>
    </row>
    <row r="56" spans="1:3" x14ac:dyDescent="0.25">
      <c r="A56" s="793">
        <v>30000</v>
      </c>
      <c r="B56" s="792" t="s">
        <v>846</v>
      </c>
      <c r="C56" s="794">
        <v>19327.810000000001</v>
      </c>
    </row>
    <row r="57" spans="1:3" x14ac:dyDescent="0.25">
      <c r="A57" s="793">
        <v>30100</v>
      </c>
      <c r="B57" s="792" t="s">
        <v>847</v>
      </c>
      <c r="C57" s="794">
        <v>163816.6</v>
      </c>
    </row>
    <row r="58" spans="1:3" x14ac:dyDescent="0.25">
      <c r="A58" s="793">
        <v>30102</v>
      </c>
      <c r="B58" s="792" t="s">
        <v>848</v>
      </c>
      <c r="C58" s="794">
        <v>3008.92</v>
      </c>
    </row>
    <row r="59" spans="1:3" x14ac:dyDescent="0.25">
      <c r="A59" s="793">
        <v>30103</v>
      </c>
      <c r="B59" s="792" t="s">
        <v>849</v>
      </c>
      <c r="C59" s="794">
        <v>3902.82</v>
      </c>
    </row>
    <row r="60" spans="1:3" x14ac:dyDescent="0.25">
      <c r="A60" s="793">
        <v>30104</v>
      </c>
      <c r="B60" s="792" t="s">
        <v>850</v>
      </c>
      <c r="C60" s="794">
        <v>2031.02</v>
      </c>
    </row>
    <row r="61" spans="1:3" x14ac:dyDescent="0.25">
      <c r="A61" s="793">
        <v>30105</v>
      </c>
      <c r="B61" s="792" t="s">
        <v>851</v>
      </c>
      <c r="C61" s="794">
        <v>19644.28</v>
      </c>
    </row>
    <row r="62" spans="1:3" x14ac:dyDescent="0.25">
      <c r="A62" s="793">
        <v>30200</v>
      </c>
      <c r="B62" s="792" t="s">
        <v>852</v>
      </c>
      <c r="C62" s="794">
        <v>39423.050000000003</v>
      </c>
    </row>
    <row r="63" spans="1:3" x14ac:dyDescent="0.25">
      <c r="A63" s="793">
        <v>30300</v>
      </c>
      <c r="B63" s="792" t="s">
        <v>853</v>
      </c>
      <c r="C63" s="794">
        <v>12900.96</v>
      </c>
    </row>
    <row r="64" spans="1:3" x14ac:dyDescent="0.25">
      <c r="A64" s="793">
        <v>30400</v>
      </c>
      <c r="B64" s="792" t="s">
        <v>854</v>
      </c>
      <c r="C64" s="794">
        <v>25796.41</v>
      </c>
    </row>
    <row r="65" spans="1:3" x14ac:dyDescent="0.25">
      <c r="A65" s="793">
        <v>30405</v>
      </c>
      <c r="B65" s="792" t="s">
        <v>855</v>
      </c>
      <c r="C65" s="794">
        <v>15214.13</v>
      </c>
    </row>
    <row r="66" spans="1:3" x14ac:dyDescent="0.25">
      <c r="A66" s="793">
        <v>30500</v>
      </c>
      <c r="B66" s="792" t="s">
        <v>856</v>
      </c>
      <c r="C66" s="794">
        <v>25851.759999999998</v>
      </c>
    </row>
    <row r="67" spans="1:3" x14ac:dyDescent="0.25">
      <c r="A67" s="793">
        <v>30600</v>
      </c>
      <c r="B67" s="792" t="s">
        <v>857</v>
      </c>
      <c r="C67" s="794">
        <v>19529.38</v>
      </c>
    </row>
    <row r="68" spans="1:3" x14ac:dyDescent="0.25">
      <c r="A68" s="793">
        <v>30601</v>
      </c>
      <c r="B68" s="792" t="s">
        <v>858</v>
      </c>
      <c r="C68" s="794">
        <v>435.28</v>
      </c>
    </row>
    <row r="69" spans="1:3" x14ac:dyDescent="0.25">
      <c r="A69" s="793">
        <v>30700</v>
      </c>
      <c r="B69" s="792" t="s">
        <v>859</v>
      </c>
      <c r="C69" s="794">
        <v>52053.19</v>
      </c>
    </row>
    <row r="70" spans="1:3" x14ac:dyDescent="0.25">
      <c r="A70" s="793">
        <v>30705</v>
      </c>
      <c r="B70" s="792" t="s">
        <v>860</v>
      </c>
      <c r="C70" s="794">
        <v>9838.32</v>
      </c>
    </row>
    <row r="71" spans="1:3" x14ac:dyDescent="0.25">
      <c r="A71" s="793">
        <v>30800</v>
      </c>
      <c r="B71" s="792" t="s">
        <v>861</v>
      </c>
      <c r="C71" s="794">
        <v>18672.650000000001</v>
      </c>
    </row>
    <row r="72" spans="1:3" x14ac:dyDescent="0.25">
      <c r="A72" s="793">
        <v>30900</v>
      </c>
      <c r="B72" s="792" t="s">
        <v>862</v>
      </c>
      <c r="C72" s="794">
        <v>35668.74</v>
      </c>
    </row>
    <row r="73" spans="1:3" x14ac:dyDescent="0.25">
      <c r="A73" s="793">
        <v>30905</v>
      </c>
      <c r="B73" s="792" t="s">
        <v>863</v>
      </c>
      <c r="C73" s="794">
        <v>8331.9699999999993</v>
      </c>
    </row>
    <row r="74" spans="1:3" x14ac:dyDescent="0.25">
      <c r="A74" s="793">
        <v>31000</v>
      </c>
      <c r="B74" s="792" t="s">
        <v>864</v>
      </c>
      <c r="C74" s="794">
        <v>99321.600000000006</v>
      </c>
    </row>
    <row r="75" spans="1:3" x14ac:dyDescent="0.25">
      <c r="A75" s="793">
        <v>31005</v>
      </c>
      <c r="B75" s="792" t="s">
        <v>865</v>
      </c>
      <c r="C75" s="794">
        <v>10639.06</v>
      </c>
    </row>
    <row r="76" spans="1:3" x14ac:dyDescent="0.25">
      <c r="A76" s="793">
        <v>31100</v>
      </c>
      <c r="B76" s="792" t="s">
        <v>866</v>
      </c>
      <c r="C76" s="794">
        <v>202327.4</v>
      </c>
    </row>
    <row r="77" spans="1:3" x14ac:dyDescent="0.25">
      <c r="A77" s="793">
        <v>31101</v>
      </c>
      <c r="B77" s="792" t="s">
        <v>867</v>
      </c>
      <c r="C77" s="794">
        <v>1139.1099999999999</v>
      </c>
    </row>
    <row r="78" spans="1:3" x14ac:dyDescent="0.25">
      <c r="A78" s="793">
        <v>31102</v>
      </c>
      <c r="B78" s="792" t="s">
        <v>868</v>
      </c>
      <c r="C78" s="794">
        <v>2989.7</v>
      </c>
    </row>
    <row r="79" spans="1:3" x14ac:dyDescent="0.25">
      <c r="A79" s="793">
        <v>31105</v>
      </c>
      <c r="B79" s="792" t="s">
        <v>869</v>
      </c>
      <c r="C79" s="794">
        <v>34129.449999999997</v>
      </c>
    </row>
    <row r="80" spans="1:3" x14ac:dyDescent="0.25">
      <c r="A80" s="793">
        <v>31110</v>
      </c>
      <c r="B80" s="792" t="s">
        <v>870</v>
      </c>
      <c r="C80" s="794">
        <v>45772.91</v>
      </c>
    </row>
    <row r="81" spans="1:3" x14ac:dyDescent="0.25">
      <c r="A81" s="793">
        <v>31200</v>
      </c>
      <c r="B81" s="792" t="s">
        <v>871</v>
      </c>
      <c r="C81" s="794">
        <v>89574.45</v>
      </c>
    </row>
    <row r="82" spans="1:3" x14ac:dyDescent="0.25">
      <c r="A82" s="793">
        <v>31205</v>
      </c>
      <c r="B82" s="792" t="s">
        <v>872</v>
      </c>
      <c r="C82" s="794">
        <v>11994.65</v>
      </c>
    </row>
    <row r="83" spans="1:3" x14ac:dyDescent="0.25">
      <c r="A83" s="793">
        <v>31300</v>
      </c>
      <c r="B83" s="792" t="s">
        <v>873</v>
      </c>
      <c r="C83" s="794">
        <v>230920.1</v>
      </c>
    </row>
    <row r="84" spans="1:3" x14ac:dyDescent="0.25">
      <c r="A84" s="793">
        <v>31301</v>
      </c>
      <c r="B84" s="792" t="s">
        <v>874</v>
      </c>
      <c r="C84" s="794">
        <v>5063.05</v>
      </c>
    </row>
    <row r="85" spans="1:3" x14ac:dyDescent="0.25">
      <c r="A85" s="793">
        <v>31320</v>
      </c>
      <c r="B85" s="792" t="s">
        <v>875</v>
      </c>
      <c r="C85" s="794">
        <v>41105.01</v>
      </c>
    </row>
    <row r="86" spans="1:3" x14ac:dyDescent="0.25">
      <c r="A86" s="793">
        <v>31400</v>
      </c>
      <c r="B86" s="792" t="s">
        <v>876</v>
      </c>
      <c r="C86" s="794">
        <v>94519.11</v>
      </c>
    </row>
    <row r="87" spans="1:3" x14ac:dyDescent="0.25">
      <c r="A87" s="793">
        <v>31405</v>
      </c>
      <c r="B87" s="792" t="s">
        <v>877</v>
      </c>
      <c r="C87" s="794">
        <v>21313.64</v>
      </c>
    </row>
    <row r="88" spans="1:3" x14ac:dyDescent="0.25">
      <c r="A88" s="793">
        <v>31500</v>
      </c>
      <c r="B88" s="792" t="s">
        <v>878</v>
      </c>
      <c r="C88" s="794">
        <v>15117.63</v>
      </c>
    </row>
    <row r="89" spans="1:3" x14ac:dyDescent="0.25">
      <c r="A89" s="793">
        <v>31600</v>
      </c>
      <c r="B89" s="792" t="s">
        <v>879</v>
      </c>
      <c r="C89" s="794">
        <v>65811.490000000005</v>
      </c>
    </row>
    <row r="90" spans="1:3" x14ac:dyDescent="0.25">
      <c r="A90" s="793">
        <v>31605</v>
      </c>
      <c r="B90" s="792" t="s">
        <v>881</v>
      </c>
      <c r="C90" s="794">
        <v>10696.91</v>
      </c>
    </row>
    <row r="91" spans="1:3" x14ac:dyDescent="0.25">
      <c r="A91" s="793">
        <v>31700</v>
      </c>
      <c r="B91" s="792" t="s">
        <v>882</v>
      </c>
      <c r="C91" s="794">
        <v>21188.46</v>
      </c>
    </row>
    <row r="92" spans="1:3" x14ac:dyDescent="0.25">
      <c r="A92" s="793">
        <v>31800</v>
      </c>
      <c r="B92" s="792" t="s">
        <v>883</v>
      </c>
      <c r="C92" s="794">
        <v>117440.43</v>
      </c>
    </row>
    <row r="93" spans="1:3" x14ac:dyDescent="0.25">
      <c r="A93" s="793">
        <v>31805</v>
      </c>
      <c r="B93" s="792" t="s">
        <v>884</v>
      </c>
      <c r="C93" s="794">
        <v>26091.96</v>
      </c>
    </row>
    <row r="94" spans="1:3" x14ac:dyDescent="0.25">
      <c r="A94" s="793">
        <v>31810</v>
      </c>
      <c r="B94" s="792" t="s">
        <v>885</v>
      </c>
      <c r="C94" s="794">
        <v>30653.01</v>
      </c>
    </row>
    <row r="95" spans="1:3" x14ac:dyDescent="0.25">
      <c r="A95" s="793">
        <v>31820</v>
      </c>
      <c r="B95" s="792" t="s">
        <v>886</v>
      </c>
      <c r="C95" s="794">
        <v>24796.81</v>
      </c>
    </row>
    <row r="96" spans="1:3" x14ac:dyDescent="0.25">
      <c r="A96" s="793">
        <v>31900</v>
      </c>
      <c r="B96" s="792" t="s">
        <v>887</v>
      </c>
      <c r="C96" s="794">
        <v>72066.710000000006</v>
      </c>
    </row>
    <row r="97" spans="1:3" x14ac:dyDescent="0.25">
      <c r="A97" s="793">
        <v>32000</v>
      </c>
      <c r="B97" s="792" t="s">
        <v>888</v>
      </c>
      <c r="C97" s="794">
        <v>29494.37</v>
      </c>
    </row>
    <row r="98" spans="1:3" x14ac:dyDescent="0.25">
      <c r="A98" s="793">
        <v>32005</v>
      </c>
      <c r="B98" s="792" t="s">
        <v>889</v>
      </c>
      <c r="C98" s="794">
        <v>7041.45</v>
      </c>
    </row>
    <row r="99" spans="1:3" x14ac:dyDescent="0.25">
      <c r="A99" s="793">
        <v>32100</v>
      </c>
      <c r="B99" s="792" t="s">
        <v>890</v>
      </c>
      <c r="C99" s="794">
        <v>17862.77</v>
      </c>
    </row>
    <row r="100" spans="1:3" x14ac:dyDescent="0.25">
      <c r="A100" s="793">
        <v>32200</v>
      </c>
      <c r="B100" s="792" t="s">
        <v>891</v>
      </c>
      <c r="C100" s="794">
        <v>11496.34</v>
      </c>
    </row>
    <row r="101" spans="1:3" x14ac:dyDescent="0.25">
      <c r="A101" s="793">
        <v>32300</v>
      </c>
      <c r="B101" s="792" t="s">
        <v>892</v>
      </c>
      <c r="C101" s="794">
        <v>119569.19</v>
      </c>
    </row>
    <row r="102" spans="1:3" x14ac:dyDescent="0.25">
      <c r="A102" s="793">
        <v>32305</v>
      </c>
      <c r="B102" s="792" t="s">
        <v>1548</v>
      </c>
      <c r="C102" s="794">
        <v>13722.91</v>
      </c>
    </row>
    <row r="103" spans="1:3" x14ac:dyDescent="0.25">
      <c r="A103" s="793">
        <v>32400</v>
      </c>
      <c r="B103" s="792" t="s">
        <v>894</v>
      </c>
      <c r="C103" s="794">
        <v>45619.62</v>
      </c>
    </row>
    <row r="104" spans="1:3" x14ac:dyDescent="0.25">
      <c r="A104" s="793">
        <v>32405</v>
      </c>
      <c r="B104" s="792" t="s">
        <v>895</v>
      </c>
      <c r="C104" s="794">
        <v>12581.54</v>
      </c>
    </row>
    <row r="105" spans="1:3" x14ac:dyDescent="0.25">
      <c r="A105" s="793">
        <v>32410</v>
      </c>
      <c r="B105" s="792" t="s">
        <v>896</v>
      </c>
      <c r="C105" s="794">
        <v>18276.740000000002</v>
      </c>
    </row>
    <row r="106" spans="1:3" x14ac:dyDescent="0.25">
      <c r="A106" s="793">
        <v>32500</v>
      </c>
      <c r="B106" s="792" t="s">
        <v>1549</v>
      </c>
      <c r="C106" s="794">
        <v>98116.06</v>
      </c>
    </row>
    <row r="107" spans="1:3" x14ac:dyDescent="0.25">
      <c r="A107" s="793">
        <v>32505</v>
      </c>
      <c r="B107" s="792" t="s">
        <v>899</v>
      </c>
      <c r="C107" s="794">
        <v>16109.54</v>
      </c>
    </row>
    <row r="108" spans="1:3" x14ac:dyDescent="0.25">
      <c r="A108" s="793">
        <v>32600</v>
      </c>
      <c r="B108" s="792" t="s">
        <v>900</v>
      </c>
      <c r="C108" s="794">
        <v>356002.47</v>
      </c>
    </row>
    <row r="109" spans="1:3" x14ac:dyDescent="0.25">
      <c r="A109" s="793">
        <v>32605</v>
      </c>
      <c r="B109" s="792" t="s">
        <v>901</v>
      </c>
      <c r="C109" s="794">
        <v>56796.81</v>
      </c>
    </row>
    <row r="110" spans="1:3" x14ac:dyDescent="0.25">
      <c r="A110" s="793">
        <v>32700</v>
      </c>
      <c r="B110" s="792" t="s">
        <v>902</v>
      </c>
      <c r="C110" s="794">
        <v>32650.06</v>
      </c>
    </row>
    <row r="111" spans="1:3" x14ac:dyDescent="0.25">
      <c r="A111" s="793">
        <v>32800</v>
      </c>
      <c r="B111" s="792" t="s">
        <v>903</v>
      </c>
      <c r="C111" s="794">
        <v>48787.31</v>
      </c>
    </row>
    <row r="112" spans="1:3" x14ac:dyDescent="0.25">
      <c r="A112" s="793">
        <v>32900</v>
      </c>
      <c r="B112" s="792" t="s">
        <v>904</v>
      </c>
      <c r="C112" s="794">
        <v>131397.47</v>
      </c>
    </row>
    <row r="113" spans="1:3" x14ac:dyDescent="0.25">
      <c r="A113" s="793">
        <v>32901</v>
      </c>
      <c r="B113" s="792" t="s">
        <v>1550</v>
      </c>
      <c r="C113" s="794">
        <v>2884.59</v>
      </c>
    </row>
    <row r="114" spans="1:3" x14ac:dyDescent="0.25">
      <c r="A114" s="793">
        <v>32905</v>
      </c>
      <c r="B114" s="792" t="s">
        <v>906</v>
      </c>
      <c r="C114" s="794">
        <v>20499.86</v>
      </c>
    </row>
    <row r="115" spans="1:3" x14ac:dyDescent="0.25">
      <c r="A115" s="793">
        <v>32910</v>
      </c>
      <c r="B115" s="792" t="s">
        <v>907</v>
      </c>
      <c r="C115" s="794">
        <v>25878.95</v>
      </c>
    </row>
    <row r="116" spans="1:3" x14ac:dyDescent="0.25">
      <c r="A116" s="793">
        <v>32920</v>
      </c>
      <c r="B116" s="792" t="s">
        <v>908</v>
      </c>
      <c r="C116" s="794">
        <v>20421.93</v>
      </c>
    </row>
    <row r="117" spans="1:3" x14ac:dyDescent="0.25">
      <c r="A117" s="793">
        <v>33000</v>
      </c>
      <c r="B117" s="792" t="s">
        <v>909</v>
      </c>
      <c r="C117" s="794">
        <v>48663.08</v>
      </c>
    </row>
    <row r="118" spans="1:3" x14ac:dyDescent="0.25">
      <c r="A118" s="793">
        <v>33001</v>
      </c>
      <c r="B118" s="792" t="s">
        <v>910</v>
      </c>
      <c r="C118" s="794">
        <v>1379.98</v>
      </c>
    </row>
    <row r="119" spans="1:3" x14ac:dyDescent="0.25">
      <c r="A119" s="793">
        <v>33027</v>
      </c>
      <c r="B119" s="792" t="s">
        <v>911</v>
      </c>
      <c r="C119" s="794">
        <v>5248.73</v>
      </c>
    </row>
    <row r="120" spans="1:3" x14ac:dyDescent="0.25">
      <c r="A120" s="793">
        <v>33100</v>
      </c>
      <c r="B120" s="792" t="s">
        <v>912</v>
      </c>
      <c r="C120" s="794">
        <v>70803.960000000006</v>
      </c>
    </row>
    <row r="121" spans="1:3" x14ac:dyDescent="0.25">
      <c r="A121" s="793">
        <v>33105</v>
      </c>
      <c r="B121" s="792" t="s">
        <v>913</v>
      </c>
      <c r="C121" s="794">
        <v>8341.7199999999993</v>
      </c>
    </row>
    <row r="122" spans="1:3" x14ac:dyDescent="0.25">
      <c r="A122" s="793">
        <v>33200</v>
      </c>
      <c r="B122" s="792" t="s">
        <v>914</v>
      </c>
      <c r="C122" s="794">
        <v>298924</v>
      </c>
    </row>
    <row r="123" spans="1:3" x14ac:dyDescent="0.25">
      <c r="A123" s="793">
        <v>33202</v>
      </c>
      <c r="B123" s="792" t="s">
        <v>915</v>
      </c>
      <c r="C123" s="794">
        <v>4374.8900000000003</v>
      </c>
    </row>
    <row r="124" spans="1:3" x14ac:dyDescent="0.25">
      <c r="A124" s="793">
        <v>33203</v>
      </c>
      <c r="B124" s="792" t="s">
        <v>916</v>
      </c>
      <c r="C124" s="794">
        <v>2217.8000000000002</v>
      </c>
    </row>
    <row r="125" spans="1:3" x14ac:dyDescent="0.25">
      <c r="A125" s="793">
        <v>33204</v>
      </c>
      <c r="B125" s="792" t="s">
        <v>917</v>
      </c>
      <c r="C125" s="794">
        <v>6997.08</v>
      </c>
    </row>
    <row r="126" spans="1:3" x14ac:dyDescent="0.25">
      <c r="A126" s="793">
        <v>33205</v>
      </c>
      <c r="B126" s="792" t="s">
        <v>918</v>
      </c>
      <c r="C126" s="794">
        <v>26549.61</v>
      </c>
    </row>
    <row r="127" spans="1:3" x14ac:dyDescent="0.25">
      <c r="A127" s="793">
        <v>33206</v>
      </c>
      <c r="B127" s="792" t="s">
        <v>919</v>
      </c>
      <c r="C127" s="794">
        <v>2389.87</v>
      </c>
    </row>
    <row r="128" spans="1:3" x14ac:dyDescent="0.25">
      <c r="A128" s="793">
        <v>33207</v>
      </c>
      <c r="B128" s="792" t="s">
        <v>1134</v>
      </c>
      <c r="C128" s="794">
        <v>5360.92</v>
      </c>
    </row>
    <row r="129" spans="1:3" x14ac:dyDescent="0.25">
      <c r="A129" s="793">
        <v>33208</v>
      </c>
      <c r="B129" s="792" t="s">
        <v>1135</v>
      </c>
      <c r="C129" s="794">
        <v>0</v>
      </c>
    </row>
    <row r="130" spans="1:3" x14ac:dyDescent="0.25">
      <c r="A130" s="793">
        <v>33209</v>
      </c>
      <c r="B130" s="792" t="s">
        <v>1136</v>
      </c>
      <c r="C130" s="794">
        <v>1948.07</v>
      </c>
    </row>
    <row r="131" spans="1:3" x14ac:dyDescent="0.25">
      <c r="A131" s="793">
        <v>33300</v>
      </c>
      <c r="B131" s="792" t="s">
        <v>920</v>
      </c>
      <c r="C131" s="794">
        <v>46439.7</v>
      </c>
    </row>
    <row r="132" spans="1:3" x14ac:dyDescent="0.25">
      <c r="A132" s="793">
        <v>33305</v>
      </c>
      <c r="B132" s="792" t="s">
        <v>921</v>
      </c>
      <c r="C132" s="794">
        <v>13626.79</v>
      </c>
    </row>
    <row r="133" spans="1:3" x14ac:dyDescent="0.25">
      <c r="A133" s="793">
        <v>33400</v>
      </c>
      <c r="B133" s="792" t="s">
        <v>922</v>
      </c>
      <c r="C133" s="794">
        <v>422751.85</v>
      </c>
    </row>
    <row r="134" spans="1:3" x14ac:dyDescent="0.25">
      <c r="A134" s="793">
        <v>33402</v>
      </c>
      <c r="B134" s="792" t="s">
        <v>923</v>
      </c>
      <c r="C134" s="794">
        <v>3030.38</v>
      </c>
    </row>
    <row r="135" spans="1:3" x14ac:dyDescent="0.25">
      <c r="A135" s="793">
        <v>33405</v>
      </c>
      <c r="B135" s="792" t="s">
        <v>925</v>
      </c>
      <c r="C135" s="794">
        <v>41479.89</v>
      </c>
    </row>
    <row r="136" spans="1:3" x14ac:dyDescent="0.25">
      <c r="A136" s="793">
        <v>33500</v>
      </c>
      <c r="B136" s="792" t="s">
        <v>926</v>
      </c>
      <c r="C136" s="794">
        <v>60620.38</v>
      </c>
    </row>
    <row r="137" spans="1:3" x14ac:dyDescent="0.25">
      <c r="A137" s="793">
        <v>33501</v>
      </c>
      <c r="B137" s="792" t="s">
        <v>927</v>
      </c>
      <c r="C137" s="794">
        <v>1393.1</v>
      </c>
    </row>
    <row r="138" spans="1:3" x14ac:dyDescent="0.25">
      <c r="A138" s="793">
        <v>33600</v>
      </c>
      <c r="B138" s="792" t="s">
        <v>928</v>
      </c>
      <c r="C138" s="794">
        <v>219718.79</v>
      </c>
    </row>
    <row r="139" spans="1:3" x14ac:dyDescent="0.25">
      <c r="A139" s="793">
        <v>33605</v>
      </c>
      <c r="B139" s="792" t="s">
        <v>929</v>
      </c>
      <c r="C139" s="794">
        <v>31448.35</v>
      </c>
    </row>
    <row r="140" spans="1:3" x14ac:dyDescent="0.25">
      <c r="A140" s="793">
        <v>33700</v>
      </c>
      <c r="B140" s="792" t="s">
        <v>930</v>
      </c>
      <c r="C140" s="794">
        <v>15328.92</v>
      </c>
    </row>
    <row r="141" spans="1:3" x14ac:dyDescent="0.25">
      <c r="A141" s="793">
        <v>33800</v>
      </c>
      <c r="B141" s="792" t="s">
        <v>931</v>
      </c>
      <c r="C141" s="794">
        <v>11343.47</v>
      </c>
    </row>
    <row r="142" spans="1:3" x14ac:dyDescent="0.25">
      <c r="A142" s="793">
        <v>33900</v>
      </c>
      <c r="B142" s="792" t="s">
        <v>932</v>
      </c>
      <c r="C142" s="794">
        <v>58633.54</v>
      </c>
    </row>
    <row r="143" spans="1:3" x14ac:dyDescent="0.25">
      <c r="A143" s="793">
        <v>34000</v>
      </c>
      <c r="B143" s="792" t="s">
        <v>933</v>
      </c>
      <c r="C143" s="794">
        <v>25174.39</v>
      </c>
    </row>
    <row r="144" spans="1:3" x14ac:dyDescent="0.25">
      <c r="A144" s="793">
        <v>34100</v>
      </c>
      <c r="B144" s="792" t="s">
        <v>934</v>
      </c>
      <c r="C144" s="794">
        <v>562049.1</v>
      </c>
    </row>
    <row r="145" spans="1:3" x14ac:dyDescent="0.25">
      <c r="A145" s="793">
        <v>34105</v>
      </c>
      <c r="B145" s="792" t="s">
        <v>935</v>
      </c>
      <c r="C145" s="794">
        <v>52033.79</v>
      </c>
    </row>
    <row r="146" spans="1:3" x14ac:dyDescent="0.25">
      <c r="A146" s="793">
        <v>34200</v>
      </c>
      <c r="B146" s="792" t="s">
        <v>936</v>
      </c>
      <c r="C146" s="794">
        <v>21537</v>
      </c>
    </row>
    <row r="147" spans="1:3" x14ac:dyDescent="0.25">
      <c r="A147" s="793">
        <v>34205</v>
      </c>
      <c r="B147" s="792" t="s">
        <v>937</v>
      </c>
      <c r="C147" s="794">
        <v>9449.74</v>
      </c>
    </row>
    <row r="148" spans="1:3" x14ac:dyDescent="0.25">
      <c r="A148" s="793">
        <v>34220</v>
      </c>
      <c r="B148" s="792" t="s">
        <v>938</v>
      </c>
      <c r="C148" s="794">
        <v>23654.34</v>
      </c>
    </row>
    <row r="149" spans="1:3" x14ac:dyDescent="0.25">
      <c r="A149" s="793">
        <v>34230</v>
      </c>
      <c r="B149" s="792" t="s">
        <v>939</v>
      </c>
      <c r="C149" s="794">
        <v>9105.5400000000009</v>
      </c>
    </row>
    <row r="150" spans="1:3" x14ac:dyDescent="0.25">
      <c r="A150" s="793">
        <v>34300</v>
      </c>
      <c r="B150" s="792" t="s">
        <v>940</v>
      </c>
      <c r="C150" s="794">
        <v>139992.67000000001</v>
      </c>
    </row>
    <row r="151" spans="1:3" x14ac:dyDescent="0.25">
      <c r="A151" s="793">
        <v>34400</v>
      </c>
      <c r="B151" s="792" t="s">
        <v>941</v>
      </c>
      <c r="C151" s="794">
        <v>55882.44</v>
      </c>
    </row>
    <row r="152" spans="1:3" x14ac:dyDescent="0.25">
      <c r="A152" s="793">
        <v>34405</v>
      </c>
      <c r="B152" s="792" t="s">
        <v>942</v>
      </c>
      <c r="C152" s="794">
        <v>11581.78</v>
      </c>
    </row>
    <row r="153" spans="1:3" x14ac:dyDescent="0.25">
      <c r="A153" s="793">
        <v>34500</v>
      </c>
      <c r="B153" s="792" t="s">
        <v>943</v>
      </c>
      <c r="C153" s="794">
        <v>100808.21</v>
      </c>
    </row>
    <row r="154" spans="1:3" x14ac:dyDescent="0.25">
      <c r="A154" s="793">
        <v>34501</v>
      </c>
      <c r="B154" s="792" t="s">
        <v>944</v>
      </c>
      <c r="C154" s="794">
        <v>1214.78</v>
      </c>
    </row>
    <row r="155" spans="1:3" x14ac:dyDescent="0.25">
      <c r="A155" s="793">
        <v>34505</v>
      </c>
      <c r="B155" s="792" t="s">
        <v>945</v>
      </c>
      <c r="C155" s="794">
        <v>14515.16</v>
      </c>
    </row>
    <row r="156" spans="1:3" x14ac:dyDescent="0.25">
      <c r="A156" s="793">
        <v>34600</v>
      </c>
      <c r="B156" s="792" t="s">
        <v>946</v>
      </c>
      <c r="C156" s="794">
        <v>25406.75</v>
      </c>
    </row>
    <row r="157" spans="1:3" x14ac:dyDescent="0.25">
      <c r="A157" s="793">
        <v>34605</v>
      </c>
      <c r="B157" s="792" t="s">
        <v>947</v>
      </c>
      <c r="C157" s="794">
        <v>5116.97</v>
      </c>
    </row>
    <row r="158" spans="1:3" x14ac:dyDescent="0.25">
      <c r="A158" s="793">
        <v>34700</v>
      </c>
      <c r="B158" s="792" t="s">
        <v>948</v>
      </c>
      <c r="C158" s="794">
        <v>61224.69</v>
      </c>
    </row>
    <row r="159" spans="1:3" x14ac:dyDescent="0.25">
      <c r="A159" s="793">
        <v>34800</v>
      </c>
      <c r="B159" s="792" t="s">
        <v>949</v>
      </c>
      <c r="C159" s="794">
        <v>7898.95</v>
      </c>
    </row>
    <row r="160" spans="1:3" x14ac:dyDescent="0.25">
      <c r="A160" s="793">
        <v>34900</v>
      </c>
      <c r="B160" s="792" t="s">
        <v>1551</v>
      </c>
      <c r="C160" s="794">
        <v>146047.81</v>
      </c>
    </row>
    <row r="161" spans="1:3" x14ac:dyDescent="0.25">
      <c r="A161" s="793">
        <v>34901</v>
      </c>
      <c r="B161" s="792" t="s">
        <v>1552</v>
      </c>
      <c r="C161" s="794">
        <v>3297.84</v>
      </c>
    </row>
    <row r="162" spans="1:3" x14ac:dyDescent="0.25">
      <c r="A162" s="793">
        <v>34903</v>
      </c>
      <c r="B162" s="792" t="s">
        <v>952</v>
      </c>
      <c r="C162" s="794">
        <v>335.03</v>
      </c>
    </row>
    <row r="163" spans="1:3" x14ac:dyDescent="0.25">
      <c r="A163" s="793">
        <v>34905</v>
      </c>
      <c r="B163" s="792" t="s">
        <v>953</v>
      </c>
      <c r="C163" s="794">
        <v>14529.35</v>
      </c>
    </row>
    <row r="164" spans="1:3" x14ac:dyDescent="0.25">
      <c r="A164" s="793">
        <v>34910</v>
      </c>
      <c r="B164" s="792" t="s">
        <v>954</v>
      </c>
      <c r="C164" s="794">
        <v>44300.93</v>
      </c>
    </row>
    <row r="165" spans="1:3" x14ac:dyDescent="0.25">
      <c r="A165" s="793">
        <v>35000</v>
      </c>
      <c r="B165" s="792" t="s">
        <v>955</v>
      </c>
      <c r="C165" s="794">
        <v>29467.55</v>
      </c>
    </row>
    <row r="166" spans="1:3" x14ac:dyDescent="0.25">
      <c r="A166" s="793">
        <v>35005</v>
      </c>
      <c r="B166" s="792" t="s">
        <v>956</v>
      </c>
      <c r="C166" s="794">
        <v>14623.12</v>
      </c>
    </row>
    <row r="167" spans="1:3" x14ac:dyDescent="0.25">
      <c r="A167" s="793">
        <v>35100</v>
      </c>
      <c r="B167" s="792" t="s">
        <v>957</v>
      </c>
      <c r="C167" s="794">
        <v>256876.2</v>
      </c>
    </row>
    <row r="168" spans="1:3" x14ac:dyDescent="0.25">
      <c r="A168" s="793">
        <v>35105</v>
      </c>
      <c r="B168" s="792" t="s">
        <v>958</v>
      </c>
      <c r="C168" s="794">
        <v>23308.02</v>
      </c>
    </row>
    <row r="169" spans="1:3" x14ac:dyDescent="0.25">
      <c r="A169" s="793">
        <v>35106</v>
      </c>
      <c r="B169" s="792" t="s">
        <v>959</v>
      </c>
      <c r="C169" s="794">
        <v>4984.01</v>
      </c>
    </row>
    <row r="170" spans="1:3" x14ac:dyDescent="0.25">
      <c r="A170" s="793">
        <v>35200</v>
      </c>
      <c r="B170" s="792" t="s">
        <v>960</v>
      </c>
      <c r="C170" s="794">
        <v>12191.99</v>
      </c>
    </row>
    <row r="171" spans="1:3" x14ac:dyDescent="0.25">
      <c r="A171" s="793">
        <v>35300</v>
      </c>
      <c r="B171" s="792" t="s">
        <v>961</v>
      </c>
      <c r="C171" s="794">
        <v>76794.36</v>
      </c>
    </row>
    <row r="172" spans="1:3" x14ac:dyDescent="0.25">
      <c r="A172" s="793">
        <v>35305</v>
      </c>
      <c r="B172" s="792" t="s">
        <v>962</v>
      </c>
      <c r="C172" s="794">
        <v>30341.91</v>
      </c>
    </row>
    <row r="173" spans="1:3" x14ac:dyDescent="0.25">
      <c r="A173" s="793">
        <v>35400</v>
      </c>
      <c r="B173" s="792" t="s">
        <v>963</v>
      </c>
      <c r="C173" s="794">
        <v>60807.69</v>
      </c>
    </row>
    <row r="174" spans="1:3" x14ac:dyDescent="0.25">
      <c r="A174" s="793">
        <v>35401</v>
      </c>
      <c r="B174" s="792" t="s">
        <v>964</v>
      </c>
      <c r="C174" s="794">
        <v>622.36</v>
      </c>
    </row>
    <row r="175" spans="1:3" x14ac:dyDescent="0.25">
      <c r="A175" s="793">
        <v>35405</v>
      </c>
      <c r="B175" s="792" t="s">
        <v>966</v>
      </c>
      <c r="C175" s="794">
        <v>20307.560000000001</v>
      </c>
    </row>
    <row r="176" spans="1:3" x14ac:dyDescent="0.25">
      <c r="A176" s="793">
        <v>35500</v>
      </c>
      <c r="B176" s="792" t="s">
        <v>967</v>
      </c>
      <c r="C176" s="794">
        <v>79796.19</v>
      </c>
    </row>
    <row r="177" spans="1:3" x14ac:dyDescent="0.25">
      <c r="A177" s="793">
        <v>35600</v>
      </c>
      <c r="B177" s="792" t="s">
        <v>968</v>
      </c>
      <c r="C177" s="794">
        <v>34757.300000000003</v>
      </c>
    </row>
    <row r="178" spans="1:3" x14ac:dyDescent="0.25">
      <c r="A178" s="793">
        <v>35700</v>
      </c>
      <c r="B178" s="792" t="s">
        <v>969</v>
      </c>
      <c r="C178" s="794">
        <v>19063.43</v>
      </c>
    </row>
    <row r="179" spans="1:3" x14ac:dyDescent="0.25">
      <c r="A179" s="793">
        <v>35800</v>
      </c>
      <c r="B179" s="792" t="s">
        <v>970</v>
      </c>
      <c r="C179" s="794">
        <v>28633.89</v>
      </c>
    </row>
    <row r="180" spans="1:3" x14ac:dyDescent="0.25">
      <c r="A180" s="793">
        <v>35805</v>
      </c>
      <c r="B180" s="792" t="s">
        <v>971</v>
      </c>
      <c r="C180" s="794">
        <v>5990.08</v>
      </c>
    </row>
    <row r="181" spans="1:3" x14ac:dyDescent="0.25">
      <c r="A181" s="793">
        <v>35900</v>
      </c>
      <c r="B181" s="792" t="s">
        <v>972</v>
      </c>
      <c r="C181" s="794">
        <v>49712.93</v>
      </c>
    </row>
    <row r="182" spans="1:3" x14ac:dyDescent="0.25">
      <c r="A182" s="793">
        <v>35905</v>
      </c>
      <c r="B182" s="792" t="s">
        <v>973</v>
      </c>
      <c r="C182" s="794">
        <v>7925.57</v>
      </c>
    </row>
    <row r="183" spans="1:3" x14ac:dyDescent="0.25">
      <c r="A183" s="793">
        <v>36000</v>
      </c>
      <c r="B183" s="792" t="s">
        <v>974</v>
      </c>
      <c r="C183" s="794">
        <v>1132732.6200000001</v>
      </c>
    </row>
    <row r="184" spans="1:3" x14ac:dyDescent="0.25">
      <c r="A184" s="793">
        <v>36001</v>
      </c>
      <c r="B184" s="792" t="s">
        <v>975</v>
      </c>
      <c r="C184" s="794">
        <v>0</v>
      </c>
    </row>
    <row r="185" spans="1:3" x14ac:dyDescent="0.25">
      <c r="A185" s="793">
        <v>36003</v>
      </c>
      <c r="B185" s="792" t="s">
        <v>977</v>
      </c>
      <c r="C185" s="794">
        <v>7485.9</v>
      </c>
    </row>
    <row r="186" spans="1:3" x14ac:dyDescent="0.25">
      <c r="A186" s="793">
        <v>36004</v>
      </c>
      <c r="B186" s="792" t="s">
        <v>1554</v>
      </c>
      <c r="C186" s="794">
        <v>4297.51</v>
      </c>
    </row>
    <row r="187" spans="1:3" x14ac:dyDescent="0.25">
      <c r="A187" s="793">
        <v>36005</v>
      </c>
      <c r="B187" s="792" t="s">
        <v>979</v>
      </c>
      <c r="C187" s="794">
        <v>104619</v>
      </c>
    </row>
    <row r="188" spans="1:3" x14ac:dyDescent="0.25">
      <c r="A188" s="793">
        <v>36006</v>
      </c>
      <c r="B188" s="792" t="s">
        <v>980</v>
      </c>
      <c r="C188" s="794">
        <v>11097.6</v>
      </c>
    </row>
    <row r="189" spans="1:3" x14ac:dyDescent="0.25">
      <c r="A189" s="793">
        <v>36007</v>
      </c>
      <c r="B189" s="792" t="s">
        <v>981</v>
      </c>
      <c r="C189" s="794">
        <v>3726.73</v>
      </c>
    </row>
    <row r="190" spans="1:3" x14ac:dyDescent="0.25">
      <c r="A190" s="793">
        <v>36008</v>
      </c>
      <c r="B190" s="792" t="s">
        <v>982</v>
      </c>
      <c r="C190" s="794">
        <v>9628.3700000000008</v>
      </c>
    </row>
    <row r="191" spans="1:3" x14ac:dyDescent="0.25">
      <c r="A191" s="793">
        <v>36009</v>
      </c>
      <c r="B191" s="792" t="s">
        <v>983</v>
      </c>
      <c r="C191" s="794">
        <v>2119.5100000000002</v>
      </c>
    </row>
    <row r="192" spans="1:3" x14ac:dyDescent="0.25">
      <c r="A192" s="793">
        <v>36100</v>
      </c>
      <c r="B192" s="792" t="s">
        <v>984</v>
      </c>
      <c r="C192" s="794">
        <v>15804.78</v>
      </c>
    </row>
    <row r="193" spans="1:3" x14ac:dyDescent="0.25">
      <c r="A193" s="793">
        <v>36102</v>
      </c>
      <c r="B193" s="792" t="s">
        <v>985</v>
      </c>
      <c r="C193" s="794">
        <v>4265.07</v>
      </c>
    </row>
    <row r="194" spans="1:3" x14ac:dyDescent="0.25">
      <c r="A194" s="793">
        <v>36105</v>
      </c>
      <c r="B194" s="792" t="s">
        <v>986</v>
      </c>
      <c r="C194" s="794">
        <v>8602.5300000000007</v>
      </c>
    </row>
    <row r="195" spans="1:3" x14ac:dyDescent="0.25">
      <c r="A195" s="793">
        <v>36200</v>
      </c>
      <c r="B195" s="792" t="s">
        <v>987</v>
      </c>
      <c r="C195" s="794">
        <v>33037.1</v>
      </c>
    </row>
    <row r="196" spans="1:3" x14ac:dyDescent="0.25">
      <c r="A196" s="793">
        <v>36205</v>
      </c>
      <c r="B196" s="792" t="s">
        <v>988</v>
      </c>
      <c r="C196" s="794">
        <v>5745.71</v>
      </c>
    </row>
    <row r="197" spans="1:3" x14ac:dyDescent="0.25">
      <c r="A197" s="793">
        <v>36300</v>
      </c>
      <c r="B197" s="792" t="s">
        <v>989</v>
      </c>
      <c r="C197" s="794">
        <v>99469.49</v>
      </c>
    </row>
    <row r="198" spans="1:3" x14ac:dyDescent="0.25">
      <c r="A198" s="793">
        <v>36301</v>
      </c>
      <c r="B198" s="792" t="s">
        <v>990</v>
      </c>
      <c r="C198" s="794">
        <v>1510.84</v>
      </c>
    </row>
    <row r="199" spans="1:3" x14ac:dyDescent="0.25">
      <c r="A199" s="793">
        <v>36302</v>
      </c>
      <c r="B199" s="792" t="s">
        <v>991</v>
      </c>
      <c r="C199" s="794">
        <v>2306.0300000000002</v>
      </c>
    </row>
    <row r="200" spans="1:3" x14ac:dyDescent="0.25">
      <c r="A200" s="793">
        <v>36303</v>
      </c>
      <c r="B200" s="792" t="s">
        <v>1667</v>
      </c>
      <c r="C200" s="794">
        <v>2854.03</v>
      </c>
    </row>
    <row r="201" spans="1:3" x14ac:dyDescent="0.25">
      <c r="A201" s="793">
        <v>36305</v>
      </c>
      <c r="B201" s="792" t="s">
        <v>992</v>
      </c>
      <c r="C201" s="794">
        <v>21553.98</v>
      </c>
    </row>
    <row r="202" spans="1:3" x14ac:dyDescent="0.25">
      <c r="A202" s="793">
        <v>36310</v>
      </c>
      <c r="B202" s="792" t="s">
        <v>1555</v>
      </c>
      <c r="C202" s="794">
        <v>62.66</v>
      </c>
    </row>
    <row r="203" spans="1:3" x14ac:dyDescent="0.25">
      <c r="A203" s="793">
        <v>36400</v>
      </c>
      <c r="B203" s="792" t="s">
        <v>993</v>
      </c>
      <c r="C203" s="794">
        <v>113543.51</v>
      </c>
    </row>
    <row r="204" spans="1:3" x14ac:dyDescent="0.25">
      <c r="A204" s="793">
        <v>36405</v>
      </c>
      <c r="B204" s="792" t="s">
        <v>1556</v>
      </c>
      <c r="C204" s="794">
        <v>18280.22</v>
      </c>
    </row>
    <row r="205" spans="1:3" x14ac:dyDescent="0.25">
      <c r="A205" s="793">
        <v>36500</v>
      </c>
      <c r="B205" s="792" t="s">
        <v>995</v>
      </c>
      <c r="C205" s="794">
        <v>217728.94</v>
      </c>
    </row>
    <row r="206" spans="1:3" x14ac:dyDescent="0.25">
      <c r="A206" s="793">
        <v>36501</v>
      </c>
      <c r="B206" s="792" t="s">
        <v>996</v>
      </c>
      <c r="C206" s="794">
        <v>2528</v>
      </c>
    </row>
    <row r="207" spans="1:3" x14ac:dyDescent="0.25">
      <c r="A207" s="793">
        <v>36502</v>
      </c>
      <c r="B207" s="792" t="s">
        <v>997</v>
      </c>
      <c r="C207" s="794">
        <v>876.32</v>
      </c>
    </row>
    <row r="208" spans="1:3" x14ac:dyDescent="0.25">
      <c r="A208" s="793">
        <v>36505</v>
      </c>
      <c r="B208" s="792" t="s">
        <v>998</v>
      </c>
      <c r="C208" s="794">
        <v>45481.06</v>
      </c>
    </row>
    <row r="209" spans="1:3" x14ac:dyDescent="0.25">
      <c r="A209" s="793">
        <v>36600</v>
      </c>
      <c r="B209" s="792" t="s">
        <v>999</v>
      </c>
      <c r="C209" s="794">
        <v>16933.580000000002</v>
      </c>
    </row>
    <row r="210" spans="1:3" x14ac:dyDescent="0.25">
      <c r="A210" s="793">
        <v>36601</v>
      </c>
      <c r="B210" s="792" t="s">
        <v>1000</v>
      </c>
      <c r="C210" s="794">
        <v>7799.12</v>
      </c>
    </row>
    <row r="211" spans="1:3" x14ac:dyDescent="0.25">
      <c r="A211" s="793">
        <v>36700</v>
      </c>
      <c r="B211" s="792" t="s">
        <v>1001</v>
      </c>
      <c r="C211" s="794">
        <v>184701.1</v>
      </c>
    </row>
    <row r="212" spans="1:3" x14ac:dyDescent="0.25">
      <c r="A212" s="793">
        <v>36701</v>
      </c>
      <c r="B212" s="792" t="s">
        <v>1002</v>
      </c>
      <c r="C212" s="794">
        <v>651.75</v>
      </c>
    </row>
    <row r="213" spans="1:3" x14ac:dyDescent="0.25">
      <c r="A213" s="793">
        <v>36705</v>
      </c>
      <c r="B213" s="792" t="s">
        <v>1003</v>
      </c>
      <c r="C213" s="794">
        <v>22717.57</v>
      </c>
    </row>
    <row r="214" spans="1:3" x14ac:dyDescent="0.25">
      <c r="A214" s="793">
        <v>36800</v>
      </c>
      <c r="B214" s="792" t="s">
        <v>1004</v>
      </c>
      <c r="C214" s="794">
        <v>71280.03</v>
      </c>
    </row>
    <row r="215" spans="1:3" x14ac:dyDescent="0.25">
      <c r="A215" s="793">
        <v>36802</v>
      </c>
      <c r="B215" s="792" t="s">
        <v>1006</v>
      </c>
      <c r="C215" s="794">
        <v>3383.59</v>
      </c>
    </row>
    <row r="216" spans="1:3" x14ac:dyDescent="0.25">
      <c r="A216" s="793">
        <v>36810</v>
      </c>
      <c r="B216" s="792" t="s">
        <v>1557</v>
      </c>
      <c r="C216" s="794">
        <v>129199.61</v>
      </c>
    </row>
    <row r="217" spans="1:3" x14ac:dyDescent="0.25">
      <c r="A217" s="793">
        <v>36900</v>
      </c>
      <c r="B217" s="792" t="s">
        <v>1008</v>
      </c>
      <c r="C217" s="794">
        <v>13313.94</v>
      </c>
    </row>
    <row r="218" spans="1:3" x14ac:dyDescent="0.25">
      <c r="A218" s="793">
        <v>36901</v>
      </c>
      <c r="B218" s="792" t="s">
        <v>1009</v>
      </c>
      <c r="C218" s="794">
        <v>4738.75</v>
      </c>
    </row>
    <row r="219" spans="1:3" x14ac:dyDescent="0.25">
      <c r="A219" s="793">
        <v>36905</v>
      </c>
      <c r="B219" s="792" t="s">
        <v>1010</v>
      </c>
      <c r="C219" s="794">
        <v>5217.83</v>
      </c>
    </row>
    <row r="220" spans="1:3" x14ac:dyDescent="0.25">
      <c r="A220" s="793">
        <v>37000</v>
      </c>
      <c r="B220" s="792" t="s">
        <v>1011</v>
      </c>
      <c r="C220" s="794">
        <v>43450.78</v>
      </c>
    </row>
    <row r="221" spans="1:3" x14ac:dyDescent="0.25">
      <c r="A221" s="793">
        <v>37001</v>
      </c>
      <c r="B221" s="792" t="s">
        <v>1168</v>
      </c>
      <c r="C221" s="794">
        <v>2002.1</v>
      </c>
    </row>
    <row r="222" spans="1:3" x14ac:dyDescent="0.25">
      <c r="A222" s="793">
        <v>37005</v>
      </c>
      <c r="B222" s="792" t="s">
        <v>1012</v>
      </c>
      <c r="C222" s="794">
        <v>12148.03</v>
      </c>
    </row>
    <row r="223" spans="1:3" x14ac:dyDescent="0.25">
      <c r="A223" s="793">
        <v>37100</v>
      </c>
      <c r="B223" s="792" t="s">
        <v>1013</v>
      </c>
      <c r="C223" s="794">
        <v>63143.18</v>
      </c>
    </row>
    <row r="224" spans="1:3" x14ac:dyDescent="0.25">
      <c r="A224" s="793">
        <v>37200</v>
      </c>
      <c r="B224" s="792" t="s">
        <v>1014</v>
      </c>
      <c r="C224" s="794">
        <v>14143.77</v>
      </c>
    </row>
    <row r="225" spans="1:3" x14ac:dyDescent="0.25">
      <c r="A225" s="793">
        <v>37300</v>
      </c>
      <c r="B225" s="792" t="s">
        <v>1015</v>
      </c>
      <c r="C225" s="794">
        <v>37486.36</v>
      </c>
    </row>
    <row r="226" spans="1:3" x14ac:dyDescent="0.25">
      <c r="A226" s="793">
        <v>37301</v>
      </c>
      <c r="B226" s="792" t="s">
        <v>1016</v>
      </c>
      <c r="C226" s="794">
        <v>4218.33</v>
      </c>
    </row>
    <row r="227" spans="1:3" x14ac:dyDescent="0.25">
      <c r="A227" s="793">
        <v>37305</v>
      </c>
      <c r="B227" s="792" t="s">
        <v>1017</v>
      </c>
      <c r="C227" s="794">
        <v>11805.89</v>
      </c>
    </row>
    <row r="228" spans="1:3" x14ac:dyDescent="0.25">
      <c r="A228" s="793">
        <v>37400</v>
      </c>
      <c r="B228" s="792" t="s">
        <v>1018</v>
      </c>
      <c r="C228" s="794">
        <v>172151.89</v>
      </c>
    </row>
    <row r="229" spans="1:3" x14ac:dyDescent="0.25">
      <c r="A229" s="793">
        <v>37405</v>
      </c>
      <c r="B229" s="792" t="s">
        <v>1019</v>
      </c>
      <c r="C229" s="794">
        <v>41039.550000000003</v>
      </c>
    </row>
    <row r="230" spans="1:3" x14ac:dyDescent="0.25">
      <c r="A230" s="793">
        <v>37500</v>
      </c>
      <c r="B230" s="792" t="s">
        <v>1020</v>
      </c>
      <c r="C230" s="794">
        <v>21315.360000000001</v>
      </c>
    </row>
    <row r="231" spans="1:3" x14ac:dyDescent="0.25">
      <c r="A231" s="793">
        <v>37600</v>
      </c>
      <c r="B231" s="792" t="s">
        <v>1021</v>
      </c>
      <c r="C231" s="794">
        <v>121790.01</v>
      </c>
    </row>
    <row r="232" spans="1:3" x14ac:dyDescent="0.25">
      <c r="A232" s="793">
        <v>37601</v>
      </c>
      <c r="B232" s="792" t="s">
        <v>1022</v>
      </c>
      <c r="C232" s="794">
        <v>4963.84</v>
      </c>
    </row>
    <row r="233" spans="1:3" x14ac:dyDescent="0.25">
      <c r="A233" s="793">
        <v>37605</v>
      </c>
      <c r="B233" s="792" t="s">
        <v>1023</v>
      </c>
      <c r="C233" s="794">
        <v>15428.28</v>
      </c>
    </row>
    <row r="234" spans="1:3" x14ac:dyDescent="0.25">
      <c r="A234" s="793">
        <v>37610</v>
      </c>
      <c r="B234" s="792" t="s">
        <v>1024</v>
      </c>
      <c r="C234" s="794">
        <v>36172.379999999997</v>
      </c>
    </row>
    <row r="235" spans="1:3" x14ac:dyDescent="0.25">
      <c r="A235" s="793">
        <v>37700</v>
      </c>
      <c r="B235" s="792" t="s">
        <v>1025</v>
      </c>
      <c r="C235" s="794">
        <v>53229.02</v>
      </c>
    </row>
    <row r="236" spans="1:3" x14ac:dyDescent="0.25">
      <c r="A236" s="793">
        <v>37705</v>
      </c>
      <c r="B236" s="792" t="s">
        <v>1026</v>
      </c>
      <c r="C236" s="794">
        <v>16925.830000000002</v>
      </c>
    </row>
    <row r="237" spans="1:3" x14ac:dyDescent="0.25">
      <c r="A237" s="793">
        <v>37800</v>
      </c>
      <c r="B237" s="792" t="s">
        <v>1027</v>
      </c>
      <c r="C237" s="794">
        <v>171687.64</v>
      </c>
    </row>
    <row r="238" spans="1:3" x14ac:dyDescent="0.25">
      <c r="A238" s="793">
        <v>37801</v>
      </c>
      <c r="B238" s="792" t="s">
        <v>1028</v>
      </c>
      <c r="C238" s="794">
        <v>1065.29</v>
      </c>
    </row>
    <row r="239" spans="1:3" x14ac:dyDescent="0.25">
      <c r="A239" s="793">
        <v>37805</v>
      </c>
      <c r="B239" s="792" t="s">
        <v>1029</v>
      </c>
      <c r="C239" s="794">
        <v>13313.29</v>
      </c>
    </row>
    <row r="240" spans="1:3" x14ac:dyDescent="0.25">
      <c r="A240" s="793">
        <v>37900</v>
      </c>
      <c r="B240" s="792" t="s">
        <v>1030</v>
      </c>
      <c r="C240" s="794">
        <v>87099.94</v>
      </c>
    </row>
    <row r="241" spans="1:3" x14ac:dyDescent="0.25">
      <c r="A241" s="793">
        <v>37901</v>
      </c>
      <c r="B241" s="792" t="s">
        <v>1031</v>
      </c>
      <c r="C241" s="794">
        <v>1619.54</v>
      </c>
    </row>
    <row r="242" spans="1:3" x14ac:dyDescent="0.25">
      <c r="A242" s="793">
        <v>37905</v>
      </c>
      <c r="B242" s="792" t="s">
        <v>1032</v>
      </c>
      <c r="C242" s="794">
        <v>11211.91</v>
      </c>
    </row>
    <row r="243" spans="1:3" x14ac:dyDescent="0.25">
      <c r="A243" s="793">
        <v>38000</v>
      </c>
      <c r="B243" s="792" t="s">
        <v>1033</v>
      </c>
      <c r="C243" s="794">
        <v>144588.20000000001</v>
      </c>
    </row>
    <row r="244" spans="1:3" x14ac:dyDescent="0.25">
      <c r="A244" s="793">
        <v>38005</v>
      </c>
      <c r="B244" s="792" t="s">
        <v>1034</v>
      </c>
      <c r="C244" s="794">
        <v>28527.06</v>
      </c>
    </row>
    <row r="245" spans="1:3" x14ac:dyDescent="0.25">
      <c r="A245" s="793">
        <v>38100</v>
      </c>
      <c r="B245" s="792" t="s">
        <v>1035</v>
      </c>
      <c r="C245" s="794">
        <v>66506.52</v>
      </c>
    </row>
    <row r="246" spans="1:3" x14ac:dyDescent="0.25">
      <c r="A246" s="793">
        <v>38105</v>
      </c>
      <c r="B246" s="792" t="s">
        <v>1036</v>
      </c>
      <c r="C246" s="794">
        <v>13363.16</v>
      </c>
    </row>
    <row r="247" spans="1:3" x14ac:dyDescent="0.25">
      <c r="A247" s="793">
        <v>38200</v>
      </c>
      <c r="B247" s="792" t="s">
        <v>1037</v>
      </c>
      <c r="C247" s="794">
        <v>61215.96</v>
      </c>
    </row>
    <row r="248" spans="1:3" x14ac:dyDescent="0.25">
      <c r="A248" s="793">
        <v>38205</v>
      </c>
      <c r="B248" s="792" t="s">
        <v>1038</v>
      </c>
      <c r="C248" s="794">
        <v>9384.86</v>
      </c>
    </row>
    <row r="249" spans="1:3" x14ac:dyDescent="0.25">
      <c r="A249" s="793">
        <v>38210</v>
      </c>
      <c r="B249" s="792" t="s">
        <v>1039</v>
      </c>
      <c r="C249" s="794">
        <v>23610.32</v>
      </c>
    </row>
    <row r="250" spans="1:3" x14ac:dyDescent="0.25">
      <c r="A250" s="793">
        <v>38300</v>
      </c>
      <c r="B250" s="792" t="s">
        <v>1040</v>
      </c>
      <c r="C250" s="794">
        <v>48467.06</v>
      </c>
    </row>
    <row r="251" spans="1:3" x14ac:dyDescent="0.25">
      <c r="A251" s="793">
        <v>38400</v>
      </c>
      <c r="B251" s="792" t="s">
        <v>1041</v>
      </c>
      <c r="C251" s="794">
        <v>61614.16</v>
      </c>
    </row>
    <row r="252" spans="1:3" x14ac:dyDescent="0.25">
      <c r="A252" s="793">
        <v>38402</v>
      </c>
      <c r="B252" s="792" t="s">
        <v>1042</v>
      </c>
      <c r="C252" s="794">
        <v>3510.36</v>
      </c>
    </row>
    <row r="253" spans="1:3" x14ac:dyDescent="0.25">
      <c r="A253" s="793">
        <v>38405</v>
      </c>
      <c r="B253" s="792" t="s">
        <v>1043</v>
      </c>
      <c r="C253" s="794">
        <v>15658.81</v>
      </c>
    </row>
    <row r="254" spans="1:3" x14ac:dyDescent="0.25">
      <c r="A254" s="793">
        <v>38500</v>
      </c>
      <c r="B254" s="792" t="s">
        <v>1044</v>
      </c>
      <c r="C254" s="794">
        <v>47486.95</v>
      </c>
    </row>
    <row r="255" spans="1:3" x14ac:dyDescent="0.25">
      <c r="A255" s="793">
        <v>38600</v>
      </c>
      <c r="B255" s="792" t="s">
        <v>1045</v>
      </c>
      <c r="C255" s="794">
        <v>60092.22</v>
      </c>
    </row>
    <row r="256" spans="1:3" x14ac:dyDescent="0.25">
      <c r="A256" s="793">
        <v>38601</v>
      </c>
      <c r="B256" s="792" t="s">
        <v>1046</v>
      </c>
      <c r="C256" s="794">
        <v>687.24</v>
      </c>
    </row>
    <row r="257" spans="1:3" x14ac:dyDescent="0.25">
      <c r="A257" s="793">
        <v>38602</v>
      </c>
      <c r="B257" s="792" t="s">
        <v>1047</v>
      </c>
      <c r="C257" s="794">
        <v>5504.78</v>
      </c>
    </row>
    <row r="258" spans="1:3" x14ac:dyDescent="0.25">
      <c r="A258" s="793">
        <v>38605</v>
      </c>
      <c r="B258" s="792" t="s">
        <v>1048</v>
      </c>
      <c r="C258" s="794">
        <v>16949.009999999998</v>
      </c>
    </row>
    <row r="259" spans="1:3" x14ac:dyDescent="0.25">
      <c r="A259" s="793">
        <v>38610</v>
      </c>
      <c r="B259" s="792" t="s">
        <v>1049</v>
      </c>
      <c r="C259" s="794">
        <v>13171.86</v>
      </c>
    </row>
    <row r="260" spans="1:3" x14ac:dyDescent="0.25">
      <c r="A260" s="793">
        <v>38620</v>
      </c>
      <c r="B260" s="792" t="s">
        <v>1050</v>
      </c>
      <c r="C260" s="794">
        <v>10000.209999999999</v>
      </c>
    </row>
    <row r="261" spans="1:3" x14ac:dyDescent="0.25">
      <c r="A261" s="793">
        <v>38700</v>
      </c>
      <c r="B261" s="792" t="s">
        <v>1051</v>
      </c>
      <c r="C261" s="794">
        <v>16951.91</v>
      </c>
    </row>
    <row r="262" spans="1:3" x14ac:dyDescent="0.25">
      <c r="A262" s="793">
        <v>38701</v>
      </c>
      <c r="B262" s="792" t="s">
        <v>1052</v>
      </c>
      <c r="C262" s="794">
        <v>1206.96</v>
      </c>
    </row>
    <row r="263" spans="1:3" x14ac:dyDescent="0.25">
      <c r="A263" s="793">
        <v>38800</v>
      </c>
      <c r="B263" s="792" t="s">
        <v>1053</v>
      </c>
      <c r="C263" s="794">
        <v>30638.02</v>
      </c>
    </row>
    <row r="264" spans="1:3" x14ac:dyDescent="0.25">
      <c r="A264" s="793">
        <v>38801</v>
      </c>
      <c r="B264" s="792" t="s">
        <v>1054</v>
      </c>
      <c r="C264" s="794">
        <v>2206.2800000000002</v>
      </c>
    </row>
    <row r="265" spans="1:3" x14ac:dyDescent="0.25">
      <c r="A265" s="793">
        <v>38900</v>
      </c>
      <c r="B265" s="792" t="s">
        <v>1055</v>
      </c>
      <c r="C265" s="794">
        <v>6969.02</v>
      </c>
    </row>
    <row r="266" spans="1:3" x14ac:dyDescent="0.25">
      <c r="A266" s="793">
        <v>39000</v>
      </c>
      <c r="B266" s="792" t="s">
        <v>1056</v>
      </c>
      <c r="C266" s="794">
        <v>300353</v>
      </c>
    </row>
    <row r="267" spans="1:3" x14ac:dyDescent="0.25">
      <c r="A267" s="793">
        <v>39100</v>
      </c>
      <c r="B267" s="792" t="s">
        <v>1057</v>
      </c>
      <c r="C267" s="794">
        <v>47592.63</v>
      </c>
    </row>
    <row r="268" spans="1:3" x14ac:dyDescent="0.25">
      <c r="A268" s="793">
        <v>39101</v>
      </c>
      <c r="B268" s="792" t="s">
        <v>1058</v>
      </c>
      <c r="C268" s="794">
        <v>4719.9399999999996</v>
      </c>
    </row>
    <row r="269" spans="1:3" x14ac:dyDescent="0.25">
      <c r="A269" s="793">
        <v>39105</v>
      </c>
      <c r="B269" s="792" t="s">
        <v>1059</v>
      </c>
      <c r="C269" s="794">
        <v>18256.93</v>
      </c>
    </row>
    <row r="270" spans="1:3" x14ac:dyDescent="0.25">
      <c r="A270" s="793">
        <v>39200</v>
      </c>
      <c r="B270" s="792" t="s">
        <v>1558</v>
      </c>
      <c r="C270" s="794">
        <v>1271798.55</v>
      </c>
    </row>
    <row r="271" spans="1:3" x14ac:dyDescent="0.25">
      <c r="A271" s="793">
        <v>39201</v>
      </c>
      <c r="B271" s="792" t="s">
        <v>1061</v>
      </c>
      <c r="C271" s="794">
        <v>3079.16</v>
      </c>
    </row>
    <row r="272" spans="1:3" x14ac:dyDescent="0.25">
      <c r="A272" s="793">
        <v>39204</v>
      </c>
      <c r="B272" s="792" t="s">
        <v>1062</v>
      </c>
      <c r="C272" s="794">
        <v>4087.77</v>
      </c>
    </row>
    <row r="273" spans="1:3" x14ac:dyDescent="0.25">
      <c r="A273" s="793">
        <v>39205</v>
      </c>
      <c r="B273" s="792" t="s">
        <v>1063</v>
      </c>
      <c r="C273" s="794">
        <v>112011.42</v>
      </c>
    </row>
    <row r="274" spans="1:3" x14ac:dyDescent="0.25">
      <c r="A274" s="793">
        <v>39208</v>
      </c>
      <c r="B274" s="792" t="s">
        <v>1559</v>
      </c>
      <c r="C274" s="794">
        <v>6758.01</v>
      </c>
    </row>
    <row r="275" spans="1:3" x14ac:dyDescent="0.25">
      <c r="A275" s="793">
        <v>39209</v>
      </c>
      <c r="B275" s="792" t="s">
        <v>1065</v>
      </c>
      <c r="C275" s="794">
        <v>3273.14</v>
      </c>
    </row>
    <row r="276" spans="1:3" x14ac:dyDescent="0.25">
      <c r="A276" s="793">
        <v>39300</v>
      </c>
      <c r="B276" s="792" t="s">
        <v>1066</v>
      </c>
      <c r="C276" s="794">
        <v>17828.97</v>
      </c>
    </row>
    <row r="277" spans="1:3" x14ac:dyDescent="0.25">
      <c r="A277" s="793">
        <v>39301</v>
      </c>
      <c r="B277" s="792" t="s">
        <v>1067</v>
      </c>
      <c r="C277" s="794">
        <v>819.16</v>
      </c>
    </row>
    <row r="278" spans="1:3" x14ac:dyDescent="0.25">
      <c r="A278" s="793">
        <v>39400</v>
      </c>
      <c r="B278" s="792" t="s">
        <v>1068</v>
      </c>
      <c r="C278" s="794">
        <v>13737.14</v>
      </c>
    </row>
    <row r="279" spans="1:3" x14ac:dyDescent="0.25">
      <c r="A279" s="793">
        <v>39401</v>
      </c>
      <c r="B279" s="792" t="s">
        <v>1069</v>
      </c>
      <c r="C279" s="794">
        <v>5999.35</v>
      </c>
    </row>
    <row r="280" spans="1:3" x14ac:dyDescent="0.25">
      <c r="A280" s="793">
        <v>39500</v>
      </c>
      <c r="B280" s="792" t="s">
        <v>1070</v>
      </c>
      <c r="C280" s="794">
        <v>39807.22</v>
      </c>
    </row>
    <row r="281" spans="1:3" x14ac:dyDescent="0.25">
      <c r="A281" s="793">
        <v>39501</v>
      </c>
      <c r="B281" s="792" t="s">
        <v>1071</v>
      </c>
      <c r="C281" s="794">
        <v>1105.01</v>
      </c>
    </row>
    <row r="282" spans="1:3" x14ac:dyDescent="0.25">
      <c r="A282" s="793">
        <v>39600</v>
      </c>
      <c r="B282" s="792" t="s">
        <v>1072</v>
      </c>
      <c r="C282" s="794">
        <v>134462.68</v>
      </c>
    </row>
    <row r="283" spans="1:3" x14ac:dyDescent="0.25">
      <c r="A283" s="793">
        <v>39605</v>
      </c>
      <c r="B283" s="792" t="s">
        <v>1073</v>
      </c>
      <c r="C283" s="794">
        <v>20625.66</v>
      </c>
    </row>
    <row r="284" spans="1:3" x14ac:dyDescent="0.25">
      <c r="A284" s="793">
        <v>39700</v>
      </c>
      <c r="B284" s="792" t="s">
        <v>1074</v>
      </c>
      <c r="C284" s="794">
        <v>72705.14</v>
      </c>
    </row>
    <row r="285" spans="1:3" x14ac:dyDescent="0.25">
      <c r="A285" s="793">
        <v>39703</v>
      </c>
      <c r="B285" s="792" t="s">
        <v>1075</v>
      </c>
      <c r="C285" s="794">
        <v>3680.6</v>
      </c>
    </row>
    <row r="286" spans="1:3" x14ac:dyDescent="0.25">
      <c r="A286" s="793">
        <v>39705</v>
      </c>
      <c r="B286" s="792" t="s">
        <v>1076</v>
      </c>
      <c r="C286" s="794">
        <v>19045.66</v>
      </c>
    </row>
    <row r="287" spans="1:3" x14ac:dyDescent="0.25">
      <c r="A287" s="793">
        <v>39800</v>
      </c>
      <c r="B287" s="792" t="s">
        <v>1077</v>
      </c>
      <c r="C287" s="794">
        <v>86755.41</v>
      </c>
    </row>
    <row r="288" spans="1:3" x14ac:dyDescent="0.25">
      <c r="A288" s="793">
        <v>39805</v>
      </c>
      <c r="B288" s="792" t="s">
        <v>1078</v>
      </c>
      <c r="C288" s="794">
        <v>10699.89</v>
      </c>
    </row>
    <row r="289" spans="1:3" x14ac:dyDescent="0.25">
      <c r="A289" s="793">
        <v>39900</v>
      </c>
      <c r="B289" s="792" t="s">
        <v>1079</v>
      </c>
      <c r="C289" s="794">
        <v>42923.32</v>
      </c>
    </row>
    <row r="290" spans="1:3" x14ac:dyDescent="0.25">
      <c r="A290" s="793">
        <v>51000</v>
      </c>
      <c r="B290" s="792" t="s">
        <v>1080</v>
      </c>
      <c r="C290" s="794">
        <v>719583.49</v>
      </c>
    </row>
    <row r="291" spans="1:3" x14ac:dyDescent="0.25">
      <c r="A291" s="793">
        <v>32420</v>
      </c>
      <c r="B291" s="792" t="s">
        <v>897</v>
      </c>
      <c r="C291" s="794">
        <v>0</v>
      </c>
    </row>
    <row r="292" spans="1:3" x14ac:dyDescent="0.25">
      <c r="A292" s="793">
        <v>36801</v>
      </c>
      <c r="B292" s="798" t="s">
        <v>1005</v>
      </c>
      <c r="C292" s="794">
        <v>0</v>
      </c>
    </row>
    <row r="293" spans="1:3" x14ac:dyDescent="0.25">
      <c r="A293" s="799">
        <v>36002</v>
      </c>
      <c r="B293" s="798" t="s">
        <v>976</v>
      </c>
      <c r="C293" s="794">
        <v>0</v>
      </c>
    </row>
    <row r="294" spans="1:3" x14ac:dyDescent="0.25">
      <c r="A294" s="793">
        <v>11050</v>
      </c>
      <c r="B294" s="792" t="s">
        <v>1666</v>
      </c>
      <c r="C294" s="794">
        <v>5953.89</v>
      </c>
    </row>
    <row r="295" spans="1:3" x14ac:dyDescent="0.25">
      <c r="A295" s="1005" t="s">
        <v>1157</v>
      </c>
      <c r="B295" s="1006" t="s">
        <v>1163</v>
      </c>
      <c r="C295" s="794">
        <f>C174*0.5</f>
        <v>311.18</v>
      </c>
    </row>
    <row r="296" spans="1:3" x14ac:dyDescent="0.25">
      <c r="C296" s="802">
        <f>SUM(C3:C294)</f>
        <v>23383105</v>
      </c>
    </row>
    <row r="297" spans="1:3" x14ac:dyDescent="0.25">
      <c r="C297" s="80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83"/>
  <sheetViews>
    <sheetView workbookViewId="0">
      <selection activeCell="A11" sqref="A11"/>
    </sheetView>
  </sheetViews>
  <sheetFormatPr defaultColWidth="9.140625" defaultRowHeight="12.75" x14ac:dyDescent="0.2"/>
  <cols>
    <col min="1" max="1" width="3.85546875" style="314" customWidth="1"/>
    <col min="2" max="2" width="2.140625" style="314" customWidth="1"/>
    <col min="3" max="6" width="9.140625" style="314"/>
    <col min="7" max="7" width="10.42578125" style="314" customWidth="1"/>
    <col min="8" max="8" width="13.7109375" style="314" bestFit="1" customWidth="1"/>
    <col min="9" max="9" width="13" style="314" bestFit="1" customWidth="1"/>
    <col min="10" max="10" width="3.140625" style="314" customWidth="1"/>
    <col min="11" max="11" width="13.28515625" style="314" bestFit="1" customWidth="1"/>
    <col min="12" max="12" width="9.140625" style="314"/>
    <col min="13" max="13" width="1.5703125" style="314" customWidth="1"/>
    <col min="14" max="14" width="9.140625" style="314"/>
    <col min="15" max="15" width="5.140625" style="314" customWidth="1"/>
    <col min="16" max="16384" width="9.140625" style="314"/>
  </cols>
  <sheetData>
    <row r="1" spans="1:16" ht="33.75" customHeight="1" x14ac:dyDescent="0.25">
      <c r="A1" s="1094" t="s">
        <v>216</v>
      </c>
      <c r="B1" s="1095"/>
      <c r="C1" s="1095"/>
      <c r="D1" s="1095"/>
      <c r="E1" s="1095"/>
      <c r="F1" s="1095"/>
      <c r="G1" s="1095"/>
      <c r="H1" s="1095"/>
      <c r="I1" s="1095"/>
      <c r="J1" s="1095"/>
      <c r="K1" s="1095"/>
      <c r="L1" s="1095"/>
      <c r="M1" s="1095"/>
      <c r="N1" s="1095"/>
      <c r="O1" s="1096"/>
    </row>
    <row r="3" spans="1:16" ht="90.75" customHeight="1" x14ac:dyDescent="0.2">
      <c r="B3" s="1105" t="s">
        <v>747</v>
      </c>
      <c r="C3" s="1106"/>
      <c r="D3" s="1106"/>
      <c r="E3" s="1106"/>
      <c r="F3" s="1106"/>
      <c r="G3" s="1106"/>
      <c r="H3" s="1106"/>
      <c r="I3" s="1106"/>
      <c r="J3" s="1106"/>
      <c r="K3" s="1106"/>
      <c r="L3" s="1106"/>
      <c r="M3" s="1106"/>
      <c r="N3" s="1106"/>
      <c r="O3" s="1106"/>
    </row>
    <row r="4" spans="1:16" ht="3.75" customHeight="1" x14ac:dyDescent="0.2">
      <c r="B4" s="315"/>
      <c r="C4" s="315"/>
      <c r="D4" s="315"/>
      <c r="E4" s="315"/>
      <c r="F4" s="315"/>
      <c r="G4" s="315"/>
      <c r="H4" s="315"/>
      <c r="I4" s="315"/>
      <c r="J4" s="315"/>
      <c r="K4" s="315"/>
      <c r="L4" s="315"/>
      <c r="M4" s="315"/>
      <c r="N4" s="315"/>
      <c r="O4" s="315"/>
    </row>
    <row r="5" spans="1:16" ht="5.25" customHeight="1" x14ac:dyDescent="0.2"/>
    <row r="6" spans="1:16" x14ac:dyDescent="0.2">
      <c r="B6" s="319" t="s">
        <v>662</v>
      </c>
      <c r="C6" s="1103" t="s">
        <v>643</v>
      </c>
      <c r="D6" s="1103"/>
      <c r="E6" s="1103"/>
      <c r="F6" s="1103"/>
      <c r="G6" s="1103"/>
      <c r="H6" s="1103"/>
      <c r="I6" s="1103"/>
      <c r="J6" s="1103"/>
      <c r="K6" s="1103"/>
      <c r="L6" s="1103"/>
      <c r="M6" s="1103"/>
      <c r="N6" s="1103"/>
      <c r="O6" s="315"/>
    </row>
    <row r="7" spans="1:16" x14ac:dyDescent="0.2">
      <c r="B7" s="319"/>
      <c r="C7" s="1103"/>
      <c r="D7" s="1103"/>
      <c r="E7" s="1103"/>
      <c r="F7" s="1103"/>
      <c r="G7" s="1103"/>
      <c r="H7" s="1103"/>
      <c r="I7" s="1103"/>
      <c r="J7" s="1103"/>
      <c r="K7" s="1103"/>
      <c r="L7" s="1103"/>
      <c r="M7" s="1103"/>
      <c r="N7" s="1103"/>
      <c r="O7" s="315"/>
    </row>
    <row r="8" spans="1:16" ht="6" customHeight="1" x14ac:dyDescent="0.2"/>
    <row r="9" spans="1:16" ht="12.75" customHeight="1" x14ac:dyDescent="0.2">
      <c r="B9" s="319" t="s">
        <v>663</v>
      </c>
      <c r="C9" s="1104" t="s">
        <v>644</v>
      </c>
      <c r="D9" s="1104"/>
      <c r="E9" s="1104"/>
      <c r="F9" s="1104"/>
      <c r="G9" s="1104"/>
      <c r="H9" s="1104"/>
      <c r="I9" s="1104"/>
      <c r="J9" s="1104"/>
      <c r="K9" s="1104"/>
      <c r="L9" s="1104"/>
      <c r="M9" s="1104"/>
      <c r="N9" s="1104"/>
      <c r="O9" s="1104"/>
    </row>
    <row r="10" spans="1:16" ht="5.25" customHeight="1" x14ac:dyDescent="0.2"/>
    <row r="11" spans="1:16" x14ac:dyDescent="0.2">
      <c r="B11" s="319" t="s">
        <v>664</v>
      </c>
      <c r="C11" s="1104" t="s">
        <v>667</v>
      </c>
      <c r="D11" s="1104"/>
      <c r="E11" s="1104"/>
      <c r="F11" s="1104"/>
      <c r="G11" s="1104"/>
      <c r="H11" s="1104"/>
      <c r="I11" s="1104"/>
      <c r="J11" s="1104"/>
      <c r="K11" s="1104"/>
      <c r="L11" s="1104"/>
      <c r="M11" s="1104"/>
      <c r="N11" s="1104"/>
      <c r="O11" s="1104"/>
    </row>
    <row r="12" spans="1:16" ht="30" customHeight="1" x14ac:dyDescent="0.2"/>
    <row r="13" spans="1:16" ht="28.5" customHeight="1" x14ac:dyDescent="0.2">
      <c r="A13" s="317" t="s">
        <v>341</v>
      </c>
      <c r="B13" s="1097" t="s">
        <v>180</v>
      </c>
      <c r="C13" s="1098"/>
      <c r="D13" s="1098"/>
      <c r="E13" s="1098"/>
      <c r="F13" s="1098"/>
      <c r="G13" s="1098"/>
      <c r="H13" s="1098"/>
      <c r="I13" s="1098"/>
      <c r="J13" s="1098"/>
      <c r="K13" s="1098"/>
      <c r="L13" s="1098"/>
      <c r="M13" s="1098"/>
      <c r="N13" s="1098"/>
      <c r="O13" s="1099"/>
      <c r="P13" s="316"/>
    </row>
    <row r="15" spans="1:16" x14ac:dyDescent="0.2">
      <c r="C15" s="356" t="s">
        <v>319</v>
      </c>
      <c r="D15" s="356"/>
      <c r="E15" s="356"/>
      <c r="F15" s="356"/>
      <c r="H15" s="321" t="s">
        <v>657</v>
      </c>
      <c r="I15" s="321" t="s">
        <v>657</v>
      </c>
    </row>
    <row r="16" spans="1:16" ht="4.5" customHeight="1" x14ac:dyDescent="0.2"/>
    <row r="17" spans="3:11" ht="12.75" customHeight="1" x14ac:dyDescent="0.2">
      <c r="C17" s="322" t="str">
        <f>'Conversion Worksheet'!C25</f>
        <v>Land</v>
      </c>
      <c r="H17" s="228">
        <v>0</v>
      </c>
    </row>
    <row r="18" spans="3:11" ht="12.75" customHeight="1" x14ac:dyDescent="0.2">
      <c r="C18" s="322" t="str">
        <f>'Conversion Worksheet'!C28</f>
        <v>Construction in progress</v>
      </c>
      <c r="H18" s="228">
        <v>0</v>
      </c>
    </row>
    <row r="19" spans="3:11" ht="12.75" customHeight="1" x14ac:dyDescent="0.2">
      <c r="C19" s="322" t="str">
        <f>'Conversion Worksheet'!C29</f>
        <v>Buildings</v>
      </c>
      <c r="H19" s="228">
        <v>0</v>
      </c>
    </row>
    <row r="20" spans="3:11" ht="12.75" customHeight="1" x14ac:dyDescent="0.2">
      <c r="C20" s="323" t="str">
        <f>CONCATENATE("Accum. Depreciation - ", C19)</f>
        <v>Accum. Depreciation - Buildings</v>
      </c>
      <c r="I20" s="228">
        <v>0</v>
      </c>
    </row>
    <row r="21" spans="3:11" ht="12.75" customHeight="1" x14ac:dyDescent="0.2">
      <c r="C21" s="322" t="str">
        <f>'Conversion Worksheet'!C34</f>
        <v>Equipment and Furniture</v>
      </c>
      <c r="H21" s="228">
        <v>0</v>
      </c>
    </row>
    <row r="22" spans="3:11" ht="12.75" customHeight="1" x14ac:dyDescent="0.2">
      <c r="C22" s="323" t="str">
        <f>CONCATENATE("Accum. Depreciation - ", C21)</f>
        <v>Accum. Depreciation - Equipment and Furniture</v>
      </c>
      <c r="I22" s="228">
        <v>0</v>
      </c>
    </row>
    <row r="23" spans="3:11" ht="12.75" customHeight="1" x14ac:dyDescent="0.2">
      <c r="C23" s="322" t="str">
        <f>'Conversion Worksheet'!C39</f>
        <v>Vehicles &amp; Motorized Equipment</v>
      </c>
      <c r="H23" s="228">
        <v>0</v>
      </c>
    </row>
    <row r="24" spans="3:11" ht="12.75" customHeight="1" x14ac:dyDescent="0.2">
      <c r="C24" s="323" t="str">
        <f>CONCATENATE("Accum. Depreciation - ", C23)</f>
        <v>Accum. Depreciation - Vehicles &amp; Motorized Equipment</v>
      </c>
      <c r="I24" s="228">
        <v>0</v>
      </c>
    </row>
    <row r="25" spans="3:11" ht="12.75" customHeight="1" x14ac:dyDescent="0.2">
      <c r="C25" s="322" t="str">
        <f>'Conversion Worksheet'!C44</f>
        <v>Library Books</v>
      </c>
      <c r="H25" s="228">
        <v>0</v>
      </c>
    </row>
    <row r="26" spans="3:11" ht="12.75" customHeight="1" x14ac:dyDescent="0.2">
      <c r="C26" s="323" t="str">
        <f>CONCATENATE("Accum. Depreciation - ", C25)</f>
        <v>Accum. Depreciation - Library Books</v>
      </c>
      <c r="D26" s="322"/>
      <c r="I26" s="228">
        <v>0</v>
      </c>
    </row>
    <row r="27" spans="3:11" ht="12.75" customHeight="1" x14ac:dyDescent="0.2">
      <c r="C27" s="322" t="str">
        <f>'Conversion Worksheet'!C49</f>
        <v>Computer equipment</v>
      </c>
      <c r="D27" s="322"/>
      <c r="H27" s="228">
        <v>0</v>
      </c>
    </row>
    <row r="28" spans="3:11" ht="12.75" customHeight="1" x14ac:dyDescent="0.2">
      <c r="C28" s="323" t="str">
        <f>CONCATENATE("Accum. Depreciation - ", C27)</f>
        <v>Accum. Depreciation - Computer equipment</v>
      </c>
      <c r="D28" s="322"/>
      <c r="I28" s="228">
        <v>0</v>
      </c>
    </row>
    <row r="29" spans="3:11" ht="12.75" customHeight="1" x14ac:dyDescent="0.2">
      <c r="C29" s="322" t="str">
        <f>'Conversion Worksheet'!C54</f>
        <v>Other Asset Class 1</v>
      </c>
      <c r="D29" s="322"/>
      <c r="H29" s="228">
        <v>0</v>
      </c>
    </row>
    <row r="30" spans="3:11" ht="12.75" customHeight="1" x14ac:dyDescent="0.2">
      <c r="C30" s="323" t="str">
        <f>CONCATENATE("Accum. Depreciation - ", C29)</f>
        <v>Accum. Depreciation - Other Asset Class 1</v>
      </c>
      <c r="D30" s="322"/>
      <c r="I30" s="228">
        <v>0</v>
      </c>
    </row>
    <row r="31" spans="3:11" ht="12.75" customHeight="1" x14ac:dyDescent="0.2">
      <c r="H31" s="324"/>
      <c r="I31" s="324"/>
    </row>
    <row r="32" spans="3:11" ht="13.5" thickBot="1" x14ac:dyDescent="0.25">
      <c r="C32" s="358" t="s">
        <v>320</v>
      </c>
      <c r="H32" s="325">
        <f>SUM(H17:H31)</f>
        <v>0</v>
      </c>
      <c r="I32" s="325">
        <f>SUM(I17:I31)</f>
        <v>0</v>
      </c>
      <c r="K32" s="355">
        <f>H32-I32</f>
        <v>0</v>
      </c>
    </row>
    <row r="33" spans="1:15" ht="26.25" customHeight="1" thickTop="1" x14ac:dyDescent="0.2">
      <c r="H33" s="326"/>
    </row>
    <row r="34" spans="1:15" ht="28.5" customHeight="1" x14ac:dyDescent="0.2">
      <c r="A34" s="317" t="s">
        <v>342</v>
      </c>
      <c r="B34" s="1097" t="s">
        <v>181</v>
      </c>
      <c r="C34" s="1098"/>
      <c r="D34" s="1098"/>
      <c r="E34" s="1098"/>
      <c r="F34" s="1098"/>
      <c r="G34" s="1098"/>
      <c r="H34" s="1098"/>
      <c r="I34" s="1098"/>
      <c r="J34" s="1098"/>
      <c r="K34" s="1098"/>
      <c r="L34" s="1098"/>
      <c r="M34" s="1098"/>
      <c r="N34" s="1098"/>
      <c r="O34" s="1099"/>
    </row>
    <row r="35" spans="1:15" x14ac:dyDescent="0.2">
      <c r="H35" s="326"/>
    </row>
    <row r="36" spans="1:15" x14ac:dyDescent="0.2">
      <c r="C36" s="357" t="s">
        <v>485</v>
      </c>
      <c r="D36" s="357"/>
      <c r="E36" s="357"/>
      <c r="H36" s="327" t="s">
        <v>657</v>
      </c>
    </row>
    <row r="37" spans="1:15" ht="4.5" customHeight="1" x14ac:dyDescent="0.2">
      <c r="H37" s="326"/>
    </row>
    <row r="38" spans="1:15" x14ac:dyDescent="0.2">
      <c r="C38" s="322" t="s">
        <v>233</v>
      </c>
      <c r="H38" s="228">
        <v>0</v>
      </c>
    </row>
    <row r="39" spans="1:15" x14ac:dyDescent="0.2">
      <c r="C39" s="314" t="s">
        <v>149</v>
      </c>
      <c r="H39" s="228">
        <v>0</v>
      </c>
    </row>
    <row r="40" spans="1:15" x14ac:dyDescent="0.2">
      <c r="C40" s="322" t="s">
        <v>367</v>
      </c>
      <c r="H40" s="229">
        <v>0</v>
      </c>
    </row>
    <row r="41" spans="1:15" x14ac:dyDescent="0.2">
      <c r="C41" s="322" t="s">
        <v>150</v>
      </c>
      <c r="H41" s="228">
        <v>0</v>
      </c>
    </row>
    <row r="42" spans="1:15" x14ac:dyDescent="0.2">
      <c r="C42" s="322" t="s">
        <v>4</v>
      </c>
      <c r="H42" s="228">
        <v>0</v>
      </c>
    </row>
    <row r="43" spans="1:15" x14ac:dyDescent="0.2">
      <c r="C43" s="322" t="s">
        <v>369</v>
      </c>
      <c r="H43" s="228">
        <v>0</v>
      </c>
    </row>
    <row r="44" spans="1:15" x14ac:dyDescent="0.2">
      <c r="C44" s="322" t="s">
        <v>623</v>
      </c>
      <c r="H44" s="228">
        <v>0</v>
      </c>
    </row>
    <row r="45" spans="1:15" x14ac:dyDescent="0.2">
      <c r="C45" s="322" t="str">
        <f>'Conversion Worksheet'!C100</f>
        <v>Other long-term liability #1</v>
      </c>
      <c r="D45" s="322"/>
      <c r="E45" s="322"/>
      <c r="H45" s="228">
        <v>0</v>
      </c>
      <c r="K45" s="450" t="s">
        <v>5</v>
      </c>
      <c r="L45" s="451"/>
      <c r="M45" s="451"/>
      <c r="N45" s="451"/>
      <c r="O45" s="452"/>
    </row>
    <row r="46" spans="1:15" x14ac:dyDescent="0.2">
      <c r="C46" s="322" t="str">
        <f>'Conversion Worksheet'!C101</f>
        <v>Other long-term liability #2</v>
      </c>
      <c r="D46" s="322"/>
      <c r="E46" s="322"/>
      <c r="H46" s="228">
        <v>0</v>
      </c>
      <c r="K46" s="453" t="s">
        <v>6</v>
      </c>
      <c r="L46" s="335"/>
      <c r="M46" s="335"/>
      <c r="N46" s="335"/>
      <c r="O46" s="454"/>
    </row>
    <row r="47" spans="1:15" x14ac:dyDescent="0.2">
      <c r="K47" s="453" t="s">
        <v>7</v>
      </c>
      <c r="L47" s="335"/>
      <c r="M47" s="335"/>
      <c r="N47" s="335"/>
      <c r="O47" s="454"/>
    </row>
    <row r="48" spans="1:15" ht="13.5" thickBot="1" x14ac:dyDescent="0.25">
      <c r="C48" s="358" t="s">
        <v>320</v>
      </c>
      <c r="H48" s="325">
        <f>SUM(H38:H46)</f>
        <v>0</v>
      </c>
      <c r="K48" s="455" t="s">
        <v>8</v>
      </c>
      <c r="L48" s="357"/>
      <c r="M48" s="357"/>
      <c r="N48" s="357"/>
      <c r="O48" s="456"/>
    </row>
    <row r="49" spans="1:15" ht="13.5" thickTop="1" x14ac:dyDescent="0.2"/>
    <row r="51" spans="1:15" ht="28.5" customHeight="1" x14ac:dyDescent="0.2">
      <c r="A51" s="317" t="s">
        <v>527</v>
      </c>
      <c r="B51" s="1100" t="s">
        <v>321</v>
      </c>
      <c r="C51" s="1101"/>
      <c r="D51" s="1101"/>
      <c r="E51" s="1101"/>
      <c r="F51" s="1101"/>
      <c r="G51" s="1101"/>
      <c r="H51" s="1101"/>
      <c r="I51" s="1101"/>
      <c r="J51" s="1101"/>
      <c r="K51" s="1101"/>
      <c r="L51" s="1101"/>
      <c r="M51" s="1101"/>
      <c r="N51" s="1101"/>
      <c r="O51" s="1102"/>
    </row>
    <row r="52" spans="1:15" ht="12.75" customHeight="1" x14ac:dyDescent="0.2">
      <c r="A52" s="317"/>
      <c r="B52" s="328"/>
      <c r="C52" s="328"/>
      <c r="D52" s="328"/>
      <c r="E52" s="328"/>
      <c r="F52" s="328"/>
      <c r="G52" s="328"/>
      <c r="H52" s="328"/>
      <c r="I52" s="328"/>
      <c r="J52" s="328"/>
      <c r="K52" s="328"/>
      <c r="L52" s="328"/>
      <c r="M52" s="328"/>
      <c r="N52" s="328"/>
      <c r="O52" s="328"/>
    </row>
    <row r="53" spans="1:15" x14ac:dyDescent="0.2">
      <c r="I53" s="329" t="s">
        <v>658</v>
      </c>
      <c r="K53" s="329" t="s">
        <v>659</v>
      </c>
    </row>
    <row r="54" spans="1:15" ht="6" customHeight="1" x14ac:dyDescent="0.2">
      <c r="I54" s="330"/>
      <c r="K54" s="330"/>
    </row>
    <row r="55" spans="1:15" ht="12.75" customHeight="1" x14ac:dyDescent="0.2">
      <c r="C55" s="322" t="str">
        <f>C17</f>
        <v>Land</v>
      </c>
      <c r="I55" s="331">
        <f>H17</f>
        <v>0</v>
      </c>
      <c r="K55" s="331"/>
    </row>
    <row r="56" spans="1:15" ht="12.75" customHeight="1" x14ac:dyDescent="0.2">
      <c r="C56" s="322" t="str">
        <f t="shared" ref="C56:C68" si="0">C18</f>
        <v>Construction in progress</v>
      </c>
      <c r="I56" s="331">
        <f>H18</f>
        <v>0</v>
      </c>
      <c r="K56" s="331"/>
    </row>
    <row r="57" spans="1:15" x14ac:dyDescent="0.2">
      <c r="C57" s="322" t="str">
        <f t="shared" si="0"/>
        <v>Buildings</v>
      </c>
      <c r="I57" s="332">
        <f>H19</f>
        <v>0</v>
      </c>
      <c r="K57" s="332"/>
    </row>
    <row r="58" spans="1:15" x14ac:dyDescent="0.2">
      <c r="C58" s="322" t="str">
        <f t="shared" si="0"/>
        <v>Accum. Depreciation - Buildings</v>
      </c>
      <c r="I58" s="332"/>
      <c r="K58" s="332">
        <f>I20</f>
        <v>0</v>
      </c>
    </row>
    <row r="59" spans="1:15" x14ac:dyDescent="0.2">
      <c r="C59" s="322" t="str">
        <f t="shared" si="0"/>
        <v>Equipment and Furniture</v>
      </c>
      <c r="I59" s="332">
        <f>H21</f>
        <v>0</v>
      </c>
      <c r="K59" s="332"/>
    </row>
    <row r="60" spans="1:15" x14ac:dyDescent="0.2">
      <c r="C60" s="322" t="str">
        <f t="shared" si="0"/>
        <v>Accum. Depreciation - Equipment and Furniture</v>
      </c>
      <c r="I60" s="332"/>
      <c r="K60" s="332">
        <f>I22</f>
        <v>0</v>
      </c>
    </row>
    <row r="61" spans="1:15" x14ac:dyDescent="0.2">
      <c r="C61" s="322" t="str">
        <f t="shared" si="0"/>
        <v>Vehicles &amp; Motorized Equipment</v>
      </c>
      <c r="I61" s="332">
        <f>H23</f>
        <v>0</v>
      </c>
      <c r="K61" s="332"/>
    </row>
    <row r="62" spans="1:15" x14ac:dyDescent="0.2">
      <c r="C62" s="322" t="str">
        <f t="shared" si="0"/>
        <v>Accum. Depreciation - Vehicles &amp; Motorized Equipment</v>
      </c>
      <c r="I62" s="332"/>
      <c r="K62" s="332">
        <f>I24</f>
        <v>0</v>
      </c>
    </row>
    <row r="63" spans="1:15" x14ac:dyDescent="0.2">
      <c r="C63" s="322" t="str">
        <f t="shared" si="0"/>
        <v>Library Books</v>
      </c>
      <c r="I63" s="332">
        <f>H25</f>
        <v>0</v>
      </c>
      <c r="K63" s="332"/>
    </row>
    <row r="64" spans="1:15" x14ac:dyDescent="0.2">
      <c r="C64" s="322" t="str">
        <f t="shared" si="0"/>
        <v>Accum. Depreciation - Library Books</v>
      </c>
      <c r="I64" s="331"/>
      <c r="K64" s="331">
        <f>I26</f>
        <v>0</v>
      </c>
    </row>
    <row r="65" spans="3:11" ht="12.75" customHeight="1" x14ac:dyDescent="0.2">
      <c r="C65" s="322" t="str">
        <f t="shared" si="0"/>
        <v>Computer equipment</v>
      </c>
      <c r="F65" s="333"/>
      <c r="I65" s="331">
        <f>H27</f>
        <v>0</v>
      </c>
      <c r="K65" s="331"/>
    </row>
    <row r="66" spans="3:11" ht="12.75" customHeight="1" x14ac:dyDescent="0.2">
      <c r="C66" s="322" t="str">
        <f t="shared" si="0"/>
        <v>Accum. Depreciation - Computer equipment</v>
      </c>
      <c r="F66" s="333"/>
      <c r="I66" s="331"/>
      <c r="K66" s="331">
        <f>I28</f>
        <v>0</v>
      </c>
    </row>
    <row r="67" spans="3:11" ht="12.75" customHeight="1" x14ac:dyDescent="0.2">
      <c r="C67" s="322" t="str">
        <f t="shared" si="0"/>
        <v>Other Asset Class 1</v>
      </c>
      <c r="F67" s="333"/>
      <c r="I67" s="331">
        <f>H29</f>
        <v>0</v>
      </c>
      <c r="K67" s="331"/>
    </row>
    <row r="68" spans="3:11" x14ac:dyDescent="0.2">
      <c r="C68" s="322" t="str">
        <f t="shared" si="0"/>
        <v>Accum. Depreciation - Other Asset Class 1</v>
      </c>
      <c r="F68" s="333"/>
      <c r="I68" s="331"/>
      <c r="K68" s="331">
        <f>I30</f>
        <v>0</v>
      </c>
    </row>
    <row r="69" spans="3:11" ht="12.75" customHeight="1" x14ac:dyDescent="0.2">
      <c r="C69" s="322" t="s">
        <v>322</v>
      </c>
      <c r="F69" s="333"/>
      <c r="I69" s="334"/>
      <c r="J69" s="335"/>
      <c r="K69" s="334">
        <f>I55+I56+I57+I59+I61+I63+I65+I67-K58-K60-K62-K64-K66-K68</f>
        <v>0</v>
      </c>
    </row>
    <row r="70" spans="3:11" ht="12.75" customHeight="1" thickBot="1" x14ac:dyDescent="0.25">
      <c r="C70" s="322"/>
      <c r="F70" s="333"/>
      <c r="H70" s="320">
        <f>I70-K70</f>
        <v>0</v>
      </c>
      <c r="I70" s="336">
        <f>SUM(I55:I69)</f>
        <v>0</v>
      </c>
      <c r="K70" s="336">
        <f>SUM(K55:K69)</f>
        <v>0</v>
      </c>
    </row>
    <row r="71" spans="3:11" ht="15" thickTop="1" x14ac:dyDescent="0.2">
      <c r="C71" s="322"/>
      <c r="F71" s="333"/>
      <c r="I71" s="322"/>
      <c r="J71" s="337"/>
      <c r="K71" s="322"/>
    </row>
    <row r="72" spans="3:11" ht="12.75" customHeight="1" x14ac:dyDescent="0.2">
      <c r="C72" s="322" t="s">
        <v>234</v>
      </c>
      <c r="F72" s="333"/>
      <c r="I72" s="332"/>
      <c r="K72" s="332">
        <f t="shared" ref="K72:K80" si="1">H38</f>
        <v>0</v>
      </c>
    </row>
    <row r="73" spans="3:11" x14ac:dyDescent="0.2">
      <c r="C73" s="322" t="s">
        <v>149</v>
      </c>
      <c r="F73" s="333"/>
      <c r="I73" s="332"/>
      <c r="K73" s="332">
        <f t="shared" si="1"/>
        <v>0</v>
      </c>
    </row>
    <row r="74" spans="3:11" x14ac:dyDescent="0.2">
      <c r="C74" s="322" t="s">
        <v>367</v>
      </c>
      <c r="I74" s="332"/>
      <c r="K74" s="332">
        <f t="shared" si="1"/>
        <v>0</v>
      </c>
    </row>
    <row r="75" spans="3:11" x14ac:dyDescent="0.2">
      <c r="C75" s="322" t="s">
        <v>150</v>
      </c>
      <c r="I75" s="332"/>
      <c r="K75" s="332">
        <f t="shared" si="1"/>
        <v>0</v>
      </c>
    </row>
    <row r="76" spans="3:11" x14ac:dyDescent="0.2">
      <c r="C76" s="322" t="s">
        <v>433</v>
      </c>
      <c r="I76" s="332"/>
      <c r="K76" s="332">
        <f t="shared" si="1"/>
        <v>0</v>
      </c>
    </row>
    <row r="77" spans="3:11" x14ac:dyDescent="0.2">
      <c r="C77" s="322" t="s">
        <v>369</v>
      </c>
      <c r="I77" s="332"/>
      <c r="K77" s="332">
        <f t="shared" si="1"/>
        <v>0</v>
      </c>
    </row>
    <row r="78" spans="3:11" x14ac:dyDescent="0.2">
      <c r="C78" s="322" t="s">
        <v>623</v>
      </c>
      <c r="I78" s="332"/>
      <c r="K78" s="332">
        <f t="shared" si="1"/>
        <v>0</v>
      </c>
    </row>
    <row r="79" spans="3:11" x14ac:dyDescent="0.2">
      <c r="C79" s="322" t="str">
        <f>C45</f>
        <v>Other long-term liability #1</v>
      </c>
      <c r="I79" s="332"/>
      <c r="K79" s="332">
        <f t="shared" si="1"/>
        <v>0</v>
      </c>
    </row>
    <row r="80" spans="3:11" x14ac:dyDescent="0.2">
      <c r="C80" s="322" t="str">
        <f>C46</f>
        <v>Other long-term liability #2</v>
      </c>
      <c r="I80" s="332"/>
      <c r="K80" s="332">
        <f t="shared" si="1"/>
        <v>0</v>
      </c>
    </row>
    <row r="81" spans="3:11" x14ac:dyDescent="0.2">
      <c r="C81" s="322" t="s">
        <v>322</v>
      </c>
      <c r="I81" s="332">
        <f>SUM(K72:K80)</f>
        <v>0</v>
      </c>
      <c r="K81" s="332"/>
    </row>
    <row r="82" spans="3:11" ht="13.5" thickBot="1" x14ac:dyDescent="0.25">
      <c r="H82" s="320">
        <f>I82-K82</f>
        <v>0</v>
      </c>
      <c r="I82" s="336">
        <f>SUM(I72:I81)</f>
        <v>0</v>
      </c>
      <c r="K82" s="336">
        <f>SUM(K72:K81)</f>
        <v>0</v>
      </c>
    </row>
    <row r="83" spans="3:11" ht="13.5" thickTop="1" x14ac:dyDescent="0.2"/>
  </sheetData>
  <sheetProtection algorithmName="SHA-512" hashValue="BkN8whUGpBbWz+MZemQJ03iwiKDFNcV3Ud2Rr7v/Dt2MTZ9ArB185C2uOOezFJhdlrAqYC7MCiH1M+vmoqa7QA==" saltValue="zo43kCCYQmzeYwvBo0Wm2A==" spinCount="100000" sheet="1" objects="1" scenarios="1"/>
  <mergeCells count="8">
    <mergeCell ref="A1:O1"/>
    <mergeCell ref="B13:O13"/>
    <mergeCell ref="B34:O34"/>
    <mergeCell ref="B51:O51"/>
    <mergeCell ref="C6:N7"/>
    <mergeCell ref="C9:O9"/>
    <mergeCell ref="C11:O11"/>
    <mergeCell ref="B3:O3"/>
  </mergeCells>
  <phoneticPr fontId="0" type="noConversion"/>
  <pageMargins left="0.75" right="0.75" top="0.7" bottom="0.51" header="0.5" footer="0.5"/>
  <pageSetup scale="75" fitToHeight="0" orientation="portrait" r:id="rId1"/>
  <headerFooter alignWithMargins="0">
    <oddHeader>&amp;RBeginning CA &amp;  LTD</oddHeader>
    <oddFooter>&amp;R&amp;P</oddFooter>
  </headerFooter>
  <rowBreaks count="1" manualBreakCount="1">
    <brk id="49"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A7A6F-303B-4BAC-ADA1-E2D0AC3B0A49}">
  <dimension ref="A1:C295"/>
  <sheetViews>
    <sheetView workbookViewId="0">
      <selection sqref="A1:B2"/>
    </sheetView>
  </sheetViews>
  <sheetFormatPr defaultRowHeight="15" x14ac:dyDescent="0.25"/>
  <cols>
    <col min="1" max="1" width="14.28515625" style="995" customWidth="1"/>
    <col min="2" max="2" width="54" style="995" customWidth="1"/>
    <col min="3" max="3" width="25.28515625" style="995" customWidth="1"/>
    <col min="4" max="16384" width="9.140625" style="995"/>
  </cols>
  <sheetData>
    <row r="1" spans="1:3" x14ac:dyDescent="0.25">
      <c r="A1" s="995" t="s">
        <v>1695</v>
      </c>
      <c r="B1" s="995" t="s">
        <v>1083</v>
      </c>
      <c r="C1" s="995" t="s">
        <v>1732</v>
      </c>
    </row>
    <row r="2" spans="1:3" x14ac:dyDescent="0.25">
      <c r="A2" s="996" t="s">
        <v>533</v>
      </c>
      <c r="B2" s="995" t="s">
        <v>1543</v>
      </c>
      <c r="C2" s="997">
        <v>0</v>
      </c>
    </row>
    <row r="3" spans="1:3" x14ac:dyDescent="0.25">
      <c r="A3" s="995">
        <v>10200</v>
      </c>
      <c r="B3" s="995" t="s">
        <v>791</v>
      </c>
      <c r="C3" s="997">
        <v>55028.2</v>
      </c>
    </row>
    <row r="4" spans="1:3" x14ac:dyDescent="0.25">
      <c r="A4" s="995">
        <v>10400</v>
      </c>
      <c r="B4" s="995" t="s">
        <v>792</v>
      </c>
      <c r="C4" s="997">
        <v>188627.48</v>
      </c>
    </row>
    <row r="5" spans="1:3" x14ac:dyDescent="0.25">
      <c r="A5" s="995">
        <v>10500</v>
      </c>
      <c r="B5" s="995" t="s">
        <v>793</v>
      </c>
      <c r="C5" s="997">
        <v>40464.959999999999</v>
      </c>
    </row>
    <row r="6" spans="1:3" x14ac:dyDescent="0.25">
      <c r="A6" s="995">
        <v>10700</v>
      </c>
      <c r="B6" s="995" t="s">
        <v>1544</v>
      </c>
      <c r="C6" s="997">
        <v>279734.5</v>
      </c>
    </row>
    <row r="7" spans="1:3" x14ac:dyDescent="0.25">
      <c r="A7" s="995">
        <v>10800</v>
      </c>
      <c r="B7" s="995" t="s">
        <v>795</v>
      </c>
      <c r="C7" s="997">
        <v>1172145.07</v>
      </c>
    </row>
    <row r="8" spans="1:3" x14ac:dyDescent="0.25">
      <c r="A8" s="995">
        <v>10850</v>
      </c>
      <c r="B8" s="995" t="s">
        <v>796</v>
      </c>
      <c r="C8" s="997">
        <v>11878.62</v>
      </c>
    </row>
    <row r="9" spans="1:3" x14ac:dyDescent="0.25">
      <c r="A9" s="995">
        <v>10900</v>
      </c>
      <c r="B9" s="995" t="s">
        <v>797</v>
      </c>
      <c r="C9" s="997">
        <v>122380.3</v>
      </c>
    </row>
    <row r="10" spans="1:3" x14ac:dyDescent="0.25">
      <c r="A10" s="995">
        <v>10910</v>
      </c>
      <c r="B10" s="995" t="s">
        <v>798</v>
      </c>
      <c r="C10" s="997">
        <v>15737.25</v>
      </c>
    </row>
    <row r="11" spans="1:3" x14ac:dyDescent="0.25">
      <c r="A11" s="995">
        <v>10930</v>
      </c>
      <c r="B11" s="995" t="s">
        <v>799</v>
      </c>
      <c r="C11" s="997">
        <v>175276.37</v>
      </c>
    </row>
    <row r="12" spans="1:3" x14ac:dyDescent="0.25">
      <c r="A12" s="995">
        <v>10940</v>
      </c>
      <c r="B12" s="995" t="s">
        <v>800</v>
      </c>
      <c r="C12" s="997">
        <v>44236.34</v>
      </c>
    </row>
    <row r="13" spans="1:3" x14ac:dyDescent="0.25">
      <c r="A13" s="995">
        <v>10950</v>
      </c>
      <c r="B13" s="995" t="s">
        <v>801</v>
      </c>
      <c r="C13" s="997">
        <v>48128.58</v>
      </c>
    </row>
    <row r="14" spans="1:3" x14ac:dyDescent="0.25">
      <c r="A14" s="995">
        <v>11300</v>
      </c>
      <c r="B14" s="995" t="s">
        <v>802</v>
      </c>
      <c r="C14" s="997">
        <v>308429.46999999997</v>
      </c>
    </row>
    <row r="15" spans="1:3" x14ac:dyDescent="0.25">
      <c r="A15" s="995">
        <v>11310</v>
      </c>
      <c r="B15" s="995" t="s">
        <v>803</v>
      </c>
      <c r="C15" s="997">
        <v>32828.339999999997</v>
      </c>
    </row>
    <row r="16" spans="1:3" x14ac:dyDescent="0.25">
      <c r="A16" s="995">
        <v>11600</v>
      </c>
      <c r="B16" s="995" t="s">
        <v>804</v>
      </c>
      <c r="C16" s="997">
        <v>118248.3</v>
      </c>
    </row>
    <row r="17" spans="1:3" x14ac:dyDescent="0.25">
      <c r="A17" s="995">
        <v>11900</v>
      </c>
      <c r="B17" s="995" t="s">
        <v>805</v>
      </c>
      <c r="C17" s="997">
        <v>11838.42</v>
      </c>
    </row>
    <row r="18" spans="1:3" x14ac:dyDescent="0.25">
      <c r="A18" s="995">
        <v>12100</v>
      </c>
      <c r="B18" s="995" t="s">
        <v>806</v>
      </c>
      <c r="C18" s="997">
        <v>15324.39</v>
      </c>
    </row>
    <row r="19" spans="1:3" x14ac:dyDescent="0.25">
      <c r="A19" s="995">
        <v>12150</v>
      </c>
      <c r="B19" s="995" t="s">
        <v>807</v>
      </c>
      <c r="C19" s="997">
        <v>1850.28</v>
      </c>
    </row>
    <row r="20" spans="1:3" x14ac:dyDescent="0.25">
      <c r="A20" s="995">
        <v>12160</v>
      </c>
      <c r="B20" s="995" t="s">
        <v>808</v>
      </c>
      <c r="C20" s="997">
        <v>117177.13</v>
      </c>
    </row>
    <row r="21" spans="1:3" x14ac:dyDescent="0.25">
      <c r="A21" s="995">
        <v>12220</v>
      </c>
      <c r="B21" s="995" t="s">
        <v>809</v>
      </c>
      <c r="C21" s="997">
        <v>2915570.43</v>
      </c>
    </row>
    <row r="22" spans="1:3" x14ac:dyDescent="0.25">
      <c r="A22" s="995">
        <v>12510</v>
      </c>
      <c r="B22" s="995" t="s">
        <v>810</v>
      </c>
      <c r="C22" s="997">
        <v>352154.8</v>
      </c>
    </row>
    <row r="23" spans="1:3" x14ac:dyDescent="0.25">
      <c r="A23" s="995">
        <v>12600</v>
      </c>
      <c r="B23" s="995" t="s">
        <v>811</v>
      </c>
      <c r="C23" s="997">
        <v>95607.31</v>
      </c>
    </row>
    <row r="24" spans="1:3" x14ac:dyDescent="0.25">
      <c r="A24" s="995">
        <v>12700</v>
      </c>
      <c r="B24" s="995" t="s">
        <v>812</v>
      </c>
      <c r="C24" s="997">
        <v>73453.8</v>
      </c>
    </row>
    <row r="25" spans="1:3" x14ac:dyDescent="0.25">
      <c r="A25" s="995">
        <v>13500</v>
      </c>
      <c r="B25" s="995" t="s">
        <v>813</v>
      </c>
      <c r="C25" s="997">
        <v>265025.67</v>
      </c>
    </row>
    <row r="26" spans="1:3" x14ac:dyDescent="0.25">
      <c r="A26" s="995">
        <v>13700</v>
      </c>
      <c r="B26" s="995" t="s">
        <v>814</v>
      </c>
      <c r="C26" s="997">
        <v>31217</v>
      </c>
    </row>
    <row r="27" spans="1:3" x14ac:dyDescent="0.25">
      <c r="A27" s="995">
        <v>14300</v>
      </c>
      <c r="B27" s="995" t="s">
        <v>816</v>
      </c>
      <c r="C27" s="997">
        <v>104454.51</v>
      </c>
    </row>
    <row r="28" spans="1:3" x14ac:dyDescent="0.25">
      <c r="A28" s="995">
        <v>18400</v>
      </c>
      <c r="B28" s="995" t="s">
        <v>1546</v>
      </c>
      <c r="C28" s="997">
        <v>342203.4</v>
      </c>
    </row>
    <row r="29" spans="1:3" x14ac:dyDescent="0.25">
      <c r="A29" s="995">
        <v>18600</v>
      </c>
      <c r="B29" s="995" t="s">
        <v>818</v>
      </c>
      <c r="C29" s="997">
        <v>961.25</v>
      </c>
    </row>
    <row r="30" spans="1:3" x14ac:dyDescent="0.25">
      <c r="A30" s="995">
        <v>18640</v>
      </c>
      <c r="B30" s="995" t="s">
        <v>819</v>
      </c>
      <c r="C30" s="997">
        <v>19</v>
      </c>
    </row>
    <row r="31" spans="1:3" x14ac:dyDescent="0.25">
      <c r="A31" s="995">
        <v>18690</v>
      </c>
      <c r="B31" s="995" t="s">
        <v>821</v>
      </c>
      <c r="C31" s="997">
        <v>238.87</v>
      </c>
    </row>
    <row r="32" spans="1:3" x14ac:dyDescent="0.25">
      <c r="A32" s="995">
        <v>18740</v>
      </c>
      <c r="B32" s="995" t="s">
        <v>822</v>
      </c>
      <c r="C32" s="997">
        <v>494.46</v>
      </c>
    </row>
    <row r="33" spans="1:3" x14ac:dyDescent="0.25">
      <c r="A33" s="995">
        <v>18780</v>
      </c>
      <c r="B33" s="995" t="s">
        <v>823</v>
      </c>
      <c r="C33" s="997">
        <v>943.88</v>
      </c>
    </row>
    <row r="34" spans="1:3" x14ac:dyDescent="0.25">
      <c r="A34" s="995">
        <v>19005</v>
      </c>
      <c r="B34" s="995" t="s">
        <v>824</v>
      </c>
      <c r="C34" s="997">
        <v>51914.39</v>
      </c>
    </row>
    <row r="35" spans="1:3" x14ac:dyDescent="0.25">
      <c r="A35" s="995">
        <v>19100</v>
      </c>
      <c r="B35" s="995" t="s">
        <v>825</v>
      </c>
      <c r="C35" s="997">
        <v>3960239.31</v>
      </c>
    </row>
    <row r="36" spans="1:3" x14ac:dyDescent="0.25">
      <c r="A36" s="998">
        <v>20100</v>
      </c>
      <c r="B36" s="998" t="s">
        <v>826</v>
      </c>
      <c r="C36" s="999">
        <v>655778.84</v>
      </c>
    </row>
    <row r="37" spans="1:3" x14ac:dyDescent="0.25">
      <c r="A37" s="995">
        <v>20200</v>
      </c>
      <c r="B37" s="995" t="s">
        <v>827</v>
      </c>
      <c r="C37" s="997">
        <v>102191.32</v>
      </c>
    </row>
    <row r="38" spans="1:3" x14ac:dyDescent="0.25">
      <c r="A38" s="995">
        <v>20300</v>
      </c>
      <c r="B38" s="995" t="s">
        <v>828</v>
      </c>
      <c r="C38" s="997">
        <v>1515610.54</v>
      </c>
    </row>
    <row r="39" spans="1:3" x14ac:dyDescent="0.25">
      <c r="A39" s="995">
        <v>20400</v>
      </c>
      <c r="B39" s="995" t="s">
        <v>829</v>
      </c>
      <c r="C39" s="997">
        <v>80103.429999999993</v>
      </c>
    </row>
    <row r="40" spans="1:3" x14ac:dyDescent="0.25">
      <c r="A40" s="995">
        <v>20600</v>
      </c>
      <c r="B40" s="995" t="s">
        <v>830</v>
      </c>
      <c r="C40" s="997">
        <v>187892.47</v>
      </c>
    </row>
    <row r="41" spans="1:3" x14ac:dyDescent="0.25">
      <c r="A41" s="995">
        <v>20700</v>
      </c>
      <c r="B41" s="995" t="s">
        <v>831</v>
      </c>
      <c r="C41" s="997">
        <v>404314.7</v>
      </c>
    </row>
    <row r="42" spans="1:3" x14ac:dyDescent="0.25">
      <c r="A42" s="995">
        <v>20800</v>
      </c>
      <c r="B42" s="995" t="s">
        <v>832</v>
      </c>
      <c r="C42" s="997">
        <v>307982.95</v>
      </c>
    </row>
    <row r="43" spans="1:3" x14ac:dyDescent="0.25">
      <c r="A43" s="995">
        <v>20900</v>
      </c>
      <c r="B43" s="995" t="s">
        <v>833</v>
      </c>
      <c r="C43" s="997">
        <v>625375.09</v>
      </c>
    </row>
    <row r="44" spans="1:3" x14ac:dyDescent="0.25">
      <c r="A44" s="995">
        <v>21200</v>
      </c>
      <c r="B44" s="995" t="s">
        <v>834</v>
      </c>
      <c r="C44" s="997">
        <v>189730.62</v>
      </c>
    </row>
    <row r="45" spans="1:3" x14ac:dyDescent="0.25">
      <c r="A45" s="995">
        <v>21300</v>
      </c>
      <c r="B45" s="995" t="s">
        <v>835</v>
      </c>
      <c r="C45" s="997">
        <v>2370987.42</v>
      </c>
    </row>
    <row r="46" spans="1:3" x14ac:dyDescent="0.25">
      <c r="A46" s="995">
        <v>21520</v>
      </c>
      <c r="B46" s="995" t="s">
        <v>1547</v>
      </c>
      <c r="C46" s="997">
        <v>4202749.92</v>
      </c>
    </row>
    <row r="47" spans="1:3" x14ac:dyDescent="0.25">
      <c r="A47" s="995">
        <v>21525</v>
      </c>
      <c r="B47" s="995" t="s">
        <v>837</v>
      </c>
      <c r="C47" s="997">
        <v>121245.74</v>
      </c>
    </row>
    <row r="48" spans="1:3" x14ac:dyDescent="0.25">
      <c r="A48" s="995">
        <v>21550</v>
      </c>
      <c r="B48" s="995" t="s">
        <v>838</v>
      </c>
      <c r="C48" s="997">
        <v>2317812.5699999998</v>
      </c>
    </row>
    <row r="49" spans="1:3" x14ac:dyDescent="0.25">
      <c r="A49" s="995">
        <v>21570</v>
      </c>
      <c r="B49" s="995" t="s">
        <v>839</v>
      </c>
      <c r="C49" s="997">
        <v>11826.29</v>
      </c>
    </row>
    <row r="50" spans="1:3" x14ac:dyDescent="0.25">
      <c r="A50" s="995">
        <v>21800</v>
      </c>
      <c r="B50" s="995" t="s">
        <v>840</v>
      </c>
      <c r="C50" s="997">
        <v>346556.48</v>
      </c>
    </row>
    <row r="51" spans="1:3" x14ac:dyDescent="0.25">
      <c r="A51" s="995">
        <v>21900</v>
      </c>
      <c r="B51" s="995" t="s">
        <v>841</v>
      </c>
      <c r="C51" s="997">
        <v>213433.08</v>
      </c>
    </row>
    <row r="52" spans="1:3" x14ac:dyDescent="0.25">
      <c r="A52" s="995">
        <v>22000</v>
      </c>
      <c r="B52" s="995" t="s">
        <v>842</v>
      </c>
      <c r="C52" s="997">
        <v>245281.77</v>
      </c>
    </row>
    <row r="53" spans="1:3" x14ac:dyDescent="0.25">
      <c r="A53" s="995">
        <v>23000</v>
      </c>
      <c r="B53" s="995" t="s">
        <v>843</v>
      </c>
      <c r="C53" s="997">
        <v>159068.81</v>
      </c>
    </row>
    <row r="54" spans="1:3" x14ac:dyDescent="0.25">
      <c r="A54" s="995">
        <v>23100</v>
      </c>
      <c r="B54" s="995" t="s">
        <v>844</v>
      </c>
      <c r="C54" s="997">
        <v>928113.95</v>
      </c>
    </row>
    <row r="55" spans="1:3" x14ac:dyDescent="0.25">
      <c r="A55" s="995">
        <v>23200</v>
      </c>
      <c r="B55" s="995" t="s">
        <v>845</v>
      </c>
      <c r="C55" s="997">
        <v>474107.44</v>
      </c>
    </row>
    <row r="56" spans="1:3" x14ac:dyDescent="0.25">
      <c r="A56" s="995">
        <v>30000</v>
      </c>
      <c r="B56" s="995" t="s">
        <v>846</v>
      </c>
      <c r="C56" s="997">
        <v>52748.26</v>
      </c>
    </row>
    <row r="57" spans="1:3" x14ac:dyDescent="0.25">
      <c r="A57" s="995">
        <v>30100</v>
      </c>
      <c r="B57" s="995" t="s">
        <v>847</v>
      </c>
      <c r="C57" s="997">
        <v>435695.25</v>
      </c>
    </row>
    <row r="58" spans="1:3" x14ac:dyDescent="0.25">
      <c r="A58" s="995">
        <v>30102</v>
      </c>
      <c r="B58" s="995" t="s">
        <v>848</v>
      </c>
      <c r="C58" s="997">
        <v>7757.3</v>
      </c>
    </row>
    <row r="59" spans="1:3" x14ac:dyDescent="0.25">
      <c r="A59" s="995">
        <v>30103</v>
      </c>
      <c r="B59" s="995" t="s">
        <v>849</v>
      </c>
      <c r="C59" s="997">
        <v>10296.77</v>
      </c>
    </row>
    <row r="60" spans="1:3" x14ac:dyDescent="0.25">
      <c r="A60" s="995">
        <v>30104</v>
      </c>
      <c r="B60" s="995" t="s">
        <v>850</v>
      </c>
      <c r="C60" s="997">
        <v>5280.61</v>
      </c>
    </row>
    <row r="61" spans="1:3" x14ac:dyDescent="0.25">
      <c r="A61" s="995">
        <v>30105</v>
      </c>
      <c r="B61" s="995" t="s">
        <v>851</v>
      </c>
      <c r="C61" s="997">
        <v>52256.41</v>
      </c>
    </row>
    <row r="62" spans="1:3" x14ac:dyDescent="0.25">
      <c r="A62" s="995">
        <v>30200</v>
      </c>
      <c r="B62" s="995" t="s">
        <v>852</v>
      </c>
      <c r="C62" s="997">
        <v>104307.76</v>
      </c>
    </row>
    <row r="63" spans="1:3" x14ac:dyDescent="0.25">
      <c r="A63" s="995">
        <v>30300</v>
      </c>
      <c r="B63" s="995" t="s">
        <v>853</v>
      </c>
      <c r="C63" s="997">
        <v>34602.78</v>
      </c>
    </row>
    <row r="64" spans="1:3" x14ac:dyDescent="0.25">
      <c r="A64" s="995">
        <v>30400</v>
      </c>
      <c r="B64" s="995" t="s">
        <v>854</v>
      </c>
      <c r="C64" s="997">
        <v>70410.95</v>
      </c>
    </row>
    <row r="65" spans="1:3" x14ac:dyDescent="0.25">
      <c r="A65" s="995">
        <v>30405</v>
      </c>
      <c r="B65" s="995" t="s">
        <v>855</v>
      </c>
      <c r="C65" s="997">
        <v>44158.34</v>
      </c>
    </row>
    <row r="66" spans="1:3" x14ac:dyDescent="0.25">
      <c r="A66" s="995">
        <v>30500</v>
      </c>
      <c r="B66" s="995" t="s">
        <v>856</v>
      </c>
      <c r="C66" s="997">
        <v>69277.84</v>
      </c>
    </row>
    <row r="67" spans="1:3" x14ac:dyDescent="0.25">
      <c r="A67" s="995">
        <v>30600</v>
      </c>
      <c r="B67" s="995" t="s">
        <v>857</v>
      </c>
      <c r="C67" s="997">
        <v>54250.06</v>
      </c>
    </row>
    <row r="68" spans="1:3" x14ac:dyDescent="0.25">
      <c r="A68" s="995">
        <v>30601</v>
      </c>
      <c r="B68" s="995" t="s">
        <v>858</v>
      </c>
      <c r="C68" s="997">
        <v>1158.54</v>
      </c>
    </row>
    <row r="69" spans="1:3" x14ac:dyDescent="0.25">
      <c r="A69" s="995">
        <v>30700</v>
      </c>
      <c r="B69" s="995" t="s">
        <v>859</v>
      </c>
      <c r="C69" s="997">
        <v>140570.6</v>
      </c>
    </row>
    <row r="70" spans="1:3" x14ac:dyDescent="0.25">
      <c r="A70" s="995">
        <v>30705</v>
      </c>
      <c r="B70" s="995" t="s">
        <v>860</v>
      </c>
      <c r="C70" s="997">
        <v>27586.52</v>
      </c>
    </row>
    <row r="71" spans="1:3" x14ac:dyDescent="0.25">
      <c r="A71" s="995">
        <v>30800</v>
      </c>
      <c r="B71" s="995" t="s">
        <v>861</v>
      </c>
      <c r="C71" s="997">
        <v>54358.54</v>
      </c>
    </row>
    <row r="72" spans="1:3" x14ac:dyDescent="0.25">
      <c r="A72" s="995">
        <v>30900</v>
      </c>
      <c r="B72" s="995" t="s">
        <v>862</v>
      </c>
      <c r="C72" s="997">
        <v>95893.51</v>
      </c>
    </row>
    <row r="73" spans="1:3" x14ac:dyDescent="0.25">
      <c r="A73" s="995">
        <v>30905</v>
      </c>
      <c r="B73" s="995" t="s">
        <v>863</v>
      </c>
      <c r="C73" s="997">
        <v>22515.919999999998</v>
      </c>
    </row>
    <row r="74" spans="1:3" x14ac:dyDescent="0.25">
      <c r="A74" s="995">
        <v>31000</v>
      </c>
      <c r="B74" s="995" t="s">
        <v>864</v>
      </c>
      <c r="C74" s="997">
        <v>262025.9</v>
      </c>
    </row>
    <row r="75" spans="1:3" x14ac:dyDescent="0.25">
      <c r="A75" s="995">
        <v>31005</v>
      </c>
      <c r="B75" s="995" t="s">
        <v>865</v>
      </c>
      <c r="C75" s="997">
        <v>28728.03</v>
      </c>
    </row>
    <row r="76" spans="1:3" x14ac:dyDescent="0.25">
      <c r="A76" s="995">
        <v>31100</v>
      </c>
      <c r="B76" s="995" t="s">
        <v>866</v>
      </c>
      <c r="C76" s="997">
        <v>525027.66</v>
      </c>
    </row>
    <row r="77" spans="1:3" x14ac:dyDescent="0.25">
      <c r="A77" s="995">
        <v>31101</v>
      </c>
      <c r="B77" s="995" t="s">
        <v>867</v>
      </c>
      <c r="C77" s="997">
        <v>3221.54</v>
      </c>
    </row>
    <row r="78" spans="1:3" x14ac:dyDescent="0.25">
      <c r="A78" s="995">
        <v>31102</v>
      </c>
      <c r="B78" s="995" t="s">
        <v>868</v>
      </c>
      <c r="C78" s="997">
        <v>7585.53</v>
      </c>
    </row>
    <row r="79" spans="1:3" x14ac:dyDescent="0.25">
      <c r="A79" s="995">
        <v>31105</v>
      </c>
      <c r="B79" s="995" t="s">
        <v>869</v>
      </c>
      <c r="C79" s="997">
        <v>89794.03</v>
      </c>
    </row>
    <row r="80" spans="1:3" x14ac:dyDescent="0.25">
      <c r="A80" s="995">
        <v>31110</v>
      </c>
      <c r="B80" s="995" t="s">
        <v>870</v>
      </c>
      <c r="C80" s="997">
        <v>115075.35</v>
      </c>
    </row>
    <row r="81" spans="1:3" x14ac:dyDescent="0.25">
      <c r="A81" s="995">
        <v>31200</v>
      </c>
      <c r="B81" s="995" t="s">
        <v>871</v>
      </c>
      <c r="C81" s="997">
        <v>239179.45</v>
      </c>
    </row>
    <row r="82" spans="1:3" x14ac:dyDescent="0.25">
      <c r="A82" s="995">
        <v>31205</v>
      </c>
      <c r="B82" s="995" t="s">
        <v>872</v>
      </c>
      <c r="C82" s="997">
        <v>32313.599999999999</v>
      </c>
    </row>
    <row r="83" spans="1:3" x14ac:dyDescent="0.25">
      <c r="A83" s="995">
        <v>31300</v>
      </c>
      <c r="B83" s="995" t="s">
        <v>873</v>
      </c>
      <c r="C83" s="997">
        <v>599377.03</v>
      </c>
    </row>
    <row r="84" spans="1:3" x14ac:dyDescent="0.25">
      <c r="A84" s="995">
        <v>31301</v>
      </c>
      <c r="B84" s="995" t="s">
        <v>874</v>
      </c>
      <c r="C84" s="997">
        <v>13094.1</v>
      </c>
    </row>
    <row r="85" spans="1:3" x14ac:dyDescent="0.25">
      <c r="A85" s="995">
        <v>31320</v>
      </c>
      <c r="B85" s="995" t="s">
        <v>875</v>
      </c>
      <c r="C85" s="997">
        <v>108244.85</v>
      </c>
    </row>
    <row r="86" spans="1:3" x14ac:dyDescent="0.25">
      <c r="A86" s="995">
        <v>31400</v>
      </c>
      <c r="B86" s="995" t="s">
        <v>876</v>
      </c>
      <c r="C86" s="997">
        <v>249257.61</v>
      </c>
    </row>
    <row r="87" spans="1:3" x14ac:dyDescent="0.25">
      <c r="A87" s="995">
        <v>31405</v>
      </c>
      <c r="B87" s="995" t="s">
        <v>877</v>
      </c>
      <c r="C87" s="997">
        <v>56871.67</v>
      </c>
    </row>
    <row r="88" spans="1:3" x14ac:dyDescent="0.25">
      <c r="A88" s="995">
        <v>31500</v>
      </c>
      <c r="B88" s="995" t="s">
        <v>878</v>
      </c>
      <c r="C88" s="997">
        <v>39746.660000000003</v>
      </c>
    </row>
    <row r="89" spans="1:3" x14ac:dyDescent="0.25">
      <c r="A89" s="995">
        <v>31600</v>
      </c>
      <c r="B89" s="995" t="s">
        <v>879</v>
      </c>
      <c r="C89" s="997">
        <v>176059.3</v>
      </c>
    </row>
    <row r="90" spans="1:3" x14ac:dyDescent="0.25">
      <c r="A90" s="995">
        <v>31605</v>
      </c>
      <c r="B90" s="995" t="s">
        <v>881</v>
      </c>
      <c r="C90" s="997">
        <v>28877.67</v>
      </c>
    </row>
    <row r="91" spans="1:3" x14ac:dyDescent="0.25">
      <c r="A91" s="995">
        <v>31700</v>
      </c>
      <c r="B91" s="995" t="s">
        <v>882</v>
      </c>
      <c r="C91" s="997">
        <v>56151.61</v>
      </c>
    </row>
    <row r="92" spans="1:3" x14ac:dyDescent="0.25">
      <c r="A92" s="995">
        <v>31800</v>
      </c>
      <c r="B92" s="995" t="s">
        <v>883</v>
      </c>
      <c r="C92" s="997">
        <v>318426.53999999998</v>
      </c>
    </row>
    <row r="93" spans="1:3" x14ac:dyDescent="0.25">
      <c r="A93" s="995">
        <v>31805</v>
      </c>
      <c r="B93" s="995" t="s">
        <v>884</v>
      </c>
      <c r="C93" s="997">
        <v>67964.19</v>
      </c>
    </row>
    <row r="94" spans="1:3" x14ac:dyDescent="0.25">
      <c r="A94" s="995">
        <v>31810</v>
      </c>
      <c r="B94" s="995" t="s">
        <v>885</v>
      </c>
      <c r="C94" s="997">
        <v>80788.27</v>
      </c>
    </row>
    <row r="95" spans="1:3" x14ac:dyDescent="0.25">
      <c r="A95" s="995">
        <v>31820</v>
      </c>
      <c r="B95" s="995" t="s">
        <v>886</v>
      </c>
      <c r="C95" s="997">
        <v>66390.600000000006</v>
      </c>
    </row>
    <row r="96" spans="1:3" x14ac:dyDescent="0.25">
      <c r="A96" s="995">
        <v>31900</v>
      </c>
      <c r="B96" s="995" t="s">
        <v>887</v>
      </c>
      <c r="C96" s="997">
        <v>189465.73</v>
      </c>
    </row>
    <row r="97" spans="1:3" x14ac:dyDescent="0.25">
      <c r="A97" s="995">
        <v>32000</v>
      </c>
      <c r="B97" s="995" t="s">
        <v>888</v>
      </c>
      <c r="C97" s="997">
        <v>77877.539999999994</v>
      </c>
    </row>
    <row r="98" spans="1:3" x14ac:dyDescent="0.25">
      <c r="A98" s="995">
        <v>32005</v>
      </c>
      <c r="B98" s="995" t="s">
        <v>889</v>
      </c>
      <c r="C98" s="997">
        <v>19425.11</v>
      </c>
    </row>
    <row r="99" spans="1:3" x14ac:dyDescent="0.25">
      <c r="A99" s="995">
        <v>32100</v>
      </c>
      <c r="B99" s="995" t="s">
        <v>890</v>
      </c>
      <c r="C99" s="997">
        <v>47417.69</v>
      </c>
    </row>
    <row r="100" spans="1:3" x14ac:dyDescent="0.25">
      <c r="A100" s="995">
        <v>32200</v>
      </c>
      <c r="B100" s="995" t="s">
        <v>891</v>
      </c>
      <c r="C100" s="997">
        <v>30338.75</v>
      </c>
    </row>
    <row r="101" spans="1:3" x14ac:dyDescent="0.25">
      <c r="A101" s="995">
        <v>32300</v>
      </c>
      <c r="B101" s="995" t="s">
        <v>892</v>
      </c>
      <c r="C101" s="997">
        <v>322943.08</v>
      </c>
    </row>
    <row r="102" spans="1:3" x14ac:dyDescent="0.25">
      <c r="A102" s="995">
        <v>32305</v>
      </c>
      <c r="B102" s="995" t="s">
        <v>1548</v>
      </c>
      <c r="C102" s="997">
        <v>37930.480000000003</v>
      </c>
    </row>
    <row r="103" spans="1:3" x14ac:dyDescent="0.25">
      <c r="A103" s="995">
        <v>32400</v>
      </c>
      <c r="B103" s="995" t="s">
        <v>894</v>
      </c>
      <c r="C103" s="997">
        <v>125396.16</v>
      </c>
    </row>
    <row r="104" spans="1:3" x14ac:dyDescent="0.25">
      <c r="A104" s="995">
        <v>32405</v>
      </c>
      <c r="B104" s="995" t="s">
        <v>895</v>
      </c>
      <c r="C104" s="997">
        <v>33896.120000000003</v>
      </c>
    </row>
    <row r="105" spans="1:3" x14ac:dyDescent="0.25">
      <c r="A105" s="995">
        <v>32410</v>
      </c>
      <c r="B105" s="995" t="s">
        <v>896</v>
      </c>
      <c r="C105" s="997">
        <v>49496.959999999999</v>
      </c>
    </row>
    <row r="106" spans="1:3" x14ac:dyDescent="0.25">
      <c r="A106" s="995">
        <v>32500</v>
      </c>
      <c r="B106" s="995" t="s">
        <v>1549</v>
      </c>
      <c r="C106" s="997">
        <v>256876.05</v>
      </c>
    </row>
    <row r="107" spans="1:3" x14ac:dyDescent="0.25">
      <c r="A107" s="995">
        <v>32505</v>
      </c>
      <c r="B107" s="995" t="s">
        <v>899</v>
      </c>
      <c r="C107" s="997">
        <v>42185.91</v>
      </c>
    </row>
    <row r="108" spans="1:3" x14ac:dyDescent="0.25">
      <c r="A108" s="995">
        <v>32600</v>
      </c>
      <c r="B108" s="995" t="s">
        <v>900</v>
      </c>
      <c r="C108" s="997">
        <v>928130.07</v>
      </c>
    </row>
    <row r="109" spans="1:3" x14ac:dyDescent="0.25">
      <c r="A109" s="995">
        <v>32605</v>
      </c>
      <c r="B109" s="995" t="s">
        <v>901</v>
      </c>
      <c r="C109" s="997">
        <v>148755.51</v>
      </c>
    </row>
    <row r="110" spans="1:3" x14ac:dyDescent="0.25">
      <c r="A110" s="995">
        <v>32700</v>
      </c>
      <c r="B110" s="995" t="s">
        <v>902</v>
      </c>
      <c r="C110" s="997">
        <v>86229.17</v>
      </c>
    </row>
    <row r="111" spans="1:3" x14ac:dyDescent="0.25">
      <c r="A111" s="995">
        <v>32800</v>
      </c>
      <c r="B111" s="995" t="s">
        <v>903</v>
      </c>
      <c r="C111" s="997">
        <v>126899.74</v>
      </c>
    </row>
    <row r="112" spans="1:3" x14ac:dyDescent="0.25">
      <c r="A112" s="995">
        <v>32900</v>
      </c>
      <c r="B112" s="995" t="s">
        <v>904</v>
      </c>
      <c r="C112" s="997">
        <v>347007.61</v>
      </c>
    </row>
    <row r="113" spans="1:3" x14ac:dyDescent="0.25">
      <c r="A113" s="995">
        <v>32901</v>
      </c>
      <c r="B113" s="995" t="s">
        <v>1550</v>
      </c>
      <c r="C113" s="997">
        <v>7446.01</v>
      </c>
    </row>
    <row r="114" spans="1:3" x14ac:dyDescent="0.25">
      <c r="A114" s="995">
        <v>32905</v>
      </c>
      <c r="B114" s="995" t="s">
        <v>906</v>
      </c>
      <c r="C114" s="997">
        <v>55440.82</v>
      </c>
    </row>
    <row r="115" spans="1:3" x14ac:dyDescent="0.25">
      <c r="A115" s="995">
        <v>32910</v>
      </c>
      <c r="B115" s="995" t="s">
        <v>907</v>
      </c>
      <c r="C115" s="997">
        <v>67671.67</v>
      </c>
    </row>
    <row r="116" spans="1:3" x14ac:dyDescent="0.25">
      <c r="A116" s="995">
        <v>32920</v>
      </c>
      <c r="B116" s="995" t="s">
        <v>908</v>
      </c>
      <c r="C116" s="997">
        <v>53481.36</v>
      </c>
    </row>
    <row r="117" spans="1:3" x14ac:dyDescent="0.25">
      <c r="A117" s="995">
        <v>33000</v>
      </c>
      <c r="B117" s="995" t="s">
        <v>909</v>
      </c>
      <c r="C117" s="997">
        <v>127550.21</v>
      </c>
    </row>
    <row r="118" spans="1:3" x14ac:dyDescent="0.25">
      <c r="A118" s="995">
        <v>33001</v>
      </c>
      <c r="B118" s="995" t="s">
        <v>910</v>
      </c>
      <c r="C118" s="997">
        <v>3806.6</v>
      </c>
    </row>
    <row r="119" spans="1:3" x14ac:dyDescent="0.25">
      <c r="A119" s="995">
        <v>33027</v>
      </c>
      <c r="B119" s="995" t="s">
        <v>911</v>
      </c>
      <c r="C119" s="997">
        <v>12265.96</v>
      </c>
    </row>
    <row r="120" spans="1:3" x14ac:dyDescent="0.25">
      <c r="A120" s="995">
        <v>33100</v>
      </c>
      <c r="B120" s="995" t="s">
        <v>912</v>
      </c>
      <c r="C120" s="997">
        <v>190615.37</v>
      </c>
    </row>
    <row r="121" spans="1:3" x14ac:dyDescent="0.25">
      <c r="A121" s="995">
        <v>33105</v>
      </c>
      <c r="B121" s="995" t="s">
        <v>913</v>
      </c>
      <c r="C121" s="997">
        <v>22846.15</v>
      </c>
    </row>
    <row r="122" spans="1:3" x14ac:dyDescent="0.25">
      <c r="A122" s="995">
        <v>33200</v>
      </c>
      <c r="B122" s="995" t="s">
        <v>914</v>
      </c>
      <c r="C122" s="997">
        <v>794163.11</v>
      </c>
    </row>
    <row r="123" spans="1:3" x14ac:dyDescent="0.25">
      <c r="A123" s="995">
        <v>33202</v>
      </c>
      <c r="B123" s="995" t="s">
        <v>915</v>
      </c>
      <c r="C123" s="997">
        <v>10327.81</v>
      </c>
    </row>
    <row r="124" spans="1:3" x14ac:dyDescent="0.25">
      <c r="A124" s="995">
        <v>33203</v>
      </c>
      <c r="B124" s="995" t="s">
        <v>916</v>
      </c>
      <c r="C124" s="997">
        <v>6016.81</v>
      </c>
    </row>
    <row r="125" spans="1:3" x14ac:dyDescent="0.25">
      <c r="A125" s="995">
        <v>33204</v>
      </c>
      <c r="B125" s="995" t="s">
        <v>917</v>
      </c>
      <c r="C125" s="997">
        <v>20426.54</v>
      </c>
    </row>
    <row r="126" spans="1:3" x14ac:dyDescent="0.25">
      <c r="A126" s="995">
        <v>33205</v>
      </c>
      <c r="B126" s="995" t="s">
        <v>918</v>
      </c>
      <c r="C126" s="997">
        <v>73872.429999999993</v>
      </c>
    </row>
    <row r="127" spans="1:3" x14ac:dyDescent="0.25">
      <c r="A127" s="995">
        <v>33206</v>
      </c>
      <c r="B127" s="995" t="s">
        <v>919</v>
      </c>
      <c r="C127" s="997">
        <v>5924.63</v>
      </c>
    </row>
    <row r="128" spans="1:3" x14ac:dyDescent="0.25">
      <c r="A128" s="995">
        <v>33207</v>
      </c>
      <c r="B128" s="995" t="s">
        <v>1134</v>
      </c>
      <c r="C128" s="997">
        <v>11833.34</v>
      </c>
    </row>
    <row r="129" spans="1:3" x14ac:dyDescent="0.25">
      <c r="A129" s="995">
        <v>33208</v>
      </c>
      <c r="B129" s="995" t="s">
        <v>1135</v>
      </c>
      <c r="C129" s="997">
        <v>427.81</v>
      </c>
    </row>
    <row r="130" spans="1:3" x14ac:dyDescent="0.25">
      <c r="A130" s="995">
        <v>33209</v>
      </c>
      <c r="B130" s="995" t="s">
        <v>1136</v>
      </c>
      <c r="C130" s="997">
        <v>3710.24</v>
      </c>
    </row>
    <row r="131" spans="1:3" x14ac:dyDescent="0.25">
      <c r="A131" s="995">
        <v>33300</v>
      </c>
      <c r="B131" s="995" t="s">
        <v>920</v>
      </c>
      <c r="C131" s="997">
        <v>123856.97</v>
      </c>
    </row>
    <row r="132" spans="1:3" x14ac:dyDescent="0.25">
      <c r="A132" s="995">
        <v>33305</v>
      </c>
      <c r="B132" s="995" t="s">
        <v>921</v>
      </c>
      <c r="C132" s="997">
        <v>36424.839999999997</v>
      </c>
    </row>
    <row r="133" spans="1:3" x14ac:dyDescent="0.25">
      <c r="A133" s="995">
        <v>33400</v>
      </c>
      <c r="B133" s="995" t="s">
        <v>922</v>
      </c>
      <c r="C133" s="997">
        <v>1108217.9099999999</v>
      </c>
    </row>
    <row r="134" spans="1:3" x14ac:dyDescent="0.25">
      <c r="A134" s="995">
        <v>33402</v>
      </c>
      <c r="B134" s="995" t="s">
        <v>923</v>
      </c>
      <c r="C134" s="997">
        <v>7940.04</v>
      </c>
    </row>
    <row r="135" spans="1:3" x14ac:dyDescent="0.25">
      <c r="A135" s="995">
        <v>33405</v>
      </c>
      <c r="B135" s="995" t="s">
        <v>925</v>
      </c>
      <c r="C135" s="997">
        <v>115508.72</v>
      </c>
    </row>
    <row r="136" spans="1:3" x14ac:dyDescent="0.25">
      <c r="A136" s="995">
        <v>33500</v>
      </c>
      <c r="B136" s="995" t="s">
        <v>926</v>
      </c>
      <c r="C136" s="997">
        <v>165051.20000000001</v>
      </c>
    </row>
    <row r="137" spans="1:3" x14ac:dyDescent="0.25">
      <c r="A137" s="995">
        <v>33501</v>
      </c>
      <c r="B137" s="995" t="s">
        <v>927</v>
      </c>
      <c r="C137" s="997">
        <v>3661.37</v>
      </c>
    </row>
    <row r="138" spans="1:3" x14ac:dyDescent="0.25">
      <c r="A138" s="995">
        <v>33600</v>
      </c>
      <c r="B138" s="995" t="s">
        <v>928</v>
      </c>
      <c r="C138" s="997">
        <v>570399.39</v>
      </c>
    </row>
    <row r="139" spans="1:3" x14ac:dyDescent="0.25">
      <c r="A139" s="995">
        <v>33605</v>
      </c>
      <c r="B139" s="995" t="s">
        <v>929</v>
      </c>
      <c r="C139" s="997">
        <v>87643.22</v>
      </c>
    </row>
    <row r="140" spans="1:3" x14ac:dyDescent="0.25">
      <c r="A140" s="995">
        <v>33700</v>
      </c>
      <c r="B140" s="995" t="s">
        <v>930</v>
      </c>
      <c r="C140" s="997">
        <v>41193.1</v>
      </c>
    </row>
    <row r="141" spans="1:3" x14ac:dyDescent="0.25">
      <c r="A141" s="995">
        <v>33800</v>
      </c>
      <c r="B141" s="995" t="s">
        <v>931</v>
      </c>
      <c r="C141" s="997">
        <v>31137.09</v>
      </c>
    </row>
    <row r="142" spans="1:3" x14ac:dyDescent="0.25">
      <c r="A142" s="995">
        <v>33900</v>
      </c>
      <c r="B142" s="995" t="s">
        <v>932</v>
      </c>
      <c r="C142" s="997">
        <v>160658.46</v>
      </c>
    </row>
    <row r="143" spans="1:3" x14ac:dyDescent="0.25">
      <c r="A143" s="995">
        <v>34000</v>
      </c>
      <c r="B143" s="995" t="s">
        <v>933</v>
      </c>
      <c r="C143" s="997">
        <v>67651.789999999994</v>
      </c>
    </row>
    <row r="144" spans="1:3" x14ac:dyDescent="0.25">
      <c r="A144" s="995">
        <v>34100</v>
      </c>
      <c r="B144" s="995" t="s">
        <v>934</v>
      </c>
      <c r="C144" s="997">
        <v>1513303.55</v>
      </c>
    </row>
    <row r="145" spans="1:3" x14ac:dyDescent="0.25">
      <c r="A145" s="995">
        <v>34105</v>
      </c>
      <c r="B145" s="995" t="s">
        <v>935</v>
      </c>
      <c r="C145" s="997">
        <v>147116.25</v>
      </c>
    </row>
    <row r="146" spans="1:3" x14ac:dyDescent="0.25">
      <c r="A146" s="995">
        <v>34200</v>
      </c>
      <c r="B146" s="995" t="s">
        <v>936</v>
      </c>
      <c r="C146" s="997">
        <v>56490.87</v>
      </c>
    </row>
    <row r="147" spans="1:3" x14ac:dyDescent="0.25">
      <c r="A147" s="995">
        <v>34205</v>
      </c>
      <c r="B147" s="995" t="s">
        <v>937</v>
      </c>
      <c r="C147" s="997">
        <v>27730.89</v>
      </c>
    </row>
    <row r="148" spans="1:3" x14ac:dyDescent="0.25">
      <c r="A148" s="995">
        <v>34220</v>
      </c>
      <c r="B148" s="995" t="s">
        <v>938</v>
      </c>
      <c r="C148" s="997">
        <v>61557.69</v>
      </c>
    </row>
    <row r="149" spans="1:3" x14ac:dyDescent="0.25">
      <c r="A149" s="995">
        <v>34230</v>
      </c>
      <c r="B149" s="995" t="s">
        <v>939</v>
      </c>
      <c r="C149" s="997">
        <v>24011.02</v>
      </c>
    </row>
    <row r="150" spans="1:3" x14ac:dyDescent="0.25">
      <c r="A150" s="995">
        <v>34300</v>
      </c>
      <c r="B150" s="995" t="s">
        <v>940</v>
      </c>
      <c r="C150" s="997">
        <v>363946.58</v>
      </c>
    </row>
    <row r="151" spans="1:3" x14ac:dyDescent="0.25">
      <c r="A151" s="995">
        <v>34400</v>
      </c>
      <c r="B151" s="995" t="s">
        <v>941</v>
      </c>
      <c r="C151" s="997">
        <v>147297.07</v>
      </c>
    </row>
    <row r="152" spans="1:3" x14ac:dyDescent="0.25">
      <c r="A152" s="995">
        <v>34405</v>
      </c>
      <c r="B152" s="995" t="s">
        <v>942</v>
      </c>
      <c r="C152" s="997">
        <v>31269.49</v>
      </c>
    </row>
    <row r="153" spans="1:3" x14ac:dyDescent="0.25">
      <c r="A153" s="995">
        <v>34500</v>
      </c>
      <c r="B153" s="995" t="s">
        <v>943</v>
      </c>
      <c r="C153" s="997">
        <v>266726.65999999997</v>
      </c>
    </row>
    <row r="154" spans="1:3" x14ac:dyDescent="0.25">
      <c r="A154" s="995">
        <v>34501</v>
      </c>
      <c r="B154" s="995" t="s">
        <v>944</v>
      </c>
      <c r="C154" s="997">
        <v>3062.13</v>
      </c>
    </row>
    <row r="155" spans="1:3" x14ac:dyDescent="0.25">
      <c r="A155" s="995">
        <v>34505</v>
      </c>
      <c r="B155" s="995" t="s">
        <v>945</v>
      </c>
      <c r="C155" s="997">
        <v>39360.39</v>
      </c>
    </row>
    <row r="156" spans="1:3" x14ac:dyDescent="0.25">
      <c r="A156" s="995">
        <v>34600</v>
      </c>
      <c r="B156" s="995" t="s">
        <v>946</v>
      </c>
      <c r="C156" s="997">
        <v>67895.11</v>
      </c>
    </row>
    <row r="157" spans="1:3" x14ac:dyDescent="0.25">
      <c r="A157" s="995">
        <v>34605</v>
      </c>
      <c r="B157" s="995" t="s">
        <v>947</v>
      </c>
      <c r="C157" s="997">
        <v>14563.64</v>
      </c>
    </row>
    <row r="158" spans="1:3" x14ac:dyDescent="0.25">
      <c r="A158" s="995">
        <v>34700</v>
      </c>
      <c r="B158" s="995" t="s">
        <v>948</v>
      </c>
      <c r="C158" s="997">
        <v>161601.07999999999</v>
      </c>
    </row>
    <row r="159" spans="1:3" x14ac:dyDescent="0.25">
      <c r="A159" s="995">
        <v>34800</v>
      </c>
      <c r="B159" s="995" t="s">
        <v>949</v>
      </c>
      <c r="C159" s="997">
        <v>21831.69</v>
      </c>
    </row>
    <row r="160" spans="1:3" x14ac:dyDescent="0.25">
      <c r="A160" s="995">
        <v>34900</v>
      </c>
      <c r="B160" s="995" t="s">
        <v>1551</v>
      </c>
      <c r="C160" s="997">
        <v>389780.2</v>
      </c>
    </row>
    <row r="161" spans="1:3" x14ac:dyDescent="0.25">
      <c r="A161" s="995">
        <v>34901</v>
      </c>
      <c r="B161" s="995" t="s">
        <v>1552</v>
      </c>
      <c r="C161" s="997">
        <v>8350.2199999999993</v>
      </c>
    </row>
    <row r="162" spans="1:3" x14ac:dyDescent="0.25">
      <c r="A162" s="995">
        <v>34903</v>
      </c>
      <c r="B162" s="995" t="s">
        <v>952</v>
      </c>
      <c r="C162" s="997">
        <v>981.61</v>
      </c>
    </row>
    <row r="163" spans="1:3" x14ac:dyDescent="0.25">
      <c r="A163" s="995">
        <v>34905</v>
      </c>
      <c r="B163" s="995" t="s">
        <v>953</v>
      </c>
      <c r="C163" s="997">
        <v>39701.96</v>
      </c>
    </row>
    <row r="164" spans="1:3" x14ac:dyDescent="0.25">
      <c r="A164" s="995">
        <v>34910</v>
      </c>
      <c r="B164" s="995" t="s">
        <v>954</v>
      </c>
      <c r="C164" s="997">
        <v>114986.66</v>
      </c>
    </row>
    <row r="165" spans="1:3" x14ac:dyDescent="0.25">
      <c r="A165" s="995">
        <v>35000</v>
      </c>
      <c r="B165" s="995" t="s">
        <v>955</v>
      </c>
      <c r="C165" s="997">
        <v>77855.259999999995</v>
      </c>
    </row>
    <row r="166" spans="1:3" x14ac:dyDescent="0.25">
      <c r="A166" s="995">
        <v>35005</v>
      </c>
      <c r="B166" s="995" t="s">
        <v>956</v>
      </c>
      <c r="C166" s="997">
        <v>39299.71</v>
      </c>
    </row>
    <row r="167" spans="1:3" x14ac:dyDescent="0.25">
      <c r="A167" s="995">
        <v>35100</v>
      </c>
      <c r="B167" s="995" t="s">
        <v>957</v>
      </c>
      <c r="C167" s="997">
        <v>663327.75</v>
      </c>
    </row>
    <row r="168" spans="1:3" x14ac:dyDescent="0.25">
      <c r="A168" s="995">
        <v>35105</v>
      </c>
      <c r="B168" s="995" t="s">
        <v>958</v>
      </c>
      <c r="C168" s="997">
        <v>61205.34</v>
      </c>
    </row>
    <row r="169" spans="1:3" x14ac:dyDescent="0.25">
      <c r="A169" s="995">
        <v>35106</v>
      </c>
      <c r="B169" s="995" t="s">
        <v>959</v>
      </c>
      <c r="C169" s="997">
        <v>13107.44</v>
      </c>
    </row>
    <row r="170" spans="1:3" x14ac:dyDescent="0.25">
      <c r="A170" s="995">
        <v>35200</v>
      </c>
      <c r="B170" s="995" t="s">
        <v>960</v>
      </c>
      <c r="C170" s="997">
        <v>32504.58</v>
      </c>
    </row>
    <row r="171" spans="1:3" x14ac:dyDescent="0.25">
      <c r="A171" s="995">
        <v>35300</v>
      </c>
      <c r="B171" s="995" t="s">
        <v>961</v>
      </c>
      <c r="C171" s="997">
        <v>203327.35</v>
      </c>
    </row>
    <row r="172" spans="1:3" x14ac:dyDescent="0.25">
      <c r="A172" s="995">
        <v>35305</v>
      </c>
      <c r="B172" s="995" t="s">
        <v>962</v>
      </c>
      <c r="C172" s="997">
        <v>78814.81</v>
      </c>
    </row>
    <row r="173" spans="1:3" x14ac:dyDescent="0.25">
      <c r="A173" s="995">
        <v>35400</v>
      </c>
      <c r="B173" s="995" t="s">
        <v>963</v>
      </c>
      <c r="C173" s="997">
        <v>164103.95000000001</v>
      </c>
    </row>
    <row r="174" spans="1:3" x14ac:dyDescent="0.25">
      <c r="A174" s="995">
        <v>35401</v>
      </c>
      <c r="B174" s="995" t="s">
        <v>964</v>
      </c>
      <c r="C174" s="997">
        <v>1718.33</v>
      </c>
    </row>
    <row r="175" spans="1:3" x14ac:dyDescent="0.25">
      <c r="A175" s="995">
        <v>35405</v>
      </c>
      <c r="B175" s="995" t="s">
        <v>966</v>
      </c>
      <c r="C175" s="997">
        <v>55185.97</v>
      </c>
    </row>
    <row r="176" spans="1:3" x14ac:dyDescent="0.25">
      <c r="A176" s="995">
        <v>35500</v>
      </c>
      <c r="B176" s="995" t="s">
        <v>967</v>
      </c>
      <c r="C176" s="997">
        <v>214543.75</v>
      </c>
    </row>
    <row r="177" spans="1:3" x14ac:dyDescent="0.25">
      <c r="A177" s="995">
        <v>35600</v>
      </c>
      <c r="B177" s="995" t="s">
        <v>968</v>
      </c>
      <c r="C177" s="997">
        <v>92646.71</v>
      </c>
    </row>
    <row r="178" spans="1:3" x14ac:dyDescent="0.25">
      <c r="A178" s="995">
        <v>35700</v>
      </c>
      <c r="B178" s="995" t="s">
        <v>969</v>
      </c>
      <c r="C178" s="997">
        <v>51153.68</v>
      </c>
    </row>
    <row r="179" spans="1:3" x14ac:dyDescent="0.25">
      <c r="A179" s="995">
        <v>35800</v>
      </c>
      <c r="B179" s="995" t="s">
        <v>970</v>
      </c>
      <c r="C179" s="997">
        <v>77568.009999999995</v>
      </c>
    </row>
    <row r="180" spans="1:3" x14ac:dyDescent="0.25">
      <c r="A180" s="995">
        <v>35805</v>
      </c>
      <c r="B180" s="995" t="s">
        <v>971</v>
      </c>
      <c r="C180" s="997">
        <v>15158.26</v>
      </c>
    </row>
    <row r="181" spans="1:3" x14ac:dyDescent="0.25">
      <c r="A181" s="995">
        <v>35900</v>
      </c>
      <c r="B181" s="995" t="s">
        <v>972</v>
      </c>
      <c r="C181" s="997">
        <v>131766.73000000001</v>
      </c>
    </row>
    <row r="182" spans="1:3" x14ac:dyDescent="0.25">
      <c r="A182" s="995">
        <v>35905</v>
      </c>
      <c r="B182" s="995" t="s">
        <v>973</v>
      </c>
      <c r="C182" s="997">
        <v>22531.5</v>
      </c>
    </row>
    <row r="183" spans="1:3" x14ac:dyDescent="0.25">
      <c r="A183" s="995">
        <v>36000</v>
      </c>
      <c r="B183" s="995" t="s">
        <v>974</v>
      </c>
      <c r="C183" s="997">
        <v>2977937.98</v>
      </c>
    </row>
    <row r="184" spans="1:3" x14ac:dyDescent="0.25">
      <c r="A184" s="995">
        <v>36001</v>
      </c>
      <c r="B184" s="995" t="s">
        <v>975</v>
      </c>
      <c r="C184" s="997">
        <v>1690.49</v>
      </c>
    </row>
    <row r="185" spans="1:3" x14ac:dyDescent="0.25">
      <c r="A185" s="995">
        <v>36003</v>
      </c>
      <c r="B185" s="995" t="s">
        <v>977</v>
      </c>
      <c r="C185" s="997">
        <v>19521.96</v>
      </c>
    </row>
    <row r="186" spans="1:3" x14ac:dyDescent="0.25">
      <c r="A186" s="995">
        <v>36004</v>
      </c>
      <c r="B186" s="995" t="s">
        <v>1554</v>
      </c>
      <c r="C186" s="997">
        <v>10314.74</v>
      </c>
    </row>
    <row r="187" spans="1:3" x14ac:dyDescent="0.25">
      <c r="A187" s="995">
        <v>36005</v>
      </c>
      <c r="B187" s="995" t="s">
        <v>979</v>
      </c>
      <c r="C187" s="997">
        <v>278100.07</v>
      </c>
    </row>
    <row r="188" spans="1:3" x14ac:dyDescent="0.25">
      <c r="A188" s="995">
        <v>36006</v>
      </c>
      <c r="B188" s="995" t="s">
        <v>980</v>
      </c>
      <c r="C188" s="997">
        <v>25314.2</v>
      </c>
    </row>
    <row r="189" spans="1:3" x14ac:dyDescent="0.25">
      <c r="A189" s="995">
        <v>36007</v>
      </c>
      <c r="B189" s="995" t="s">
        <v>981</v>
      </c>
      <c r="C189" s="997">
        <v>9308.6200000000008</v>
      </c>
    </row>
    <row r="190" spans="1:3" x14ac:dyDescent="0.25">
      <c r="A190" s="995">
        <v>36008</v>
      </c>
      <c r="B190" s="995" t="s">
        <v>982</v>
      </c>
      <c r="C190" s="997">
        <v>26211.19</v>
      </c>
    </row>
    <row r="191" spans="1:3" x14ac:dyDescent="0.25">
      <c r="A191" s="995">
        <v>36009</v>
      </c>
      <c r="B191" s="995" t="s">
        <v>983</v>
      </c>
      <c r="C191" s="997">
        <v>6472.85</v>
      </c>
    </row>
    <row r="192" spans="1:3" x14ac:dyDescent="0.25">
      <c r="A192" s="995">
        <v>36100</v>
      </c>
      <c r="B192" s="995" t="s">
        <v>984</v>
      </c>
      <c r="C192" s="997">
        <v>42782.36</v>
      </c>
    </row>
    <row r="193" spans="1:3" x14ac:dyDescent="0.25">
      <c r="A193" s="995">
        <v>36102</v>
      </c>
      <c r="B193" s="995" t="s">
        <v>985</v>
      </c>
      <c r="C193" s="997">
        <v>9283.81</v>
      </c>
    </row>
    <row r="194" spans="1:3" x14ac:dyDescent="0.25">
      <c r="A194" s="995">
        <v>36105</v>
      </c>
      <c r="B194" s="995" t="s">
        <v>986</v>
      </c>
      <c r="C194" s="997">
        <v>24021.23</v>
      </c>
    </row>
    <row r="195" spans="1:3" x14ac:dyDescent="0.25">
      <c r="A195" s="995">
        <v>36200</v>
      </c>
      <c r="B195" s="995" t="s">
        <v>987</v>
      </c>
      <c r="C195" s="997">
        <v>87686.02</v>
      </c>
    </row>
    <row r="196" spans="1:3" x14ac:dyDescent="0.25">
      <c r="A196" s="995">
        <v>36205</v>
      </c>
      <c r="B196" s="995" t="s">
        <v>988</v>
      </c>
      <c r="C196" s="997">
        <v>15509.11</v>
      </c>
    </row>
    <row r="197" spans="1:3" x14ac:dyDescent="0.25">
      <c r="A197" s="995">
        <v>36300</v>
      </c>
      <c r="B197" s="995" t="s">
        <v>989</v>
      </c>
      <c r="C197" s="997">
        <v>262977.84999999998</v>
      </c>
    </row>
    <row r="198" spans="1:3" x14ac:dyDescent="0.25">
      <c r="A198" s="995">
        <v>36301</v>
      </c>
      <c r="B198" s="995" t="s">
        <v>990</v>
      </c>
      <c r="C198" s="997">
        <v>3494.25</v>
      </c>
    </row>
    <row r="199" spans="1:3" x14ac:dyDescent="0.25">
      <c r="A199" s="995">
        <v>36302</v>
      </c>
      <c r="B199" s="995" t="s">
        <v>991</v>
      </c>
      <c r="C199" s="997">
        <v>5463.68</v>
      </c>
    </row>
    <row r="200" spans="1:3" x14ac:dyDescent="0.25">
      <c r="A200" s="995">
        <v>36303</v>
      </c>
      <c r="B200" s="995" t="s">
        <v>1667</v>
      </c>
      <c r="C200" s="997">
        <v>2429.2199999999998</v>
      </c>
    </row>
    <row r="201" spans="1:3" x14ac:dyDescent="0.25">
      <c r="A201" s="995">
        <v>36305</v>
      </c>
      <c r="B201" s="995" t="s">
        <v>992</v>
      </c>
      <c r="C201" s="997">
        <v>58084.5</v>
      </c>
    </row>
    <row r="202" spans="1:3" x14ac:dyDescent="0.25">
      <c r="A202" s="995">
        <v>36310</v>
      </c>
      <c r="B202" s="995" t="s">
        <v>1555</v>
      </c>
      <c r="C202" s="997">
        <v>1876.16</v>
      </c>
    </row>
    <row r="203" spans="1:3" x14ac:dyDescent="0.25">
      <c r="A203" s="995">
        <v>36400</v>
      </c>
      <c r="B203" s="995" t="s">
        <v>993</v>
      </c>
      <c r="C203" s="997">
        <v>309619.56</v>
      </c>
    </row>
    <row r="204" spans="1:3" x14ac:dyDescent="0.25">
      <c r="A204" s="995">
        <v>36405</v>
      </c>
      <c r="B204" s="995" t="s">
        <v>1556</v>
      </c>
      <c r="C204" s="997">
        <v>50823.42</v>
      </c>
    </row>
    <row r="205" spans="1:3" x14ac:dyDescent="0.25">
      <c r="A205" s="995">
        <v>36500</v>
      </c>
      <c r="B205" s="995" t="s">
        <v>995</v>
      </c>
      <c r="C205" s="997">
        <v>572249.53</v>
      </c>
    </row>
    <row r="206" spans="1:3" x14ac:dyDescent="0.25">
      <c r="A206" s="995">
        <v>36501</v>
      </c>
      <c r="B206" s="995" t="s">
        <v>996</v>
      </c>
      <c r="C206" s="997">
        <v>6505.62</v>
      </c>
    </row>
    <row r="207" spans="1:3" x14ac:dyDescent="0.25">
      <c r="A207" s="995">
        <v>36502</v>
      </c>
      <c r="B207" s="995" t="s">
        <v>997</v>
      </c>
      <c r="C207" s="997">
        <v>2331.21</v>
      </c>
    </row>
    <row r="208" spans="1:3" x14ac:dyDescent="0.25">
      <c r="A208" s="995">
        <v>36505</v>
      </c>
      <c r="B208" s="995" t="s">
        <v>998</v>
      </c>
      <c r="C208" s="997">
        <v>123301.62</v>
      </c>
    </row>
    <row r="209" spans="1:3" x14ac:dyDescent="0.25">
      <c r="A209" s="995">
        <v>36600</v>
      </c>
      <c r="B209" s="995" t="s">
        <v>999</v>
      </c>
      <c r="C209" s="997">
        <v>47154.92</v>
      </c>
    </row>
    <row r="210" spans="1:3" x14ac:dyDescent="0.25">
      <c r="A210" s="995">
        <v>36601</v>
      </c>
      <c r="B210" s="995" t="s">
        <v>1000</v>
      </c>
      <c r="C210" s="997">
        <v>20183.27</v>
      </c>
    </row>
    <row r="211" spans="1:3" x14ac:dyDescent="0.25">
      <c r="A211" s="995">
        <v>36700</v>
      </c>
      <c r="B211" s="995" t="s">
        <v>1001</v>
      </c>
      <c r="C211" s="997">
        <v>474901.66</v>
      </c>
    </row>
    <row r="212" spans="1:3" x14ac:dyDescent="0.25">
      <c r="A212" s="995">
        <v>36701</v>
      </c>
      <c r="B212" s="995" t="s">
        <v>1002</v>
      </c>
      <c r="C212" s="997">
        <v>1320.15</v>
      </c>
    </row>
    <row r="213" spans="1:3" x14ac:dyDescent="0.25">
      <c r="A213" s="995">
        <v>36705</v>
      </c>
      <c r="B213" s="995" t="s">
        <v>1003</v>
      </c>
      <c r="C213" s="997">
        <v>60357.66</v>
      </c>
    </row>
    <row r="214" spans="1:3" x14ac:dyDescent="0.25">
      <c r="A214" s="995">
        <v>36800</v>
      </c>
      <c r="B214" s="995" t="s">
        <v>1004</v>
      </c>
      <c r="C214" s="997">
        <v>190881.64</v>
      </c>
    </row>
    <row r="215" spans="1:3" x14ac:dyDescent="0.25">
      <c r="A215" s="995">
        <v>36802</v>
      </c>
      <c r="B215" s="995" t="s">
        <v>1006</v>
      </c>
      <c r="C215" s="997">
        <v>5294.97</v>
      </c>
    </row>
    <row r="216" spans="1:3" x14ac:dyDescent="0.25">
      <c r="A216" s="995">
        <v>36810</v>
      </c>
      <c r="B216" s="995" t="s">
        <v>1557</v>
      </c>
      <c r="C216" s="997">
        <v>341581.75</v>
      </c>
    </row>
    <row r="217" spans="1:3" x14ac:dyDescent="0.25">
      <c r="A217" s="995">
        <v>36900</v>
      </c>
      <c r="B217" s="995" t="s">
        <v>1008</v>
      </c>
      <c r="C217" s="997">
        <v>35198.03</v>
      </c>
    </row>
    <row r="218" spans="1:3" x14ac:dyDescent="0.25">
      <c r="A218" s="995">
        <v>36901</v>
      </c>
      <c r="B218" s="995" t="s">
        <v>1009</v>
      </c>
      <c r="C218" s="997">
        <v>12047.87</v>
      </c>
    </row>
    <row r="219" spans="1:3" x14ac:dyDescent="0.25">
      <c r="A219" s="995">
        <v>36905</v>
      </c>
      <c r="B219" s="995" t="s">
        <v>1010</v>
      </c>
      <c r="C219" s="997">
        <v>13593.39</v>
      </c>
    </row>
    <row r="220" spans="1:3" x14ac:dyDescent="0.25">
      <c r="A220" s="995">
        <v>37000</v>
      </c>
      <c r="B220" s="995" t="s">
        <v>1011</v>
      </c>
      <c r="C220" s="997">
        <v>116348.26</v>
      </c>
    </row>
    <row r="221" spans="1:3" x14ac:dyDescent="0.25">
      <c r="A221" s="995">
        <v>37001</v>
      </c>
      <c r="B221" s="995" t="s">
        <v>1168</v>
      </c>
      <c r="C221" s="997">
        <v>3916.91</v>
      </c>
    </row>
    <row r="222" spans="1:3" x14ac:dyDescent="0.25">
      <c r="A222" s="995">
        <v>37005</v>
      </c>
      <c r="B222" s="995" t="s">
        <v>1012</v>
      </c>
      <c r="C222" s="997">
        <v>32154.14</v>
      </c>
    </row>
    <row r="223" spans="1:3" x14ac:dyDescent="0.25">
      <c r="A223" s="995">
        <v>37100</v>
      </c>
      <c r="B223" s="995" t="s">
        <v>1013</v>
      </c>
      <c r="C223" s="997">
        <v>167057.95000000001</v>
      </c>
    </row>
    <row r="224" spans="1:3" x14ac:dyDescent="0.25">
      <c r="A224" s="995">
        <v>37200</v>
      </c>
      <c r="B224" s="995" t="s">
        <v>1014</v>
      </c>
      <c r="C224" s="997">
        <v>38633.949999999997</v>
      </c>
    </row>
    <row r="225" spans="1:3" x14ac:dyDescent="0.25">
      <c r="A225" s="995">
        <v>37300</v>
      </c>
      <c r="B225" s="995" t="s">
        <v>1015</v>
      </c>
      <c r="C225" s="997">
        <v>98821.14</v>
      </c>
    </row>
    <row r="226" spans="1:3" x14ac:dyDescent="0.25">
      <c r="A226" s="995">
        <v>37301</v>
      </c>
      <c r="B226" s="995" t="s">
        <v>1016</v>
      </c>
      <c r="C226" s="997">
        <v>10804.22</v>
      </c>
    </row>
    <row r="227" spans="1:3" x14ac:dyDescent="0.25">
      <c r="A227" s="995">
        <v>37305</v>
      </c>
      <c r="B227" s="995" t="s">
        <v>1017</v>
      </c>
      <c r="C227" s="997">
        <v>34140.31</v>
      </c>
    </row>
    <row r="228" spans="1:3" x14ac:dyDescent="0.25">
      <c r="A228" s="995">
        <v>37400</v>
      </c>
      <c r="B228" s="995" t="s">
        <v>1018</v>
      </c>
      <c r="C228" s="997">
        <v>454142.19</v>
      </c>
    </row>
    <row r="229" spans="1:3" x14ac:dyDescent="0.25">
      <c r="A229" s="995">
        <v>37405</v>
      </c>
      <c r="B229" s="995" t="s">
        <v>1019</v>
      </c>
      <c r="C229" s="997">
        <v>110550.05</v>
      </c>
    </row>
    <row r="230" spans="1:3" x14ac:dyDescent="0.25">
      <c r="A230" s="995">
        <v>37500</v>
      </c>
      <c r="B230" s="995" t="s">
        <v>1020</v>
      </c>
      <c r="C230" s="997">
        <v>56259.76</v>
      </c>
    </row>
    <row r="231" spans="1:3" x14ac:dyDescent="0.25">
      <c r="A231" s="995">
        <v>37600</v>
      </c>
      <c r="B231" s="995" t="s">
        <v>1021</v>
      </c>
      <c r="C231" s="997">
        <v>327896.90999999997</v>
      </c>
    </row>
    <row r="232" spans="1:3" x14ac:dyDescent="0.25">
      <c r="A232" s="995">
        <v>37601</v>
      </c>
      <c r="B232" s="995" t="s">
        <v>1022</v>
      </c>
      <c r="C232" s="997">
        <v>11452.6</v>
      </c>
    </row>
    <row r="233" spans="1:3" x14ac:dyDescent="0.25">
      <c r="A233" s="995">
        <v>37605</v>
      </c>
      <c r="B233" s="995" t="s">
        <v>1023</v>
      </c>
      <c r="C233" s="997">
        <v>41157.1</v>
      </c>
    </row>
    <row r="234" spans="1:3" x14ac:dyDescent="0.25">
      <c r="A234" s="995">
        <v>37610</v>
      </c>
      <c r="B234" s="995" t="s">
        <v>1024</v>
      </c>
      <c r="C234" s="997">
        <v>96267.4</v>
      </c>
    </row>
    <row r="235" spans="1:3" x14ac:dyDescent="0.25">
      <c r="A235" s="995">
        <v>37700</v>
      </c>
      <c r="B235" s="995" t="s">
        <v>1025</v>
      </c>
      <c r="C235" s="997">
        <v>144058.43</v>
      </c>
    </row>
    <row r="236" spans="1:3" x14ac:dyDescent="0.25">
      <c r="A236" s="995">
        <v>37705</v>
      </c>
      <c r="B236" s="995" t="s">
        <v>1026</v>
      </c>
      <c r="C236" s="997">
        <v>44473.34</v>
      </c>
    </row>
    <row r="237" spans="1:3" x14ac:dyDescent="0.25">
      <c r="A237" s="995">
        <v>37800</v>
      </c>
      <c r="B237" s="995" t="s">
        <v>1027</v>
      </c>
      <c r="C237" s="997">
        <v>449392.15</v>
      </c>
    </row>
    <row r="238" spans="1:3" x14ac:dyDescent="0.25">
      <c r="A238" s="995">
        <v>37801</v>
      </c>
      <c r="B238" s="995" t="s">
        <v>1028</v>
      </c>
      <c r="C238" s="997">
        <v>2733.07</v>
      </c>
    </row>
    <row r="239" spans="1:3" x14ac:dyDescent="0.25">
      <c r="A239" s="995">
        <v>37805</v>
      </c>
      <c r="B239" s="995" t="s">
        <v>1029</v>
      </c>
      <c r="C239" s="997">
        <v>36758.99</v>
      </c>
    </row>
    <row r="240" spans="1:3" x14ac:dyDescent="0.25">
      <c r="A240" s="995">
        <v>37900</v>
      </c>
      <c r="B240" s="995" t="s">
        <v>1030</v>
      </c>
      <c r="C240" s="997">
        <v>238928.04</v>
      </c>
    </row>
    <row r="241" spans="1:3" x14ac:dyDescent="0.25">
      <c r="A241" s="995">
        <v>37901</v>
      </c>
      <c r="B241" s="995" t="s">
        <v>1031</v>
      </c>
      <c r="C241" s="997">
        <v>3306.45</v>
      </c>
    </row>
    <row r="242" spans="1:3" x14ac:dyDescent="0.25">
      <c r="A242" s="995">
        <v>37905</v>
      </c>
      <c r="B242" s="995" t="s">
        <v>1032</v>
      </c>
      <c r="C242" s="997">
        <v>31794.23</v>
      </c>
    </row>
    <row r="243" spans="1:3" x14ac:dyDescent="0.25">
      <c r="A243" s="995">
        <v>38000</v>
      </c>
      <c r="B243" s="995" t="s">
        <v>1033</v>
      </c>
      <c r="C243" s="997">
        <v>381705.85</v>
      </c>
    </row>
    <row r="244" spans="1:3" x14ac:dyDescent="0.25">
      <c r="A244" s="995">
        <v>38005</v>
      </c>
      <c r="B244" s="995" t="s">
        <v>1034</v>
      </c>
      <c r="C244" s="997">
        <v>76597.34</v>
      </c>
    </row>
    <row r="245" spans="1:3" x14ac:dyDescent="0.25">
      <c r="A245" s="995">
        <v>38100</v>
      </c>
      <c r="B245" s="995" t="s">
        <v>1035</v>
      </c>
      <c r="C245" s="997">
        <v>177403.92</v>
      </c>
    </row>
    <row r="246" spans="1:3" x14ac:dyDescent="0.25">
      <c r="A246" s="995">
        <v>38105</v>
      </c>
      <c r="B246" s="995" t="s">
        <v>1036</v>
      </c>
      <c r="C246" s="997">
        <v>35939.24</v>
      </c>
    </row>
    <row r="247" spans="1:3" x14ac:dyDescent="0.25">
      <c r="A247" s="995">
        <v>38200</v>
      </c>
      <c r="B247" s="995" t="s">
        <v>1037</v>
      </c>
      <c r="C247" s="997">
        <v>162964.79999999999</v>
      </c>
    </row>
    <row r="248" spans="1:3" x14ac:dyDescent="0.25">
      <c r="A248" s="995">
        <v>38205</v>
      </c>
      <c r="B248" s="995" t="s">
        <v>1038</v>
      </c>
      <c r="C248" s="997">
        <v>27024.13</v>
      </c>
    </row>
    <row r="249" spans="1:3" x14ac:dyDescent="0.25">
      <c r="A249" s="995">
        <v>38210</v>
      </c>
      <c r="B249" s="995" t="s">
        <v>1039</v>
      </c>
      <c r="C249" s="997">
        <v>61309.97</v>
      </c>
    </row>
    <row r="250" spans="1:3" x14ac:dyDescent="0.25">
      <c r="A250" s="995">
        <v>38300</v>
      </c>
      <c r="B250" s="995" t="s">
        <v>1040</v>
      </c>
      <c r="C250" s="997">
        <v>130518.71</v>
      </c>
    </row>
    <row r="251" spans="1:3" x14ac:dyDescent="0.25">
      <c r="A251" s="995">
        <v>38400</v>
      </c>
      <c r="B251" s="995" t="s">
        <v>1041</v>
      </c>
      <c r="C251" s="997">
        <v>162424.32000000001</v>
      </c>
    </row>
    <row r="252" spans="1:3" x14ac:dyDescent="0.25">
      <c r="A252" s="995">
        <v>38402</v>
      </c>
      <c r="B252" s="995" t="s">
        <v>1042</v>
      </c>
      <c r="C252" s="997">
        <v>5917.17</v>
      </c>
    </row>
    <row r="253" spans="1:3" x14ac:dyDescent="0.25">
      <c r="A253" s="995">
        <v>38405</v>
      </c>
      <c r="B253" s="995" t="s">
        <v>1043</v>
      </c>
      <c r="C253" s="997">
        <v>40917.86</v>
      </c>
    </row>
    <row r="254" spans="1:3" x14ac:dyDescent="0.25">
      <c r="A254" s="995">
        <v>38500</v>
      </c>
      <c r="B254" s="995" t="s">
        <v>1044</v>
      </c>
      <c r="C254" s="997">
        <v>127166.07</v>
      </c>
    </row>
    <row r="255" spans="1:3" x14ac:dyDescent="0.25">
      <c r="A255" s="995">
        <v>38600</v>
      </c>
      <c r="B255" s="995" t="s">
        <v>1045</v>
      </c>
      <c r="C255" s="997">
        <v>161419.29999999999</v>
      </c>
    </row>
    <row r="256" spans="1:3" x14ac:dyDescent="0.25">
      <c r="A256" s="995">
        <v>38601</v>
      </c>
      <c r="B256" s="995" t="s">
        <v>1046</v>
      </c>
      <c r="C256" s="997">
        <v>1757.84</v>
      </c>
    </row>
    <row r="257" spans="1:3" x14ac:dyDescent="0.25">
      <c r="A257" s="995">
        <v>38602</v>
      </c>
      <c r="B257" s="995" t="s">
        <v>1047</v>
      </c>
      <c r="C257" s="997">
        <v>11491.18</v>
      </c>
    </row>
    <row r="258" spans="1:3" x14ac:dyDescent="0.25">
      <c r="A258" s="995">
        <v>38605</v>
      </c>
      <c r="B258" s="995" t="s">
        <v>1048</v>
      </c>
      <c r="C258" s="997">
        <v>45446.080000000002</v>
      </c>
    </row>
    <row r="259" spans="1:3" x14ac:dyDescent="0.25">
      <c r="A259" s="995">
        <v>38610</v>
      </c>
      <c r="B259" s="995" t="s">
        <v>1049</v>
      </c>
      <c r="C259" s="997">
        <v>34321.26</v>
      </c>
    </row>
    <row r="260" spans="1:3" x14ac:dyDescent="0.25">
      <c r="A260" s="995">
        <v>38620</v>
      </c>
      <c r="B260" s="995" t="s">
        <v>1050</v>
      </c>
      <c r="C260" s="997">
        <v>27051.29</v>
      </c>
    </row>
    <row r="261" spans="1:3" x14ac:dyDescent="0.25">
      <c r="A261" s="995">
        <v>38700</v>
      </c>
      <c r="B261" s="995" t="s">
        <v>1051</v>
      </c>
      <c r="C261" s="997">
        <v>46511.91</v>
      </c>
    </row>
    <row r="262" spans="1:3" x14ac:dyDescent="0.25">
      <c r="A262" s="995">
        <v>38701</v>
      </c>
      <c r="B262" s="995" t="s">
        <v>1052</v>
      </c>
      <c r="C262" s="997">
        <v>3118.82</v>
      </c>
    </row>
    <row r="263" spans="1:3" x14ac:dyDescent="0.25">
      <c r="A263" s="995">
        <v>38800</v>
      </c>
      <c r="B263" s="995" t="s">
        <v>1053</v>
      </c>
      <c r="C263" s="997">
        <v>81109.509999999995</v>
      </c>
    </row>
    <row r="264" spans="1:3" x14ac:dyDescent="0.25">
      <c r="A264" s="995">
        <v>38801</v>
      </c>
      <c r="B264" s="995" t="s">
        <v>1054</v>
      </c>
      <c r="C264" s="997">
        <v>5746.97</v>
      </c>
    </row>
    <row r="265" spans="1:3" x14ac:dyDescent="0.25">
      <c r="A265" s="995">
        <v>38900</v>
      </c>
      <c r="B265" s="995" t="s">
        <v>1055</v>
      </c>
      <c r="C265" s="997">
        <v>18176.2</v>
      </c>
    </row>
    <row r="266" spans="1:3" x14ac:dyDescent="0.25">
      <c r="A266" s="995">
        <v>39000</v>
      </c>
      <c r="B266" s="995" t="s">
        <v>1056</v>
      </c>
      <c r="C266" s="997">
        <v>795523.97</v>
      </c>
    </row>
    <row r="267" spans="1:3" x14ac:dyDescent="0.25">
      <c r="A267" s="995">
        <v>39100</v>
      </c>
      <c r="B267" s="995" t="s">
        <v>1057</v>
      </c>
      <c r="C267" s="997">
        <v>134585.29</v>
      </c>
    </row>
    <row r="268" spans="1:3" x14ac:dyDescent="0.25">
      <c r="A268" s="995">
        <v>39101</v>
      </c>
      <c r="B268" s="995" t="s">
        <v>1058</v>
      </c>
      <c r="C268" s="997">
        <v>10761.84</v>
      </c>
    </row>
    <row r="269" spans="1:3" x14ac:dyDescent="0.25">
      <c r="A269" s="995">
        <v>39105</v>
      </c>
      <c r="B269" s="995" t="s">
        <v>1059</v>
      </c>
      <c r="C269" s="997">
        <v>53596.78</v>
      </c>
    </row>
    <row r="270" spans="1:3" x14ac:dyDescent="0.25">
      <c r="A270" s="995">
        <v>39200</v>
      </c>
      <c r="B270" s="995" t="s">
        <v>1558</v>
      </c>
      <c r="C270" s="997">
        <v>3324167.77</v>
      </c>
    </row>
    <row r="271" spans="1:3" x14ac:dyDescent="0.25">
      <c r="A271" s="995">
        <v>39201</v>
      </c>
      <c r="B271" s="995" t="s">
        <v>1061</v>
      </c>
      <c r="C271" s="997">
        <v>8158.01</v>
      </c>
    </row>
    <row r="272" spans="1:3" x14ac:dyDescent="0.25">
      <c r="A272" s="995">
        <v>39204</v>
      </c>
      <c r="B272" s="995" t="s">
        <v>1062</v>
      </c>
      <c r="C272" s="997">
        <v>8268.39</v>
      </c>
    </row>
    <row r="273" spans="1:3" x14ac:dyDescent="0.25">
      <c r="A273" s="995">
        <v>39205</v>
      </c>
      <c r="B273" s="995" t="s">
        <v>1063</v>
      </c>
      <c r="C273" s="997">
        <v>294890.15000000002</v>
      </c>
    </row>
    <row r="274" spans="1:3" x14ac:dyDescent="0.25">
      <c r="A274" s="995">
        <v>39208</v>
      </c>
      <c r="B274" s="995" t="s">
        <v>1559</v>
      </c>
      <c r="C274" s="997">
        <v>17640.14</v>
      </c>
    </row>
    <row r="275" spans="1:3" x14ac:dyDescent="0.25">
      <c r="A275" s="995">
        <v>39209</v>
      </c>
      <c r="B275" s="995" t="s">
        <v>1065</v>
      </c>
      <c r="C275" s="997">
        <v>9199.93</v>
      </c>
    </row>
    <row r="276" spans="1:3" x14ac:dyDescent="0.25">
      <c r="A276" s="995">
        <v>39300</v>
      </c>
      <c r="B276" s="995" t="s">
        <v>1066</v>
      </c>
      <c r="C276" s="997">
        <v>49111.21</v>
      </c>
    </row>
    <row r="277" spans="1:3" x14ac:dyDescent="0.25">
      <c r="A277" s="995">
        <v>39301</v>
      </c>
      <c r="B277" s="995" t="s">
        <v>1067</v>
      </c>
      <c r="C277" s="997">
        <v>3069.64</v>
      </c>
    </row>
    <row r="278" spans="1:3" x14ac:dyDescent="0.25">
      <c r="A278" s="995">
        <v>39400</v>
      </c>
      <c r="B278" s="995" t="s">
        <v>1068</v>
      </c>
      <c r="C278" s="997">
        <v>37357.980000000003</v>
      </c>
    </row>
    <row r="279" spans="1:3" x14ac:dyDescent="0.25">
      <c r="A279" s="995">
        <v>39401</v>
      </c>
      <c r="B279" s="995" t="s">
        <v>1069</v>
      </c>
      <c r="C279" s="997">
        <v>13346.61</v>
      </c>
    </row>
    <row r="280" spans="1:3" x14ac:dyDescent="0.25">
      <c r="A280" s="995">
        <v>39500</v>
      </c>
      <c r="B280" s="995" t="s">
        <v>1070</v>
      </c>
      <c r="C280" s="997">
        <v>104563.02</v>
      </c>
    </row>
    <row r="281" spans="1:3" x14ac:dyDescent="0.25">
      <c r="A281" s="995">
        <v>39501</v>
      </c>
      <c r="B281" s="995" t="s">
        <v>1071</v>
      </c>
      <c r="C281" s="997">
        <v>3284.46</v>
      </c>
    </row>
    <row r="282" spans="1:3" x14ac:dyDescent="0.25">
      <c r="A282" s="995">
        <v>39600</v>
      </c>
      <c r="B282" s="995" t="s">
        <v>1072</v>
      </c>
      <c r="C282" s="997">
        <v>356807.39</v>
      </c>
    </row>
    <row r="283" spans="1:3" x14ac:dyDescent="0.25">
      <c r="A283" s="995">
        <v>39605</v>
      </c>
      <c r="B283" s="995" t="s">
        <v>1073</v>
      </c>
      <c r="C283" s="997">
        <v>52919.73</v>
      </c>
    </row>
    <row r="284" spans="1:3" x14ac:dyDescent="0.25">
      <c r="A284" s="995">
        <v>39700</v>
      </c>
      <c r="B284" s="995" t="s">
        <v>1074</v>
      </c>
      <c r="C284" s="997">
        <v>197244.32</v>
      </c>
    </row>
    <row r="285" spans="1:3" x14ac:dyDescent="0.25">
      <c r="A285" s="995">
        <v>39703</v>
      </c>
      <c r="B285" s="995" t="s">
        <v>1075</v>
      </c>
      <c r="C285" s="997">
        <v>6743.47</v>
      </c>
    </row>
    <row r="286" spans="1:3" x14ac:dyDescent="0.25">
      <c r="A286" s="995">
        <v>39705</v>
      </c>
      <c r="B286" s="995" t="s">
        <v>1076</v>
      </c>
      <c r="C286" s="997">
        <v>51964.34</v>
      </c>
    </row>
    <row r="287" spans="1:3" x14ac:dyDescent="0.25">
      <c r="A287" s="995">
        <v>39800</v>
      </c>
      <c r="B287" s="995" t="s">
        <v>1077</v>
      </c>
      <c r="C287" s="997">
        <v>229478.91</v>
      </c>
    </row>
    <row r="288" spans="1:3" x14ac:dyDescent="0.25">
      <c r="A288" s="995">
        <v>39805</v>
      </c>
      <c r="B288" s="995" t="s">
        <v>1078</v>
      </c>
      <c r="C288" s="997">
        <v>29083.61</v>
      </c>
    </row>
    <row r="289" spans="1:3" x14ac:dyDescent="0.25">
      <c r="A289" s="995">
        <v>39900</v>
      </c>
      <c r="B289" s="995" t="s">
        <v>1079</v>
      </c>
      <c r="C289" s="997">
        <v>116735.83</v>
      </c>
    </row>
    <row r="290" spans="1:3" x14ac:dyDescent="0.25">
      <c r="A290" s="995">
        <v>51000</v>
      </c>
      <c r="B290" s="995" t="s">
        <v>1080</v>
      </c>
      <c r="C290" s="997">
        <v>2013370.56</v>
      </c>
    </row>
    <row r="291" spans="1:3" x14ac:dyDescent="0.25">
      <c r="A291" s="995">
        <v>32420</v>
      </c>
      <c r="B291" s="995" t="s">
        <v>897</v>
      </c>
      <c r="C291" s="997">
        <v>0</v>
      </c>
    </row>
    <row r="292" spans="1:3" x14ac:dyDescent="0.25">
      <c r="A292" s="995">
        <v>36801</v>
      </c>
      <c r="B292" s="1000" t="s">
        <v>1005</v>
      </c>
      <c r="C292" s="997">
        <v>0</v>
      </c>
    </row>
    <row r="293" spans="1:3" x14ac:dyDescent="0.25">
      <c r="A293" s="1001">
        <v>36002</v>
      </c>
      <c r="B293" s="1000" t="s">
        <v>976</v>
      </c>
      <c r="C293" s="997">
        <v>0</v>
      </c>
    </row>
    <row r="295" spans="1:3" x14ac:dyDescent="0.25">
      <c r="C295" s="1002">
        <f>SUM(C3:C294)</f>
        <v>61650936.439999998</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AB595"/>
  <sheetViews>
    <sheetView workbookViewId="0"/>
  </sheetViews>
  <sheetFormatPr defaultColWidth="9.140625" defaultRowHeight="15" x14ac:dyDescent="0.25"/>
  <cols>
    <col min="1" max="1" width="13.42578125" style="548" customWidth="1"/>
    <col min="2" max="2" width="39" style="548" customWidth="1"/>
    <col min="3" max="4" width="13.85546875" style="548" customWidth="1"/>
    <col min="5" max="6" width="20" style="548" customWidth="1"/>
    <col min="7" max="7" width="20.28515625" style="548" customWidth="1"/>
    <col min="8" max="8" width="3.85546875" style="548" customWidth="1"/>
    <col min="9" max="9" width="18.28515625" style="548" customWidth="1"/>
    <col min="10" max="10" width="20" style="548" customWidth="1"/>
    <col min="11" max="11" width="14.42578125" style="548" customWidth="1"/>
    <col min="12" max="12" width="19.42578125" style="548" customWidth="1"/>
    <col min="13" max="13" width="3.85546875" style="548" customWidth="1"/>
    <col min="14" max="14" width="18.28515625" style="548" customWidth="1"/>
    <col min="15" max="15" width="20" style="548" customWidth="1"/>
    <col min="16" max="16" width="14.42578125" style="548" customWidth="1"/>
    <col min="17" max="17" width="19.42578125" style="548" customWidth="1"/>
    <col min="18" max="18" width="3.85546875" style="548" customWidth="1"/>
    <col min="19" max="19" width="22.28515625" style="548" customWidth="1"/>
    <col min="20" max="20" width="22.42578125" style="548" customWidth="1"/>
    <col min="21" max="21" width="16.85546875" style="548" customWidth="1"/>
    <col min="22" max="23" width="9.140625" style="548"/>
    <col min="24" max="24" width="12.5703125" style="548" bestFit="1" customWidth="1"/>
    <col min="25" max="25" width="11.5703125" style="548" bestFit="1" customWidth="1"/>
    <col min="26" max="26" width="10.5703125" style="548" bestFit="1" customWidth="1"/>
    <col min="27" max="16384" width="9.140625" style="548"/>
  </cols>
  <sheetData>
    <row r="1" spans="1:28" x14ac:dyDescent="0.25">
      <c r="A1" s="547"/>
      <c r="I1" s="549" t="s">
        <v>778</v>
      </c>
      <c r="J1" s="549"/>
      <c r="K1" s="549"/>
      <c r="L1" s="549"/>
      <c r="N1" s="549" t="s">
        <v>779</v>
      </c>
      <c r="O1" s="549"/>
      <c r="P1" s="549"/>
      <c r="Q1" s="549"/>
      <c r="S1" s="549" t="s">
        <v>780</v>
      </c>
      <c r="T1" s="549"/>
      <c r="U1" s="549"/>
    </row>
    <row r="2" spans="1:28" ht="120" x14ac:dyDescent="0.25">
      <c r="A2" s="550" t="s">
        <v>781</v>
      </c>
      <c r="B2" s="550" t="s">
        <v>782</v>
      </c>
      <c r="C2" s="550" t="s">
        <v>1129</v>
      </c>
      <c r="D2" s="550" t="s">
        <v>1130</v>
      </c>
      <c r="E2" s="550" t="s">
        <v>783</v>
      </c>
      <c r="F2" s="550" t="s">
        <v>1131</v>
      </c>
      <c r="G2" s="550" t="s">
        <v>1132</v>
      </c>
      <c r="H2" s="550" t="s">
        <v>1133</v>
      </c>
      <c r="I2" s="550" t="s">
        <v>784</v>
      </c>
      <c r="J2" s="550" t="s">
        <v>785</v>
      </c>
      <c r="K2" s="550" t="s">
        <v>786</v>
      </c>
      <c r="L2" s="550" t="s">
        <v>787</v>
      </c>
      <c r="M2" s="550" t="s">
        <v>1133</v>
      </c>
      <c r="N2" s="550" t="s">
        <v>784</v>
      </c>
      <c r="O2" s="550" t="s">
        <v>785</v>
      </c>
      <c r="P2" s="550" t="s">
        <v>786</v>
      </c>
      <c r="Q2" s="550" t="s">
        <v>787</v>
      </c>
      <c r="R2" s="550" t="s">
        <v>1133</v>
      </c>
      <c r="S2" s="550" t="s">
        <v>788</v>
      </c>
      <c r="T2" s="550" t="s">
        <v>789</v>
      </c>
      <c r="U2" s="550" t="s">
        <v>790</v>
      </c>
      <c r="Y2" s="551"/>
      <c r="Z2" s="551"/>
      <c r="AA2" s="551"/>
      <c r="AB2" s="551"/>
    </row>
    <row r="3" spans="1:28" x14ac:dyDescent="0.25">
      <c r="A3" s="552">
        <v>10200</v>
      </c>
      <c r="B3" s="553" t="s">
        <v>791</v>
      </c>
      <c r="C3" s="554">
        <v>1.1215000000000001E-3</v>
      </c>
      <c r="D3" s="554">
        <v>1.1096000000000001E-3</v>
      </c>
      <c r="E3" s="555">
        <v>1278633.06</v>
      </c>
      <c r="F3" s="555">
        <f t="shared" ref="F3:F66" si="0">D3*$F$298</f>
        <v>1300918</v>
      </c>
      <c r="G3" s="555">
        <v>4132950</v>
      </c>
      <c r="H3" s="555"/>
      <c r="I3" s="556">
        <v>0</v>
      </c>
      <c r="J3" s="556">
        <v>2884079</v>
      </c>
      <c r="K3" s="556">
        <v>0</v>
      </c>
      <c r="L3" s="555">
        <v>136810</v>
      </c>
      <c r="M3" s="555"/>
      <c r="N3" s="556">
        <v>469916</v>
      </c>
      <c r="O3" s="556">
        <v>3331849</v>
      </c>
      <c r="P3" s="556">
        <v>0</v>
      </c>
      <c r="Q3" s="555">
        <v>57108</v>
      </c>
      <c r="R3" s="555"/>
      <c r="S3" s="556">
        <v>402714</v>
      </c>
      <c r="T3" s="557">
        <v>33216</v>
      </c>
      <c r="U3" s="557">
        <v>435930</v>
      </c>
      <c r="X3" s="558"/>
      <c r="Y3" s="558"/>
      <c r="Z3" s="558"/>
      <c r="AA3" s="558"/>
    </row>
    <row r="4" spans="1:28" x14ac:dyDescent="0.25">
      <c r="A4" s="552">
        <v>10400</v>
      </c>
      <c r="B4" s="553" t="s">
        <v>792</v>
      </c>
      <c r="C4" s="559">
        <v>3.2226999999999998E-3</v>
      </c>
      <c r="D4" s="559">
        <v>4.7707000000000001E-3</v>
      </c>
      <c r="E4" s="555">
        <v>4443452</v>
      </c>
      <c r="F4" s="555">
        <f t="shared" si="0"/>
        <v>5593269</v>
      </c>
      <c r="G4" s="555">
        <v>11876288</v>
      </c>
      <c r="H4" s="555"/>
      <c r="I4" s="556">
        <v>0</v>
      </c>
      <c r="J4" s="556">
        <v>8287579</v>
      </c>
      <c r="K4" s="556">
        <v>0</v>
      </c>
      <c r="L4" s="555">
        <v>0</v>
      </c>
      <c r="M4" s="555"/>
      <c r="N4" s="556">
        <v>1350334</v>
      </c>
      <c r="O4" s="556">
        <v>9574274</v>
      </c>
      <c r="P4" s="556">
        <v>0</v>
      </c>
      <c r="Q4" s="555">
        <v>6262521</v>
      </c>
      <c r="R4" s="555"/>
      <c r="S4" s="556">
        <v>1157223</v>
      </c>
      <c r="T4" s="557">
        <v>-1734910</v>
      </c>
      <c r="U4" s="557">
        <v>-577687</v>
      </c>
      <c r="X4" s="558"/>
      <c r="Y4" s="558"/>
      <c r="Z4" s="558"/>
      <c r="AA4" s="558"/>
    </row>
    <row r="5" spans="1:28" x14ac:dyDescent="0.25">
      <c r="A5" s="552">
        <v>10500</v>
      </c>
      <c r="B5" s="553" t="s">
        <v>793</v>
      </c>
      <c r="C5" s="559">
        <v>7.291E-4</v>
      </c>
      <c r="D5" s="559">
        <v>7.2420000000000004E-4</v>
      </c>
      <c r="E5" s="555">
        <v>908098.01</v>
      </c>
      <c r="F5" s="555">
        <f t="shared" si="0"/>
        <v>849067</v>
      </c>
      <c r="G5" s="555">
        <v>2686878</v>
      </c>
      <c r="H5" s="555"/>
      <c r="I5" s="556">
        <v>0</v>
      </c>
      <c r="J5" s="556">
        <v>1874973</v>
      </c>
      <c r="K5" s="556">
        <v>0</v>
      </c>
      <c r="L5" s="555">
        <v>11039</v>
      </c>
      <c r="M5" s="555"/>
      <c r="N5" s="556">
        <v>305498</v>
      </c>
      <c r="O5" s="556">
        <v>2166073</v>
      </c>
      <c r="P5" s="556">
        <v>0</v>
      </c>
      <c r="Q5" s="555">
        <v>88722</v>
      </c>
      <c r="R5" s="555"/>
      <c r="S5" s="556">
        <v>261809</v>
      </c>
      <c r="T5" s="557">
        <v>-28742</v>
      </c>
      <c r="U5" s="557">
        <v>233067</v>
      </c>
      <c r="X5" s="558"/>
      <c r="Y5" s="558"/>
      <c r="Z5" s="558"/>
      <c r="AA5" s="558"/>
    </row>
    <row r="6" spans="1:28" x14ac:dyDescent="0.25">
      <c r="A6" s="552">
        <v>10700</v>
      </c>
      <c r="B6" s="553" t="s">
        <v>794</v>
      </c>
      <c r="C6" s="559">
        <v>1.854E-3</v>
      </c>
      <c r="D6" s="559">
        <v>1.9047000000000001E-3</v>
      </c>
      <c r="E6" s="555">
        <v>2752347.82</v>
      </c>
      <c r="F6" s="555">
        <f t="shared" si="0"/>
        <v>2233110</v>
      </c>
      <c r="G6" s="555">
        <v>6832357</v>
      </c>
      <c r="H6" s="555"/>
      <c r="I6" s="556">
        <v>0</v>
      </c>
      <c r="J6" s="556">
        <v>4767795</v>
      </c>
      <c r="K6" s="556">
        <v>0</v>
      </c>
      <c r="L6" s="555">
        <v>240329</v>
      </c>
      <c r="M6" s="555"/>
      <c r="N6" s="556">
        <v>776839</v>
      </c>
      <c r="O6" s="556">
        <v>5508023</v>
      </c>
      <c r="P6" s="556">
        <v>0</v>
      </c>
      <c r="Q6" s="555">
        <v>0</v>
      </c>
      <c r="R6" s="555"/>
      <c r="S6" s="556">
        <v>665743.59</v>
      </c>
      <c r="T6" s="557">
        <v>77371</v>
      </c>
      <c r="U6" s="557">
        <v>743115</v>
      </c>
      <c r="X6" s="558"/>
      <c r="Y6" s="558"/>
      <c r="Z6" s="558"/>
      <c r="AA6" s="558"/>
    </row>
    <row r="7" spans="1:28" x14ac:dyDescent="0.25">
      <c r="A7" s="552">
        <v>10800</v>
      </c>
      <c r="B7" s="553" t="s">
        <v>795</v>
      </c>
      <c r="C7" s="559">
        <v>1.9480399999999998E-2</v>
      </c>
      <c r="D7" s="559">
        <v>1.9810100000000001E-2</v>
      </c>
      <c r="E7" s="555">
        <v>25675383</v>
      </c>
      <c r="F7" s="555">
        <f t="shared" si="0"/>
        <v>23225779</v>
      </c>
      <c r="G7" s="555">
        <v>71789131</v>
      </c>
      <c r="H7" s="555"/>
      <c r="I7" s="556">
        <v>0</v>
      </c>
      <c r="J7" s="556">
        <v>50096303</v>
      </c>
      <c r="K7" s="556">
        <v>0</v>
      </c>
      <c r="L7" s="555">
        <v>192345</v>
      </c>
      <c r="M7" s="555"/>
      <c r="N7" s="556">
        <v>8162424</v>
      </c>
      <c r="O7" s="556">
        <v>57874048</v>
      </c>
      <c r="P7" s="556">
        <v>0</v>
      </c>
      <c r="Q7" s="555">
        <v>549275</v>
      </c>
      <c r="R7" s="555"/>
      <c r="S7" s="556">
        <v>6995119</v>
      </c>
      <c r="T7" s="557">
        <v>-83213</v>
      </c>
      <c r="U7" s="557">
        <v>6911907</v>
      </c>
      <c r="X7" s="558"/>
      <c r="Y7" s="558"/>
      <c r="Z7" s="558"/>
      <c r="AA7" s="558"/>
    </row>
    <row r="8" spans="1:28" x14ac:dyDescent="0.25">
      <c r="A8" s="552">
        <v>10850</v>
      </c>
      <c r="B8" s="553" t="s">
        <v>796</v>
      </c>
      <c r="C8" s="559">
        <v>1.2410000000000001E-4</v>
      </c>
      <c r="D8" s="559">
        <v>1.198E-4</v>
      </c>
      <c r="E8" s="555">
        <v>244557.65</v>
      </c>
      <c r="F8" s="555">
        <f t="shared" si="0"/>
        <v>140456</v>
      </c>
      <c r="G8" s="555">
        <v>457333</v>
      </c>
      <c r="H8" s="555"/>
      <c r="I8" s="556">
        <v>0</v>
      </c>
      <c r="J8" s="556">
        <v>319139</v>
      </c>
      <c r="K8" s="556">
        <v>0</v>
      </c>
      <c r="L8" s="555">
        <v>211587</v>
      </c>
      <c r="M8" s="555"/>
      <c r="N8" s="556">
        <v>51999</v>
      </c>
      <c r="O8" s="556">
        <v>368687</v>
      </c>
      <c r="P8" s="556">
        <v>0</v>
      </c>
      <c r="Q8" s="555">
        <v>0</v>
      </c>
      <c r="R8" s="555"/>
      <c r="S8" s="556">
        <v>44562</v>
      </c>
      <c r="T8" s="557">
        <v>68753</v>
      </c>
      <c r="U8" s="557">
        <v>113315</v>
      </c>
      <c r="X8" s="558"/>
      <c r="Y8" s="558"/>
      <c r="Z8" s="558"/>
      <c r="AA8" s="558"/>
    </row>
    <row r="9" spans="1:28" x14ac:dyDescent="0.25">
      <c r="A9" s="552">
        <v>10900</v>
      </c>
      <c r="B9" s="553" t="s">
        <v>797</v>
      </c>
      <c r="C9" s="559">
        <v>1.9277000000000001E-3</v>
      </c>
      <c r="D9" s="559">
        <v>1.8564E-3</v>
      </c>
      <c r="E9" s="555">
        <v>3045859.58</v>
      </c>
      <c r="F9" s="555">
        <f t="shared" si="0"/>
        <v>2176483</v>
      </c>
      <c r="G9" s="555">
        <v>7103956</v>
      </c>
      <c r="H9" s="555"/>
      <c r="I9" s="556">
        <v>0</v>
      </c>
      <c r="J9" s="556">
        <v>4957323</v>
      </c>
      <c r="K9" s="556">
        <v>0</v>
      </c>
      <c r="L9" s="555">
        <v>1426419</v>
      </c>
      <c r="M9" s="555"/>
      <c r="N9" s="556">
        <v>807720</v>
      </c>
      <c r="O9" s="556">
        <v>5726977</v>
      </c>
      <c r="P9" s="556">
        <v>0</v>
      </c>
      <c r="Q9" s="555">
        <v>0</v>
      </c>
      <c r="R9" s="555"/>
      <c r="S9" s="556">
        <v>692208</v>
      </c>
      <c r="T9" s="557">
        <v>447658</v>
      </c>
      <c r="U9" s="557">
        <v>1139866</v>
      </c>
      <c r="X9" s="558"/>
      <c r="Y9" s="558"/>
      <c r="Z9" s="558"/>
      <c r="AA9" s="558"/>
    </row>
    <row r="10" spans="1:28" x14ac:dyDescent="0.25">
      <c r="A10" s="552">
        <v>10910</v>
      </c>
      <c r="B10" s="553" t="s">
        <v>798</v>
      </c>
      <c r="C10" s="559">
        <v>3.3819999999999998E-4</v>
      </c>
      <c r="D10" s="559">
        <v>2.9770000000000003E-4</v>
      </c>
      <c r="E10" s="555">
        <v>459631.7</v>
      </c>
      <c r="F10" s="555">
        <f t="shared" si="0"/>
        <v>349030</v>
      </c>
      <c r="G10" s="555">
        <v>1246334</v>
      </c>
      <c r="H10" s="555"/>
      <c r="I10" s="556">
        <v>0</v>
      </c>
      <c r="J10" s="556">
        <v>869724</v>
      </c>
      <c r="K10" s="556">
        <v>0</v>
      </c>
      <c r="L10" s="555">
        <v>197047</v>
      </c>
      <c r="M10" s="555"/>
      <c r="N10" s="556">
        <v>141708</v>
      </c>
      <c r="O10" s="556">
        <v>1004754</v>
      </c>
      <c r="P10" s="556">
        <v>0</v>
      </c>
      <c r="Q10" s="555">
        <v>48542</v>
      </c>
      <c r="R10" s="555"/>
      <c r="S10" s="556">
        <v>121443</v>
      </c>
      <c r="T10" s="557">
        <v>37185</v>
      </c>
      <c r="U10" s="557">
        <v>158628</v>
      </c>
      <c r="X10" s="558"/>
      <c r="Y10" s="558"/>
      <c r="Z10" s="558"/>
      <c r="AA10" s="558"/>
    </row>
    <row r="11" spans="1:28" x14ac:dyDescent="0.25">
      <c r="A11" s="552">
        <v>10930</v>
      </c>
      <c r="B11" s="553" t="s">
        <v>799</v>
      </c>
      <c r="C11" s="559">
        <v>2.6234000000000001E-3</v>
      </c>
      <c r="D11" s="559">
        <v>2.4191E-3</v>
      </c>
      <c r="E11" s="555">
        <v>3833671.01</v>
      </c>
      <c r="F11" s="555">
        <f t="shared" si="0"/>
        <v>2836204</v>
      </c>
      <c r="G11" s="555">
        <v>9667748</v>
      </c>
      <c r="H11" s="555"/>
      <c r="I11" s="556">
        <v>0</v>
      </c>
      <c r="J11" s="556">
        <v>6746404</v>
      </c>
      <c r="K11" s="556">
        <v>0</v>
      </c>
      <c r="L11" s="555">
        <v>1273472</v>
      </c>
      <c r="M11" s="555"/>
      <c r="N11" s="556">
        <v>1099223</v>
      </c>
      <c r="O11" s="556">
        <v>7793822</v>
      </c>
      <c r="P11" s="556">
        <v>0</v>
      </c>
      <c r="Q11" s="555">
        <v>217826</v>
      </c>
      <c r="R11" s="555"/>
      <c r="S11" s="556">
        <v>942024</v>
      </c>
      <c r="T11" s="557">
        <v>274689</v>
      </c>
      <c r="U11" s="557">
        <v>1216712</v>
      </c>
    </row>
    <row r="12" spans="1:28" x14ac:dyDescent="0.25">
      <c r="A12" s="552">
        <v>10940</v>
      </c>
      <c r="B12" s="553" t="s">
        <v>800</v>
      </c>
      <c r="C12" s="559">
        <v>7.228E-4</v>
      </c>
      <c r="D12" s="559">
        <v>8.5400000000000005E-4</v>
      </c>
      <c r="E12" s="555">
        <v>1038418.6</v>
      </c>
      <c r="F12" s="555">
        <f t="shared" si="0"/>
        <v>1001248</v>
      </c>
      <c r="G12" s="555">
        <v>2663661</v>
      </c>
      <c r="H12" s="555"/>
      <c r="I12" s="556">
        <v>0</v>
      </c>
      <c r="J12" s="556">
        <v>1858771</v>
      </c>
      <c r="K12" s="556">
        <v>0</v>
      </c>
      <c r="L12" s="555">
        <v>0</v>
      </c>
      <c r="M12" s="555"/>
      <c r="N12" s="556">
        <v>302858</v>
      </c>
      <c r="O12" s="556">
        <v>2147356</v>
      </c>
      <c r="P12" s="556">
        <v>0</v>
      </c>
      <c r="Q12" s="555">
        <v>501045</v>
      </c>
      <c r="R12" s="555"/>
      <c r="S12" s="556">
        <v>259547</v>
      </c>
      <c r="T12" s="557">
        <v>-142385</v>
      </c>
      <c r="U12" s="557">
        <v>117162</v>
      </c>
    </row>
    <row r="13" spans="1:28" x14ac:dyDescent="0.25">
      <c r="A13" s="552">
        <v>10950</v>
      </c>
      <c r="B13" s="553" t="s">
        <v>801</v>
      </c>
      <c r="C13" s="559">
        <v>6.7480000000000003E-4</v>
      </c>
      <c r="D13" s="559">
        <v>6.6839999999999998E-4</v>
      </c>
      <c r="E13" s="555">
        <v>927702.87</v>
      </c>
      <c r="F13" s="555">
        <f t="shared" si="0"/>
        <v>783646</v>
      </c>
      <c r="G13" s="555">
        <v>2486772</v>
      </c>
      <c r="H13" s="555"/>
      <c r="I13" s="556">
        <v>0</v>
      </c>
      <c r="J13" s="556">
        <v>1735333</v>
      </c>
      <c r="K13" s="556">
        <v>0</v>
      </c>
      <c r="L13" s="555">
        <v>260459</v>
      </c>
      <c r="M13" s="555"/>
      <c r="N13" s="556">
        <v>282746</v>
      </c>
      <c r="O13" s="556">
        <v>2004754</v>
      </c>
      <c r="P13" s="556">
        <v>0</v>
      </c>
      <c r="Q13" s="555">
        <v>0</v>
      </c>
      <c r="R13" s="555"/>
      <c r="S13" s="556">
        <v>242311</v>
      </c>
      <c r="T13" s="557">
        <v>86318</v>
      </c>
      <c r="U13" s="557">
        <v>328629</v>
      </c>
    </row>
    <row r="14" spans="1:28" x14ac:dyDescent="0.25">
      <c r="A14" s="552">
        <v>11300</v>
      </c>
      <c r="B14" s="553" t="s">
        <v>802</v>
      </c>
      <c r="C14" s="559">
        <v>8.1285999999999997E-3</v>
      </c>
      <c r="D14" s="559">
        <v>8.5200999999999992E-3</v>
      </c>
      <c r="E14" s="555">
        <v>11121994</v>
      </c>
      <c r="F14" s="555">
        <f t="shared" si="0"/>
        <v>9989145</v>
      </c>
      <c r="G14" s="555">
        <v>29955500</v>
      </c>
      <c r="H14" s="555"/>
      <c r="I14" s="556">
        <v>0</v>
      </c>
      <c r="J14" s="556">
        <v>20903719</v>
      </c>
      <c r="K14" s="556">
        <v>0</v>
      </c>
      <c r="L14" s="555">
        <v>0</v>
      </c>
      <c r="M14" s="555"/>
      <c r="N14" s="556">
        <v>3405940</v>
      </c>
      <c r="O14" s="556">
        <v>24149144</v>
      </c>
      <c r="P14" s="556">
        <v>0</v>
      </c>
      <c r="Q14" s="555">
        <v>1197297</v>
      </c>
      <c r="R14" s="555"/>
      <c r="S14" s="556">
        <v>2918858</v>
      </c>
      <c r="T14" s="557">
        <v>-348985</v>
      </c>
      <c r="U14" s="557">
        <v>2569873</v>
      </c>
    </row>
    <row r="15" spans="1:28" x14ac:dyDescent="0.25">
      <c r="A15" s="552">
        <v>11310</v>
      </c>
      <c r="B15" s="553" t="s">
        <v>803</v>
      </c>
      <c r="C15" s="559">
        <v>5.1639999999999998E-4</v>
      </c>
      <c r="D15" s="559">
        <v>5.1659999999999998E-4</v>
      </c>
      <c r="E15" s="555">
        <v>708974.88</v>
      </c>
      <c r="F15" s="555">
        <f t="shared" si="0"/>
        <v>605673</v>
      </c>
      <c r="G15" s="555">
        <v>1903036</v>
      </c>
      <c r="H15" s="555"/>
      <c r="I15" s="556">
        <v>0</v>
      </c>
      <c r="J15" s="556">
        <v>1327988</v>
      </c>
      <c r="K15" s="556">
        <v>0</v>
      </c>
      <c r="L15" s="555">
        <v>66309</v>
      </c>
      <c r="M15" s="555"/>
      <c r="N15" s="556">
        <v>216375</v>
      </c>
      <c r="O15" s="556">
        <v>1534166</v>
      </c>
      <c r="P15" s="556">
        <v>0</v>
      </c>
      <c r="Q15" s="555">
        <v>0</v>
      </c>
      <c r="R15" s="555"/>
      <c r="S15" s="556">
        <v>185431</v>
      </c>
      <c r="T15" s="557">
        <v>20201</v>
      </c>
      <c r="U15" s="557">
        <v>205632</v>
      </c>
    </row>
    <row r="16" spans="1:28" x14ac:dyDescent="0.25">
      <c r="A16" s="552">
        <v>11600</v>
      </c>
      <c r="B16" s="553" t="s">
        <v>804</v>
      </c>
      <c r="C16" s="559">
        <v>2.1665E-3</v>
      </c>
      <c r="D16" s="559">
        <v>2.222E-3</v>
      </c>
      <c r="E16" s="555">
        <v>2668558.35</v>
      </c>
      <c r="F16" s="555">
        <f t="shared" si="0"/>
        <v>2605120</v>
      </c>
      <c r="G16" s="555">
        <v>7983981</v>
      </c>
      <c r="H16" s="555"/>
      <c r="I16" s="556">
        <v>0</v>
      </c>
      <c r="J16" s="556">
        <v>5571428</v>
      </c>
      <c r="K16" s="556">
        <v>0</v>
      </c>
      <c r="L16" s="555">
        <v>153619</v>
      </c>
      <c r="M16" s="555"/>
      <c r="N16" s="556">
        <v>907779</v>
      </c>
      <c r="O16" s="556">
        <v>6436425</v>
      </c>
      <c r="P16" s="556">
        <v>0</v>
      </c>
      <c r="Q16" s="555">
        <v>287193</v>
      </c>
      <c r="R16" s="555"/>
      <c r="S16" s="556">
        <v>777958</v>
      </c>
      <c r="T16" s="557">
        <v>-24494</v>
      </c>
      <c r="U16" s="557">
        <v>753463</v>
      </c>
    </row>
    <row r="17" spans="1:21" x14ac:dyDescent="0.25">
      <c r="A17" s="552">
        <v>11900</v>
      </c>
      <c r="B17" s="553" t="s">
        <v>805</v>
      </c>
      <c r="C17" s="559">
        <v>2.474E-4</v>
      </c>
      <c r="D17" s="559">
        <v>2.2139999999999999E-4</v>
      </c>
      <c r="E17" s="555">
        <v>295452.24</v>
      </c>
      <c r="F17" s="555">
        <f t="shared" si="0"/>
        <v>259574</v>
      </c>
      <c r="G17" s="555">
        <v>911718</v>
      </c>
      <c r="H17" s="555"/>
      <c r="I17" s="556">
        <v>0</v>
      </c>
      <c r="J17" s="556">
        <v>636220</v>
      </c>
      <c r="K17" s="556">
        <v>0</v>
      </c>
      <c r="L17" s="555">
        <v>96857</v>
      </c>
      <c r="M17" s="555"/>
      <c r="N17" s="556">
        <v>103662</v>
      </c>
      <c r="O17" s="556">
        <v>734997</v>
      </c>
      <c r="P17" s="556">
        <v>0</v>
      </c>
      <c r="Q17" s="555">
        <v>44076</v>
      </c>
      <c r="R17" s="555"/>
      <c r="S17" s="556">
        <v>88838</v>
      </c>
      <c r="T17" s="557">
        <v>11032</v>
      </c>
      <c r="U17" s="557">
        <v>99870</v>
      </c>
    </row>
    <row r="18" spans="1:21" x14ac:dyDescent="0.25">
      <c r="A18" s="552">
        <v>12100</v>
      </c>
      <c r="B18" s="553" t="s">
        <v>806</v>
      </c>
      <c r="C18" s="559">
        <v>2.677E-4</v>
      </c>
      <c r="D18" s="559">
        <v>2.519E-4</v>
      </c>
      <c r="E18" s="555">
        <v>369619.58</v>
      </c>
      <c r="F18" s="555">
        <f t="shared" si="0"/>
        <v>295333</v>
      </c>
      <c r="G18" s="555">
        <v>986528</v>
      </c>
      <c r="H18" s="555"/>
      <c r="I18" s="556">
        <v>0</v>
      </c>
      <c r="J18" s="556">
        <v>688424</v>
      </c>
      <c r="K18" s="556">
        <v>0</v>
      </c>
      <c r="L18" s="555">
        <v>285140</v>
      </c>
      <c r="M18" s="555"/>
      <c r="N18" s="556">
        <v>112168</v>
      </c>
      <c r="O18" s="556">
        <v>795306</v>
      </c>
      <c r="P18" s="556">
        <v>0</v>
      </c>
      <c r="Q18" s="555">
        <v>0</v>
      </c>
      <c r="R18" s="555"/>
      <c r="S18" s="556">
        <v>96127</v>
      </c>
      <c r="T18" s="557">
        <v>94737</v>
      </c>
      <c r="U18" s="557">
        <v>190864</v>
      </c>
    </row>
    <row r="19" spans="1:21" x14ac:dyDescent="0.25">
      <c r="A19" s="552">
        <v>12150</v>
      </c>
      <c r="B19" s="553" t="s">
        <v>807</v>
      </c>
      <c r="C19" s="559">
        <v>4.3000000000000002E-5</v>
      </c>
      <c r="D19" s="559">
        <v>3.3699999999999999E-5</v>
      </c>
      <c r="E19" s="555">
        <v>43959.39</v>
      </c>
      <c r="F19" s="555">
        <f t="shared" si="0"/>
        <v>39511</v>
      </c>
      <c r="G19" s="555">
        <v>158464</v>
      </c>
      <c r="H19" s="555"/>
      <c r="I19" s="556">
        <v>0</v>
      </c>
      <c r="J19" s="556">
        <v>110580</v>
      </c>
      <c r="K19" s="556">
        <v>0</v>
      </c>
      <c r="L19" s="555">
        <v>39777</v>
      </c>
      <c r="M19" s="555"/>
      <c r="N19" s="556">
        <v>18017</v>
      </c>
      <c r="O19" s="556">
        <v>127748</v>
      </c>
      <c r="P19" s="556">
        <v>0</v>
      </c>
      <c r="Q19" s="555">
        <v>0</v>
      </c>
      <c r="R19" s="555"/>
      <c r="S19" s="556">
        <v>15441</v>
      </c>
      <c r="T19" s="557">
        <v>11710</v>
      </c>
      <c r="U19" s="557">
        <v>27150</v>
      </c>
    </row>
    <row r="20" spans="1:21" x14ac:dyDescent="0.25">
      <c r="A20" s="552">
        <v>12160</v>
      </c>
      <c r="B20" s="553" t="s">
        <v>808</v>
      </c>
      <c r="C20" s="559">
        <v>1.8278000000000001E-3</v>
      </c>
      <c r="D20" s="559">
        <v>1.8473000000000001E-3</v>
      </c>
      <c r="E20" s="555">
        <v>2677763.98</v>
      </c>
      <c r="F20" s="555">
        <f t="shared" si="0"/>
        <v>2165814</v>
      </c>
      <c r="G20" s="555">
        <v>6735805</v>
      </c>
      <c r="H20" s="555"/>
      <c r="I20" s="556">
        <v>0</v>
      </c>
      <c r="J20" s="556">
        <v>4700418</v>
      </c>
      <c r="K20" s="556">
        <v>0</v>
      </c>
      <c r="L20" s="555">
        <v>796022</v>
      </c>
      <c r="M20" s="555"/>
      <c r="N20" s="556">
        <v>765861</v>
      </c>
      <c r="O20" s="556">
        <v>5430185</v>
      </c>
      <c r="P20" s="556">
        <v>0</v>
      </c>
      <c r="Q20" s="555">
        <v>0</v>
      </c>
      <c r="R20" s="555"/>
      <c r="S20" s="556">
        <v>656336</v>
      </c>
      <c r="T20" s="557">
        <v>268436</v>
      </c>
      <c r="U20" s="557">
        <v>924771</v>
      </c>
    </row>
    <row r="21" spans="1:21" x14ac:dyDescent="0.25">
      <c r="A21" s="552">
        <v>12220</v>
      </c>
      <c r="B21" s="553" t="s">
        <v>809</v>
      </c>
      <c r="C21" s="559">
        <v>4.9292900000000001E-2</v>
      </c>
      <c r="D21" s="559">
        <v>4.9215700000000001E-2</v>
      </c>
      <c r="E21" s="555">
        <v>67341096</v>
      </c>
      <c r="F21" s="555">
        <f t="shared" si="0"/>
        <v>57701526</v>
      </c>
      <c r="G21" s="555">
        <v>181654096</v>
      </c>
      <c r="H21" s="555"/>
      <c r="I21" s="556">
        <v>0</v>
      </c>
      <c r="J21" s="556">
        <v>126762903</v>
      </c>
      <c r="K21" s="556">
        <v>0</v>
      </c>
      <c r="L21" s="555">
        <v>5945813</v>
      </c>
      <c r="M21" s="555"/>
      <c r="N21" s="556">
        <v>20654070</v>
      </c>
      <c r="O21" s="556">
        <v>146443587</v>
      </c>
      <c r="P21" s="556">
        <v>0</v>
      </c>
      <c r="Q21" s="555">
        <v>0</v>
      </c>
      <c r="R21" s="555"/>
      <c r="S21" s="556">
        <v>17700341</v>
      </c>
      <c r="T21" s="557">
        <v>1778821</v>
      </c>
      <c r="U21" s="557">
        <v>19479162</v>
      </c>
    </row>
    <row r="22" spans="1:21" x14ac:dyDescent="0.25">
      <c r="A22" s="552">
        <v>12510</v>
      </c>
      <c r="B22" s="553" t="s">
        <v>810</v>
      </c>
      <c r="C22" s="559">
        <v>5.705E-3</v>
      </c>
      <c r="D22" s="559">
        <v>6.3379999999999999E-3</v>
      </c>
      <c r="E22" s="555">
        <v>8802921</v>
      </c>
      <c r="F22" s="555">
        <f t="shared" si="0"/>
        <v>7430805</v>
      </c>
      <c r="G22" s="555">
        <v>21024055</v>
      </c>
      <c r="H22" s="555"/>
      <c r="I22" s="556">
        <v>0</v>
      </c>
      <c r="J22" s="556">
        <v>14671126</v>
      </c>
      <c r="K22" s="556">
        <v>0</v>
      </c>
      <c r="L22" s="555">
        <v>251511</v>
      </c>
      <c r="M22" s="555"/>
      <c r="N22" s="556">
        <v>2390435</v>
      </c>
      <c r="O22" s="556">
        <v>16948905</v>
      </c>
      <c r="P22" s="556">
        <v>0</v>
      </c>
      <c r="Q22" s="555">
        <v>1426966</v>
      </c>
      <c r="R22" s="555"/>
      <c r="S22" s="556">
        <v>2048580</v>
      </c>
      <c r="T22" s="557">
        <v>-305134</v>
      </c>
      <c r="U22" s="557">
        <v>1743446</v>
      </c>
    </row>
    <row r="23" spans="1:21" x14ac:dyDescent="0.25">
      <c r="A23" s="552">
        <v>12600</v>
      </c>
      <c r="B23" s="553" t="s">
        <v>811</v>
      </c>
      <c r="C23" s="559">
        <v>1.5257000000000001E-3</v>
      </c>
      <c r="D23" s="559">
        <v>1.5721999999999999E-3</v>
      </c>
      <c r="E23" s="555">
        <v>2240938.91</v>
      </c>
      <c r="F23" s="555">
        <f t="shared" si="0"/>
        <v>1843280</v>
      </c>
      <c r="G23" s="555">
        <v>5622507</v>
      </c>
      <c r="H23" s="555"/>
      <c r="I23" s="556">
        <v>0</v>
      </c>
      <c r="J23" s="556">
        <v>3923530</v>
      </c>
      <c r="K23" s="556">
        <v>0</v>
      </c>
      <c r="L23" s="555">
        <v>49577</v>
      </c>
      <c r="M23" s="555"/>
      <c r="N23" s="556">
        <v>639279</v>
      </c>
      <c r="O23" s="556">
        <v>4532681</v>
      </c>
      <c r="P23" s="556">
        <v>0</v>
      </c>
      <c r="Q23" s="555">
        <v>50254</v>
      </c>
      <c r="R23" s="555"/>
      <c r="S23" s="556">
        <v>547856</v>
      </c>
      <c r="T23" s="557">
        <v>-4279</v>
      </c>
      <c r="U23" s="557">
        <v>543577</v>
      </c>
    </row>
    <row r="24" spans="1:21" x14ac:dyDescent="0.25">
      <c r="A24" s="552">
        <v>12700</v>
      </c>
      <c r="B24" s="553" t="s">
        <v>812</v>
      </c>
      <c r="C24" s="559">
        <v>1.1758000000000001E-3</v>
      </c>
      <c r="D24" s="559">
        <v>1.2378999999999999E-3</v>
      </c>
      <c r="E24" s="555">
        <v>1751369.28</v>
      </c>
      <c r="F24" s="555">
        <f t="shared" si="0"/>
        <v>1451340</v>
      </c>
      <c r="G24" s="555">
        <v>4333056</v>
      </c>
      <c r="H24" s="555"/>
      <c r="I24" s="556">
        <v>0</v>
      </c>
      <c r="J24" s="556">
        <v>3023718</v>
      </c>
      <c r="K24" s="556">
        <v>0</v>
      </c>
      <c r="L24" s="555">
        <v>0</v>
      </c>
      <c r="M24" s="555"/>
      <c r="N24" s="556">
        <v>492668</v>
      </c>
      <c r="O24" s="556">
        <v>3493168</v>
      </c>
      <c r="P24" s="556">
        <v>0</v>
      </c>
      <c r="Q24" s="555">
        <v>64630</v>
      </c>
      <c r="R24" s="555"/>
      <c r="S24" s="556">
        <v>422212</v>
      </c>
      <c r="T24" s="557">
        <v>-18775</v>
      </c>
      <c r="U24" s="557">
        <v>403437</v>
      </c>
    </row>
    <row r="25" spans="1:21" x14ac:dyDescent="0.25">
      <c r="A25" s="552">
        <v>13500</v>
      </c>
      <c r="B25" s="553" t="s">
        <v>813</v>
      </c>
      <c r="C25" s="559">
        <v>4.2383999999999998E-3</v>
      </c>
      <c r="D25" s="559">
        <v>4.2439000000000001E-3</v>
      </c>
      <c r="E25" s="555">
        <v>5697612</v>
      </c>
      <c r="F25" s="555">
        <f t="shared" si="0"/>
        <v>4975638</v>
      </c>
      <c r="G25" s="555">
        <v>15619343</v>
      </c>
      <c r="H25" s="555"/>
      <c r="I25" s="556">
        <v>0</v>
      </c>
      <c r="J25" s="556">
        <v>10899580</v>
      </c>
      <c r="K25" s="556">
        <v>0</v>
      </c>
      <c r="L25" s="555">
        <v>386867</v>
      </c>
      <c r="M25" s="555"/>
      <c r="N25" s="556">
        <v>1775919</v>
      </c>
      <c r="O25" s="556">
        <v>12591803</v>
      </c>
      <c r="P25" s="556">
        <v>0</v>
      </c>
      <c r="Q25" s="555">
        <v>0</v>
      </c>
      <c r="R25" s="555"/>
      <c r="S25" s="556">
        <v>1521946</v>
      </c>
      <c r="T25" s="557">
        <v>118461</v>
      </c>
      <c r="U25" s="557">
        <v>1640407</v>
      </c>
    </row>
    <row r="26" spans="1:21" x14ac:dyDescent="0.25">
      <c r="A26" s="552">
        <v>13700</v>
      </c>
      <c r="B26" s="553" t="s">
        <v>814</v>
      </c>
      <c r="C26" s="559">
        <v>5.3370000000000002E-4</v>
      </c>
      <c r="D26" s="559">
        <v>5.7600000000000001E-4</v>
      </c>
      <c r="E26" s="555">
        <v>771457.87</v>
      </c>
      <c r="F26" s="555">
        <f t="shared" si="0"/>
        <v>675315</v>
      </c>
      <c r="G26" s="555">
        <v>1966790</v>
      </c>
      <c r="H26" s="555"/>
      <c r="I26" s="556">
        <v>0</v>
      </c>
      <c r="J26" s="556">
        <v>1372477</v>
      </c>
      <c r="K26" s="556">
        <v>0</v>
      </c>
      <c r="L26" s="555">
        <v>28274</v>
      </c>
      <c r="M26" s="555"/>
      <c r="N26" s="556">
        <v>223624</v>
      </c>
      <c r="O26" s="556">
        <v>1585562</v>
      </c>
      <c r="P26" s="556">
        <v>0</v>
      </c>
      <c r="Q26" s="555">
        <v>102626</v>
      </c>
      <c r="R26" s="555"/>
      <c r="S26" s="556">
        <v>191644</v>
      </c>
      <c r="T26" s="557">
        <v>-18294</v>
      </c>
      <c r="U26" s="557">
        <v>173350</v>
      </c>
    </row>
    <row r="27" spans="1:21" x14ac:dyDescent="0.25">
      <c r="A27" s="552">
        <v>14200</v>
      </c>
      <c r="B27" s="553" t="s">
        <v>815</v>
      </c>
      <c r="C27" s="559">
        <v>0</v>
      </c>
      <c r="D27" s="559">
        <v>0</v>
      </c>
      <c r="E27" s="555"/>
      <c r="F27" s="555">
        <f t="shared" si="0"/>
        <v>0</v>
      </c>
      <c r="G27" s="555">
        <v>0</v>
      </c>
      <c r="H27" s="555"/>
      <c r="I27" s="556">
        <v>0</v>
      </c>
      <c r="J27" s="556">
        <v>0</v>
      </c>
      <c r="K27" s="556">
        <v>0</v>
      </c>
      <c r="L27" s="555">
        <v>0</v>
      </c>
      <c r="M27" s="555"/>
      <c r="N27" s="556">
        <v>0</v>
      </c>
      <c r="O27" s="556">
        <v>0</v>
      </c>
      <c r="P27" s="556">
        <v>0</v>
      </c>
      <c r="Q27" s="555">
        <v>7072</v>
      </c>
      <c r="R27" s="555"/>
      <c r="S27" s="556">
        <v>0</v>
      </c>
      <c r="T27" s="557">
        <v>-2535</v>
      </c>
      <c r="U27" s="557">
        <v>-2535</v>
      </c>
    </row>
    <row r="28" spans="1:21" x14ac:dyDescent="0.25">
      <c r="A28" s="552">
        <v>14300</v>
      </c>
      <c r="B28" s="553" t="s">
        <v>816</v>
      </c>
      <c r="C28" s="559">
        <v>1.5661E-3</v>
      </c>
      <c r="D28" s="559">
        <v>1.5441999999999999E-3</v>
      </c>
      <c r="E28" s="555">
        <v>1984271.3</v>
      </c>
      <c r="F28" s="555">
        <f t="shared" si="0"/>
        <v>1810453</v>
      </c>
      <c r="G28" s="555">
        <v>5771389</v>
      </c>
      <c r="H28" s="555"/>
      <c r="I28" s="556">
        <v>0</v>
      </c>
      <c r="J28" s="556">
        <v>4027423</v>
      </c>
      <c r="K28" s="556">
        <v>0</v>
      </c>
      <c r="L28" s="555">
        <v>98252</v>
      </c>
      <c r="M28" s="555"/>
      <c r="N28" s="556">
        <v>656207</v>
      </c>
      <c r="O28" s="556">
        <v>4652705</v>
      </c>
      <c r="P28" s="556">
        <v>0</v>
      </c>
      <c r="Q28" s="555">
        <v>56141</v>
      </c>
      <c r="R28" s="555"/>
      <c r="S28" s="556">
        <v>562363</v>
      </c>
      <c r="T28" s="557">
        <v>7094</v>
      </c>
      <c r="U28" s="557">
        <v>569457</v>
      </c>
    </row>
    <row r="29" spans="1:21" x14ac:dyDescent="0.25">
      <c r="A29" s="552">
        <v>18400</v>
      </c>
      <c r="B29" s="553" t="s">
        <v>817</v>
      </c>
      <c r="C29" s="559">
        <v>5.7102999999999998E-3</v>
      </c>
      <c r="D29" s="559">
        <v>5.7371000000000002E-3</v>
      </c>
      <c r="E29" s="555">
        <v>7853312</v>
      </c>
      <c r="F29" s="555">
        <f t="shared" si="0"/>
        <v>6726297</v>
      </c>
      <c r="G29" s="555">
        <v>21043586</v>
      </c>
      <c r="H29" s="555"/>
      <c r="I29" s="556">
        <v>0</v>
      </c>
      <c r="J29" s="556">
        <v>14684756</v>
      </c>
      <c r="K29" s="556">
        <v>0</v>
      </c>
      <c r="L29" s="555">
        <v>995510</v>
      </c>
      <c r="M29" s="555"/>
      <c r="N29" s="556">
        <v>2392656</v>
      </c>
      <c r="O29" s="556">
        <v>16964650</v>
      </c>
      <c r="P29" s="556">
        <v>0</v>
      </c>
      <c r="Q29" s="555">
        <v>0</v>
      </c>
      <c r="R29" s="555"/>
      <c r="S29" s="556">
        <v>2050483</v>
      </c>
      <c r="T29" s="557">
        <v>324993</v>
      </c>
      <c r="U29" s="557">
        <v>2375476</v>
      </c>
    </row>
    <row r="30" spans="1:21" x14ac:dyDescent="0.25">
      <c r="A30" s="552">
        <v>18600</v>
      </c>
      <c r="B30" s="553" t="s">
        <v>818</v>
      </c>
      <c r="C30" s="559">
        <v>1.8600000000000001E-5</v>
      </c>
      <c r="D30" s="559">
        <v>2.44E-5</v>
      </c>
      <c r="E30" s="555">
        <v>35811</v>
      </c>
      <c r="F30" s="555">
        <f t="shared" si="0"/>
        <v>28607</v>
      </c>
      <c r="G30" s="555">
        <v>68545</v>
      </c>
      <c r="H30" s="555"/>
      <c r="I30" s="556">
        <v>0</v>
      </c>
      <c r="J30" s="556">
        <v>47832</v>
      </c>
      <c r="K30" s="556">
        <v>0</v>
      </c>
      <c r="L30" s="555">
        <v>4466</v>
      </c>
      <c r="M30" s="555"/>
      <c r="N30" s="556">
        <v>7794</v>
      </c>
      <c r="O30" s="556">
        <v>55258</v>
      </c>
      <c r="P30" s="556">
        <v>0</v>
      </c>
      <c r="Q30" s="555">
        <v>14903</v>
      </c>
      <c r="R30" s="555"/>
      <c r="S30" s="556">
        <v>6679</v>
      </c>
      <c r="T30" s="557">
        <v>-2528</v>
      </c>
      <c r="U30" s="557">
        <v>4151</v>
      </c>
    </row>
    <row r="31" spans="1:21" x14ac:dyDescent="0.25">
      <c r="A31" s="552">
        <v>18640</v>
      </c>
      <c r="B31" s="553" t="s">
        <v>819</v>
      </c>
      <c r="C31" s="559">
        <v>0</v>
      </c>
      <c r="D31" s="559">
        <v>1.7999999999999999E-6</v>
      </c>
      <c r="E31" s="555">
        <v>0</v>
      </c>
      <c r="F31" s="555">
        <f t="shared" si="0"/>
        <v>2110</v>
      </c>
      <c r="G31" s="555">
        <v>0</v>
      </c>
      <c r="H31" s="555"/>
      <c r="I31" s="556">
        <v>0</v>
      </c>
      <c r="J31" s="556">
        <v>0</v>
      </c>
      <c r="K31" s="556">
        <v>0</v>
      </c>
      <c r="L31" s="555">
        <v>0</v>
      </c>
      <c r="M31" s="555"/>
      <c r="N31" s="556">
        <v>0</v>
      </c>
      <c r="O31" s="556">
        <v>0</v>
      </c>
      <c r="P31" s="556">
        <v>0</v>
      </c>
      <c r="Q31" s="555">
        <v>15007</v>
      </c>
      <c r="R31" s="555"/>
      <c r="S31" s="556">
        <v>0</v>
      </c>
      <c r="T31" s="557">
        <v>-4758</v>
      </c>
      <c r="U31" s="557">
        <v>-4758</v>
      </c>
    </row>
    <row r="32" spans="1:21" x14ac:dyDescent="0.25">
      <c r="A32" s="552">
        <v>18670</v>
      </c>
      <c r="B32" s="553" t="s">
        <v>820</v>
      </c>
      <c r="C32" s="559">
        <v>0</v>
      </c>
      <c r="D32" s="559">
        <v>3.4999999999999999E-6</v>
      </c>
      <c r="E32" s="555"/>
      <c r="F32" s="555">
        <f t="shared" si="0"/>
        <v>4103</v>
      </c>
      <c r="G32" s="555">
        <v>0</v>
      </c>
      <c r="H32" s="555"/>
      <c r="I32" s="556">
        <v>0</v>
      </c>
      <c r="J32" s="556">
        <v>0</v>
      </c>
      <c r="K32" s="556">
        <v>0</v>
      </c>
      <c r="L32" s="555">
        <v>0</v>
      </c>
      <c r="M32" s="555"/>
      <c r="N32" s="556">
        <v>0</v>
      </c>
      <c r="O32" s="556">
        <v>0</v>
      </c>
      <c r="P32" s="556">
        <v>0</v>
      </c>
      <c r="Q32" s="555">
        <v>18964</v>
      </c>
      <c r="R32" s="555"/>
      <c r="S32" s="556">
        <v>0</v>
      </c>
      <c r="T32" s="557">
        <v>-5591</v>
      </c>
      <c r="U32" s="557">
        <v>-5591</v>
      </c>
    </row>
    <row r="33" spans="1:21" x14ac:dyDescent="0.25">
      <c r="A33" s="552">
        <v>18690</v>
      </c>
      <c r="B33" s="553" t="s">
        <v>821</v>
      </c>
      <c r="C33" s="559">
        <v>8.6999999999999997E-6</v>
      </c>
      <c r="D33" s="559">
        <v>1.2E-5</v>
      </c>
      <c r="E33" s="555">
        <v>25183.09</v>
      </c>
      <c r="F33" s="555">
        <f t="shared" si="0"/>
        <v>14069</v>
      </c>
      <c r="G33" s="555">
        <v>32061</v>
      </c>
      <c r="H33" s="555"/>
      <c r="I33" s="556">
        <v>0</v>
      </c>
      <c r="J33" s="556">
        <v>22373</v>
      </c>
      <c r="K33" s="556">
        <v>0</v>
      </c>
      <c r="L33" s="555">
        <v>17368</v>
      </c>
      <c r="M33" s="555"/>
      <c r="N33" s="556">
        <v>3645</v>
      </c>
      <c r="O33" s="556">
        <v>25847</v>
      </c>
      <c r="P33" s="556">
        <v>0</v>
      </c>
      <c r="Q33" s="555">
        <v>2853</v>
      </c>
      <c r="R33" s="555"/>
      <c r="S33" s="556">
        <v>3124</v>
      </c>
      <c r="T33" s="557">
        <v>5435</v>
      </c>
      <c r="U33" s="557">
        <v>8559</v>
      </c>
    </row>
    <row r="34" spans="1:21" x14ac:dyDescent="0.25">
      <c r="A34" s="552">
        <v>18740</v>
      </c>
      <c r="B34" s="553" t="s">
        <v>822</v>
      </c>
      <c r="C34" s="559">
        <v>6.2999999999999998E-6</v>
      </c>
      <c r="D34" s="559">
        <v>6.9E-6</v>
      </c>
      <c r="E34" s="555">
        <v>9550.41</v>
      </c>
      <c r="F34" s="555">
        <f t="shared" si="0"/>
        <v>8090</v>
      </c>
      <c r="G34" s="555">
        <v>23217</v>
      </c>
      <c r="H34" s="555"/>
      <c r="I34" s="556">
        <v>0</v>
      </c>
      <c r="J34" s="556">
        <v>16201</v>
      </c>
      <c r="K34" s="556">
        <v>0</v>
      </c>
      <c r="L34" s="555">
        <v>429</v>
      </c>
      <c r="M34" s="555"/>
      <c r="N34" s="556">
        <v>2640</v>
      </c>
      <c r="O34" s="556">
        <v>18717</v>
      </c>
      <c r="P34" s="556">
        <v>0</v>
      </c>
      <c r="Q34" s="555">
        <v>1290</v>
      </c>
      <c r="R34" s="555"/>
      <c r="S34" s="556">
        <v>2262</v>
      </c>
      <c r="T34" s="557">
        <v>-204</v>
      </c>
      <c r="U34" s="557">
        <v>2059</v>
      </c>
    </row>
    <row r="35" spans="1:21" x14ac:dyDescent="0.25">
      <c r="A35" s="552">
        <v>18780</v>
      </c>
      <c r="B35" s="553" t="s">
        <v>823</v>
      </c>
      <c r="C35" s="559">
        <v>1.3200000000000001E-5</v>
      </c>
      <c r="D35" s="559">
        <v>1.26E-5</v>
      </c>
      <c r="E35" s="555">
        <v>19770.14</v>
      </c>
      <c r="F35" s="555">
        <f t="shared" si="0"/>
        <v>14773</v>
      </c>
      <c r="G35" s="555">
        <v>48645</v>
      </c>
      <c r="H35" s="555"/>
      <c r="I35" s="556">
        <v>0</v>
      </c>
      <c r="J35" s="556">
        <v>33945</v>
      </c>
      <c r="K35" s="556">
        <v>0</v>
      </c>
      <c r="L35" s="555">
        <v>15638</v>
      </c>
      <c r="M35" s="555"/>
      <c r="N35" s="556">
        <v>5531</v>
      </c>
      <c r="O35" s="556">
        <v>39216</v>
      </c>
      <c r="P35" s="556">
        <v>0</v>
      </c>
      <c r="Q35" s="555">
        <v>0</v>
      </c>
      <c r="R35" s="555"/>
      <c r="S35" s="556">
        <v>4740</v>
      </c>
      <c r="T35" s="557">
        <v>5200</v>
      </c>
      <c r="U35" s="557">
        <v>9940</v>
      </c>
    </row>
    <row r="36" spans="1:21" x14ac:dyDescent="0.25">
      <c r="A36" s="552">
        <v>19005</v>
      </c>
      <c r="B36" s="553" t="s">
        <v>824</v>
      </c>
      <c r="C36" s="559">
        <v>8.0519999999999995E-4</v>
      </c>
      <c r="D36" s="559">
        <v>8.072E-4</v>
      </c>
      <c r="E36" s="555">
        <v>1204505.94</v>
      </c>
      <c r="F36" s="555">
        <f t="shared" si="0"/>
        <v>946378</v>
      </c>
      <c r="G36" s="555">
        <v>2967321</v>
      </c>
      <c r="H36" s="555"/>
      <c r="I36" s="556">
        <v>0</v>
      </c>
      <c r="J36" s="556">
        <v>2070673</v>
      </c>
      <c r="K36" s="556">
        <v>0</v>
      </c>
      <c r="L36" s="555">
        <v>175903</v>
      </c>
      <c r="M36" s="555"/>
      <c r="N36" s="556">
        <v>337384</v>
      </c>
      <c r="O36" s="556">
        <v>2392157</v>
      </c>
      <c r="P36" s="556">
        <v>0</v>
      </c>
      <c r="Q36" s="555">
        <v>0</v>
      </c>
      <c r="R36" s="555"/>
      <c r="S36" s="556">
        <v>289135</v>
      </c>
      <c r="T36" s="557">
        <v>51756</v>
      </c>
      <c r="U36" s="557">
        <v>340891</v>
      </c>
    </row>
    <row r="37" spans="1:21" x14ac:dyDescent="0.25">
      <c r="A37" s="552">
        <v>19100</v>
      </c>
      <c r="B37" s="553" t="s">
        <v>825</v>
      </c>
      <c r="C37" s="559">
        <v>7.0273699999999995E-2</v>
      </c>
      <c r="D37" s="559">
        <v>6.9269800000000006E-2</v>
      </c>
      <c r="E37" s="555">
        <v>88492017</v>
      </c>
      <c r="F37" s="555">
        <f t="shared" si="0"/>
        <v>81213376</v>
      </c>
      <c r="G37" s="555">
        <v>258972499</v>
      </c>
      <c r="H37" s="555"/>
      <c r="I37" s="556">
        <v>0</v>
      </c>
      <c r="J37" s="556">
        <v>180717674</v>
      </c>
      <c r="K37" s="556">
        <v>0</v>
      </c>
      <c r="L37" s="555">
        <v>4071143</v>
      </c>
      <c r="M37" s="555"/>
      <c r="N37" s="556">
        <v>29445172</v>
      </c>
      <c r="O37" s="556">
        <v>208775151</v>
      </c>
      <c r="P37" s="556">
        <v>0</v>
      </c>
      <c r="Q37" s="555">
        <v>4337831</v>
      </c>
      <c r="R37" s="555"/>
      <c r="S37" s="556">
        <v>25234232</v>
      </c>
      <c r="T37" s="557">
        <v>-427038</v>
      </c>
      <c r="U37" s="557">
        <v>24807194</v>
      </c>
    </row>
    <row r="38" spans="1:21" x14ac:dyDescent="0.25">
      <c r="A38" s="552">
        <v>20100</v>
      </c>
      <c r="B38" s="553" t="s">
        <v>826</v>
      </c>
      <c r="C38" s="559">
        <v>5.7920999999999997E-3</v>
      </c>
      <c r="D38" s="559">
        <v>5.6360000000000004E-3</v>
      </c>
      <c r="E38" s="555">
        <v>7591521</v>
      </c>
      <c r="F38" s="555">
        <f t="shared" si="0"/>
        <v>6607765</v>
      </c>
      <c r="G38" s="555">
        <v>21345035</v>
      </c>
      <c r="H38" s="555"/>
      <c r="I38" s="556">
        <v>0</v>
      </c>
      <c r="J38" s="556">
        <v>14895115</v>
      </c>
      <c r="K38" s="556">
        <v>0</v>
      </c>
      <c r="L38" s="555">
        <v>1317075</v>
      </c>
      <c r="M38" s="555"/>
      <c r="N38" s="556">
        <v>2426930</v>
      </c>
      <c r="O38" s="556">
        <v>17207669</v>
      </c>
      <c r="P38" s="556">
        <v>0</v>
      </c>
      <c r="Q38" s="555">
        <v>0</v>
      </c>
      <c r="R38" s="555"/>
      <c r="S38" s="556">
        <v>2079856</v>
      </c>
      <c r="T38" s="557">
        <v>400476</v>
      </c>
      <c r="U38" s="557">
        <v>2480332</v>
      </c>
    </row>
    <row r="39" spans="1:21" x14ac:dyDescent="0.25">
      <c r="A39" s="552">
        <v>20200</v>
      </c>
      <c r="B39" s="553" t="s">
        <v>827</v>
      </c>
      <c r="C39" s="559">
        <v>8.0079999999999995E-4</v>
      </c>
      <c r="D39" s="559">
        <v>8.1280000000000002E-4</v>
      </c>
      <c r="E39" s="555">
        <v>1170762</v>
      </c>
      <c r="F39" s="555">
        <f t="shared" si="0"/>
        <v>952944</v>
      </c>
      <c r="G39" s="555">
        <v>2951107</v>
      </c>
      <c r="H39" s="555"/>
      <c r="I39" s="556">
        <v>0</v>
      </c>
      <c r="J39" s="556">
        <v>2059358</v>
      </c>
      <c r="K39" s="556">
        <v>0</v>
      </c>
      <c r="L39" s="555">
        <v>152058</v>
      </c>
      <c r="M39" s="555"/>
      <c r="N39" s="556">
        <v>335541</v>
      </c>
      <c r="O39" s="556">
        <v>2379086</v>
      </c>
      <c r="P39" s="556">
        <v>0</v>
      </c>
      <c r="Q39" s="555">
        <v>0</v>
      </c>
      <c r="R39" s="555"/>
      <c r="S39" s="556">
        <v>287555</v>
      </c>
      <c r="T39" s="557">
        <v>48453</v>
      </c>
      <c r="U39" s="557">
        <v>336008</v>
      </c>
    </row>
    <row r="40" spans="1:21" x14ac:dyDescent="0.25">
      <c r="A40" s="552">
        <v>20300</v>
      </c>
      <c r="B40" s="553" t="s">
        <v>828</v>
      </c>
      <c r="C40" s="559">
        <v>1.34568E-2</v>
      </c>
      <c r="D40" s="559">
        <v>1.37251E-2</v>
      </c>
      <c r="E40" s="555">
        <v>17411076</v>
      </c>
      <c r="F40" s="555">
        <f t="shared" si="0"/>
        <v>16091597</v>
      </c>
      <c r="G40" s="555">
        <v>49590972</v>
      </c>
      <c r="H40" s="555"/>
      <c r="I40" s="556">
        <v>0</v>
      </c>
      <c r="J40" s="556">
        <v>34605857</v>
      </c>
      <c r="K40" s="556">
        <v>0</v>
      </c>
      <c r="L40" s="555">
        <v>2040187</v>
      </c>
      <c r="M40" s="555"/>
      <c r="N40" s="556">
        <v>5638493</v>
      </c>
      <c r="O40" s="556">
        <v>39978619</v>
      </c>
      <c r="P40" s="556">
        <v>0</v>
      </c>
      <c r="Q40" s="555">
        <v>805719</v>
      </c>
      <c r="R40" s="555"/>
      <c r="S40" s="556">
        <v>4832135</v>
      </c>
      <c r="T40" s="557">
        <v>508059</v>
      </c>
      <c r="U40" s="557">
        <v>5340194</v>
      </c>
    </row>
    <row r="41" spans="1:21" x14ac:dyDescent="0.25">
      <c r="A41" s="552">
        <v>20400</v>
      </c>
      <c r="B41" s="553" t="s">
        <v>829</v>
      </c>
      <c r="C41" s="559">
        <v>1.1751999999999999E-3</v>
      </c>
      <c r="D41" s="559">
        <v>1.4748000000000001E-3</v>
      </c>
      <c r="E41" s="555">
        <v>1713197.66</v>
      </c>
      <c r="F41" s="555">
        <f t="shared" si="0"/>
        <v>1729087</v>
      </c>
      <c r="G41" s="555">
        <v>4330845</v>
      </c>
      <c r="H41" s="555"/>
      <c r="I41" s="556">
        <v>0</v>
      </c>
      <c r="J41" s="556">
        <v>3022175</v>
      </c>
      <c r="K41" s="556">
        <v>0</v>
      </c>
      <c r="L41" s="555">
        <v>0</v>
      </c>
      <c r="M41" s="555"/>
      <c r="N41" s="556">
        <v>492417</v>
      </c>
      <c r="O41" s="556">
        <v>3491385</v>
      </c>
      <c r="P41" s="556">
        <v>0</v>
      </c>
      <c r="Q41" s="555">
        <v>1805825</v>
      </c>
      <c r="R41" s="555"/>
      <c r="S41" s="556">
        <v>421997</v>
      </c>
      <c r="T41" s="557">
        <v>-558605</v>
      </c>
      <c r="U41" s="557">
        <v>-136608</v>
      </c>
    </row>
    <row r="42" spans="1:21" x14ac:dyDescent="0.25">
      <c r="A42" s="552">
        <v>20600</v>
      </c>
      <c r="B42" s="553" t="s">
        <v>830</v>
      </c>
      <c r="C42" s="559">
        <v>1.9930999999999998E-3</v>
      </c>
      <c r="D42" s="559">
        <v>2.1145999999999999E-3</v>
      </c>
      <c r="E42" s="555">
        <v>2791288.88</v>
      </c>
      <c r="F42" s="555">
        <f t="shared" si="0"/>
        <v>2479202</v>
      </c>
      <c r="G42" s="555">
        <v>7344968</v>
      </c>
      <c r="H42" s="555"/>
      <c r="I42" s="556">
        <v>0</v>
      </c>
      <c r="J42" s="556">
        <v>5125508</v>
      </c>
      <c r="K42" s="556">
        <v>0</v>
      </c>
      <c r="L42" s="555">
        <v>8891</v>
      </c>
      <c r="M42" s="555"/>
      <c r="N42" s="556">
        <v>835123</v>
      </c>
      <c r="O42" s="556">
        <v>5921273</v>
      </c>
      <c r="P42" s="556">
        <v>0</v>
      </c>
      <c r="Q42" s="555">
        <v>299100</v>
      </c>
      <c r="R42" s="555"/>
      <c r="S42" s="556">
        <v>715692</v>
      </c>
      <c r="T42" s="557">
        <v>-79666</v>
      </c>
      <c r="U42" s="557">
        <v>636026</v>
      </c>
    </row>
    <row r="43" spans="1:21" x14ac:dyDescent="0.25">
      <c r="A43" s="552">
        <v>20700</v>
      </c>
      <c r="B43" s="553" t="s">
        <v>831</v>
      </c>
      <c r="C43" s="559">
        <v>3.9925000000000004E-3</v>
      </c>
      <c r="D43" s="559">
        <v>4.1276000000000004E-3</v>
      </c>
      <c r="E43" s="555">
        <v>5835356</v>
      </c>
      <c r="F43" s="555">
        <f t="shared" si="0"/>
        <v>4839285</v>
      </c>
      <c r="G43" s="555">
        <v>14713153</v>
      </c>
      <c r="H43" s="555"/>
      <c r="I43" s="556">
        <v>0</v>
      </c>
      <c r="J43" s="556">
        <v>10267217</v>
      </c>
      <c r="K43" s="556">
        <v>0</v>
      </c>
      <c r="L43" s="555">
        <v>203579</v>
      </c>
      <c r="M43" s="555"/>
      <c r="N43" s="556">
        <v>1672885</v>
      </c>
      <c r="O43" s="556">
        <v>11861262</v>
      </c>
      <c r="P43" s="556">
        <v>0</v>
      </c>
      <c r="Q43" s="555">
        <v>0</v>
      </c>
      <c r="R43" s="555"/>
      <c r="S43" s="556">
        <v>1433647</v>
      </c>
      <c r="T43" s="557">
        <v>68867</v>
      </c>
      <c r="U43" s="557">
        <v>1502513</v>
      </c>
    </row>
    <row r="44" spans="1:21" x14ac:dyDescent="0.25">
      <c r="A44" s="552">
        <v>20800</v>
      </c>
      <c r="B44" s="553" t="s">
        <v>832</v>
      </c>
      <c r="C44" s="559">
        <v>3.6311E-3</v>
      </c>
      <c r="D44" s="559">
        <v>3.9148999999999998E-3</v>
      </c>
      <c r="E44" s="555">
        <v>5061837</v>
      </c>
      <c r="F44" s="555">
        <f t="shared" si="0"/>
        <v>4589911</v>
      </c>
      <c r="G44" s="555">
        <v>13381322</v>
      </c>
      <c r="H44" s="555"/>
      <c r="I44" s="556">
        <v>0</v>
      </c>
      <c r="J44" s="556">
        <v>9337831</v>
      </c>
      <c r="K44" s="556">
        <v>0</v>
      </c>
      <c r="L44" s="555">
        <v>143218</v>
      </c>
      <c r="M44" s="555"/>
      <c r="N44" s="556">
        <v>1521456</v>
      </c>
      <c r="O44" s="556">
        <v>10787584</v>
      </c>
      <c r="P44" s="556">
        <v>0</v>
      </c>
      <c r="Q44" s="555">
        <v>827661</v>
      </c>
      <c r="R44" s="555"/>
      <c r="S44" s="556">
        <v>1303874</v>
      </c>
      <c r="T44" s="557">
        <v>-177937</v>
      </c>
      <c r="U44" s="557">
        <v>1125937</v>
      </c>
    </row>
    <row r="45" spans="1:21" x14ac:dyDescent="0.25">
      <c r="A45" s="552">
        <v>20900</v>
      </c>
      <c r="B45" s="553" t="s">
        <v>833</v>
      </c>
      <c r="C45" s="559">
        <v>4.9801000000000003E-3</v>
      </c>
      <c r="D45" s="559">
        <v>5.3026999999999996E-3</v>
      </c>
      <c r="E45" s="555">
        <v>6755909</v>
      </c>
      <c r="F45" s="555">
        <f t="shared" si="0"/>
        <v>6216997</v>
      </c>
      <c r="G45" s="555">
        <v>18352655</v>
      </c>
      <c r="H45" s="555"/>
      <c r="I45" s="556">
        <v>0</v>
      </c>
      <c r="J45" s="556">
        <v>12806955</v>
      </c>
      <c r="K45" s="556">
        <v>0</v>
      </c>
      <c r="L45" s="555">
        <v>0</v>
      </c>
      <c r="M45" s="555"/>
      <c r="N45" s="556">
        <v>2086697</v>
      </c>
      <c r="O45" s="556">
        <v>14795309</v>
      </c>
      <c r="P45" s="556">
        <v>0</v>
      </c>
      <c r="Q45" s="555">
        <v>1547769</v>
      </c>
      <c r="R45" s="555"/>
      <c r="S45" s="556">
        <v>1788279</v>
      </c>
      <c r="T45" s="557">
        <v>-473420</v>
      </c>
      <c r="U45" s="557">
        <v>1314859</v>
      </c>
    </row>
    <row r="46" spans="1:21" x14ac:dyDescent="0.25">
      <c r="A46" s="552">
        <v>21200</v>
      </c>
      <c r="B46" s="553" t="s">
        <v>834</v>
      </c>
      <c r="C46" s="559">
        <v>1.6559000000000001E-3</v>
      </c>
      <c r="D46" s="559">
        <v>1.6521000000000001E-3</v>
      </c>
      <c r="E46" s="555">
        <v>2217753</v>
      </c>
      <c r="F46" s="555">
        <f t="shared" si="0"/>
        <v>1936957</v>
      </c>
      <c r="G46" s="555">
        <v>6102319</v>
      </c>
      <c r="H46" s="555"/>
      <c r="I46" s="556">
        <v>0</v>
      </c>
      <c r="J46" s="556">
        <v>4258355</v>
      </c>
      <c r="K46" s="556">
        <v>0</v>
      </c>
      <c r="L46" s="555">
        <v>115670</v>
      </c>
      <c r="M46" s="555"/>
      <c r="N46" s="556">
        <v>693834</v>
      </c>
      <c r="O46" s="556">
        <v>4919490</v>
      </c>
      <c r="P46" s="556">
        <v>0</v>
      </c>
      <c r="Q46" s="555">
        <v>129813</v>
      </c>
      <c r="R46" s="555"/>
      <c r="S46" s="556">
        <v>594609</v>
      </c>
      <c r="T46" s="557">
        <v>-14486</v>
      </c>
      <c r="U46" s="557">
        <v>580123</v>
      </c>
    </row>
    <row r="47" spans="1:21" x14ac:dyDescent="0.25">
      <c r="A47" s="552">
        <v>21300</v>
      </c>
      <c r="B47" s="553" t="s">
        <v>835</v>
      </c>
      <c r="C47" s="559">
        <v>2.1394E-2</v>
      </c>
      <c r="D47" s="559">
        <v>2.1459900000000001E-2</v>
      </c>
      <c r="E47" s="555">
        <v>28438845</v>
      </c>
      <c r="F47" s="555">
        <f t="shared" si="0"/>
        <v>25160040</v>
      </c>
      <c r="G47" s="555">
        <v>78841126</v>
      </c>
      <c r="H47" s="555"/>
      <c r="I47" s="556">
        <v>0</v>
      </c>
      <c r="J47" s="556">
        <v>55017367</v>
      </c>
      <c r="K47" s="556">
        <v>0</v>
      </c>
      <c r="L47" s="555">
        <v>2722767</v>
      </c>
      <c r="M47" s="555"/>
      <c r="N47" s="556">
        <v>8964236</v>
      </c>
      <c r="O47" s="556">
        <v>63559135</v>
      </c>
      <c r="P47" s="556">
        <v>0</v>
      </c>
      <c r="Q47" s="555">
        <v>0</v>
      </c>
      <c r="R47" s="555"/>
      <c r="S47" s="556">
        <v>7682264</v>
      </c>
      <c r="T47" s="557">
        <v>907530</v>
      </c>
      <c r="U47" s="557">
        <v>8589794</v>
      </c>
    </row>
    <row r="48" spans="1:21" x14ac:dyDescent="0.25">
      <c r="A48" s="552">
        <v>21520</v>
      </c>
      <c r="B48" s="553" t="s">
        <v>836</v>
      </c>
      <c r="C48" s="559">
        <v>3.1222699999999999E-2</v>
      </c>
      <c r="D48" s="559">
        <v>3.2242199999999999E-2</v>
      </c>
      <c r="E48" s="555">
        <v>41342778</v>
      </c>
      <c r="F48" s="555">
        <f t="shared" si="0"/>
        <v>37801436</v>
      </c>
      <c r="G48" s="555">
        <v>115061832</v>
      </c>
      <c r="H48" s="555"/>
      <c r="I48" s="556">
        <v>0</v>
      </c>
      <c r="J48" s="556">
        <v>80293107</v>
      </c>
      <c r="K48" s="556">
        <v>0</v>
      </c>
      <c r="L48" s="555">
        <v>2044288</v>
      </c>
      <c r="M48" s="555"/>
      <c r="N48" s="556">
        <v>13082530</v>
      </c>
      <c r="O48" s="556">
        <v>92759082</v>
      </c>
      <c r="P48" s="556">
        <v>0</v>
      </c>
      <c r="Q48" s="555">
        <v>2810047</v>
      </c>
      <c r="R48" s="555"/>
      <c r="S48" s="556">
        <v>11211603</v>
      </c>
      <c r="T48" s="557">
        <v>-45687</v>
      </c>
      <c r="U48" s="557">
        <v>11165917</v>
      </c>
    </row>
    <row r="49" spans="1:21" x14ac:dyDescent="0.25">
      <c r="A49" s="552">
        <v>21525</v>
      </c>
      <c r="B49" s="553" t="s">
        <v>837</v>
      </c>
      <c r="C49" s="559">
        <v>1.3163999999999999E-3</v>
      </c>
      <c r="D49" s="559">
        <v>1.3787999999999999E-3</v>
      </c>
      <c r="E49" s="555">
        <v>1954225.19</v>
      </c>
      <c r="F49" s="555">
        <f t="shared" si="0"/>
        <v>1616534</v>
      </c>
      <c r="G49" s="555">
        <v>4851195</v>
      </c>
      <c r="H49" s="555"/>
      <c r="I49" s="556">
        <v>0</v>
      </c>
      <c r="J49" s="556">
        <v>3385288</v>
      </c>
      <c r="K49" s="556">
        <v>0</v>
      </c>
      <c r="L49" s="555">
        <v>136990</v>
      </c>
      <c r="M49" s="555"/>
      <c r="N49" s="556">
        <v>551581</v>
      </c>
      <c r="O49" s="556">
        <v>3910874</v>
      </c>
      <c r="P49" s="556">
        <v>0</v>
      </c>
      <c r="Q49" s="555">
        <v>35341</v>
      </c>
      <c r="R49" s="555"/>
      <c r="S49" s="556">
        <v>472699</v>
      </c>
      <c r="T49" s="557">
        <v>39311</v>
      </c>
      <c r="U49" s="557">
        <v>512010</v>
      </c>
    </row>
    <row r="50" spans="1:21" x14ac:dyDescent="0.25">
      <c r="A50" s="552">
        <v>21550</v>
      </c>
      <c r="B50" s="553" t="s">
        <v>838</v>
      </c>
      <c r="C50" s="559">
        <v>3.5722400000000001E-2</v>
      </c>
      <c r="D50" s="559">
        <v>3.6556999999999999E-2</v>
      </c>
      <c r="E50" s="555">
        <v>42344203</v>
      </c>
      <c r="F50" s="555">
        <f t="shared" si="0"/>
        <v>42860198</v>
      </c>
      <c r="G50" s="555">
        <v>131644117</v>
      </c>
      <c r="H50" s="555"/>
      <c r="I50" s="556">
        <v>0</v>
      </c>
      <c r="J50" s="556">
        <v>91864653</v>
      </c>
      <c r="K50" s="556">
        <v>0</v>
      </c>
      <c r="L50" s="555">
        <v>7216850</v>
      </c>
      <c r="M50" s="555"/>
      <c r="N50" s="556">
        <v>14967936</v>
      </c>
      <c r="O50" s="556">
        <v>106127178</v>
      </c>
      <c r="P50" s="556">
        <v>0</v>
      </c>
      <c r="Q50" s="555">
        <v>5691585</v>
      </c>
      <c r="R50" s="555"/>
      <c r="S50" s="556">
        <v>12827378</v>
      </c>
      <c r="T50" s="557">
        <v>1010068</v>
      </c>
      <c r="U50" s="557">
        <v>13837446</v>
      </c>
    </row>
    <row r="51" spans="1:21" x14ac:dyDescent="0.25">
      <c r="A51" s="552">
        <v>21570</v>
      </c>
      <c r="B51" s="553" t="s">
        <v>839</v>
      </c>
      <c r="C51" s="559">
        <v>1.7019999999999999E-4</v>
      </c>
      <c r="D51" s="559">
        <v>1.8689999999999999E-4</v>
      </c>
      <c r="E51" s="555">
        <v>248377.23</v>
      </c>
      <c r="F51" s="555">
        <f t="shared" si="0"/>
        <v>219126</v>
      </c>
      <c r="G51" s="555">
        <v>627221</v>
      </c>
      <c r="H51" s="555"/>
      <c r="I51" s="556">
        <v>0</v>
      </c>
      <c r="J51" s="556">
        <v>437691</v>
      </c>
      <c r="K51" s="556">
        <v>0</v>
      </c>
      <c r="L51" s="555">
        <v>0</v>
      </c>
      <c r="M51" s="555"/>
      <c r="N51" s="556">
        <v>71315</v>
      </c>
      <c r="O51" s="556">
        <v>505645</v>
      </c>
      <c r="P51" s="556">
        <v>0</v>
      </c>
      <c r="Q51" s="555">
        <v>103365</v>
      </c>
      <c r="R51" s="555"/>
      <c r="S51" s="556">
        <v>61116</v>
      </c>
      <c r="T51" s="557">
        <v>-33427</v>
      </c>
      <c r="U51" s="557">
        <v>27689</v>
      </c>
    </row>
    <row r="52" spans="1:21" x14ac:dyDescent="0.25">
      <c r="A52" s="552">
        <v>21800</v>
      </c>
      <c r="B52" s="553" t="s">
        <v>840</v>
      </c>
      <c r="C52" s="559">
        <v>2.9962999999999999E-3</v>
      </c>
      <c r="D52" s="559">
        <v>2.9312000000000001E-3</v>
      </c>
      <c r="E52" s="555">
        <v>4057924.66</v>
      </c>
      <c r="F52" s="555">
        <f t="shared" si="0"/>
        <v>3436601</v>
      </c>
      <c r="G52" s="555">
        <v>11041959</v>
      </c>
      <c r="H52" s="555"/>
      <c r="I52" s="556">
        <v>0</v>
      </c>
      <c r="J52" s="556">
        <v>7705363</v>
      </c>
      <c r="K52" s="556">
        <v>0</v>
      </c>
      <c r="L52" s="555">
        <v>1003057</v>
      </c>
      <c r="M52" s="555"/>
      <c r="N52" s="556">
        <v>1255471</v>
      </c>
      <c r="O52" s="556">
        <v>8901666</v>
      </c>
      <c r="P52" s="556">
        <v>0</v>
      </c>
      <c r="Q52" s="555">
        <v>0</v>
      </c>
      <c r="R52" s="555"/>
      <c r="S52" s="556">
        <v>1075926</v>
      </c>
      <c r="T52" s="557">
        <v>319541</v>
      </c>
      <c r="U52" s="557">
        <v>1395467</v>
      </c>
    </row>
    <row r="53" spans="1:21" x14ac:dyDescent="0.25">
      <c r="A53" s="552">
        <v>21900</v>
      </c>
      <c r="B53" s="553" t="s">
        <v>841</v>
      </c>
      <c r="C53" s="559">
        <v>2.3990999999999999E-3</v>
      </c>
      <c r="D53" s="559">
        <v>2.4667000000000001E-3</v>
      </c>
      <c r="E53" s="555">
        <v>3289641.51</v>
      </c>
      <c r="F53" s="555">
        <f t="shared" si="0"/>
        <v>2892011</v>
      </c>
      <c r="G53" s="555">
        <v>8841159</v>
      </c>
      <c r="H53" s="555"/>
      <c r="I53" s="556">
        <v>0</v>
      </c>
      <c r="J53" s="556">
        <v>6169588</v>
      </c>
      <c r="K53" s="556">
        <v>0</v>
      </c>
      <c r="L53" s="555">
        <v>302624</v>
      </c>
      <c r="M53" s="555"/>
      <c r="N53" s="556">
        <v>1005240</v>
      </c>
      <c r="O53" s="556">
        <v>7127453</v>
      </c>
      <c r="P53" s="556">
        <v>0</v>
      </c>
      <c r="Q53" s="555">
        <v>82025</v>
      </c>
      <c r="R53" s="555"/>
      <c r="S53" s="556">
        <v>861481</v>
      </c>
      <c r="T53" s="557">
        <v>85746</v>
      </c>
      <c r="U53" s="557">
        <v>947227</v>
      </c>
    </row>
    <row r="54" spans="1:21" x14ac:dyDescent="0.25">
      <c r="A54" s="552">
        <v>22000</v>
      </c>
      <c r="B54" s="553" t="s">
        <v>842</v>
      </c>
      <c r="C54" s="559">
        <v>4.1340999999999999E-3</v>
      </c>
      <c r="D54" s="559">
        <v>4.4561000000000002E-3</v>
      </c>
      <c r="E54" s="555">
        <v>6162690</v>
      </c>
      <c r="F54" s="555">
        <f t="shared" si="0"/>
        <v>5224426</v>
      </c>
      <c r="G54" s="555">
        <v>15234977</v>
      </c>
      <c r="H54" s="555"/>
      <c r="I54" s="556">
        <v>0</v>
      </c>
      <c r="J54" s="556">
        <v>10631359</v>
      </c>
      <c r="K54" s="556">
        <v>0</v>
      </c>
      <c r="L54" s="555">
        <v>818834</v>
      </c>
      <c r="M54" s="555"/>
      <c r="N54" s="556">
        <v>1732217</v>
      </c>
      <c r="O54" s="556">
        <v>12281940</v>
      </c>
      <c r="P54" s="556">
        <v>0</v>
      </c>
      <c r="Q54" s="555">
        <v>624633</v>
      </c>
      <c r="R54" s="555"/>
      <c r="S54" s="556">
        <v>1484493</v>
      </c>
      <c r="T54" s="557">
        <v>120460</v>
      </c>
      <c r="U54" s="557">
        <v>1604954</v>
      </c>
    </row>
    <row r="55" spans="1:21" x14ac:dyDescent="0.25">
      <c r="A55" s="552">
        <v>23000</v>
      </c>
      <c r="B55" s="553" t="s">
        <v>843</v>
      </c>
      <c r="C55" s="559">
        <v>1.1814E-3</v>
      </c>
      <c r="D55" s="559">
        <v>1.1854000000000001E-3</v>
      </c>
      <c r="E55" s="555">
        <v>1684016.46</v>
      </c>
      <c r="F55" s="555">
        <f t="shared" si="0"/>
        <v>1389788</v>
      </c>
      <c r="G55" s="555">
        <v>4353693</v>
      </c>
      <c r="H55" s="555"/>
      <c r="I55" s="556">
        <v>0</v>
      </c>
      <c r="J55" s="556">
        <v>3038119</v>
      </c>
      <c r="K55" s="556">
        <v>0</v>
      </c>
      <c r="L55" s="555">
        <v>521886</v>
      </c>
      <c r="M55" s="555"/>
      <c r="N55" s="556">
        <v>495015</v>
      </c>
      <c r="O55" s="556">
        <v>3509805</v>
      </c>
      <c r="P55" s="556">
        <v>0</v>
      </c>
      <c r="Q55" s="555">
        <v>0</v>
      </c>
      <c r="R55" s="555"/>
      <c r="S55" s="556">
        <v>424223</v>
      </c>
      <c r="T55" s="557">
        <v>176163</v>
      </c>
      <c r="U55" s="557">
        <v>600386</v>
      </c>
    </row>
    <row r="56" spans="1:21" x14ac:dyDescent="0.25">
      <c r="A56" s="552">
        <v>23100</v>
      </c>
      <c r="B56" s="553" t="s">
        <v>844</v>
      </c>
      <c r="C56" s="559">
        <v>6.7044000000000001E-3</v>
      </c>
      <c r="D56" s="559">
        <v>6.7809000000000003E-3</v>
      </c>
      <c r="E56" s="555">
        <v>8922814</v>
      </c>
      <c r="F56" s="555">
        <f t="shared" si="0"/>
        <v>7950070</v>
      </c>
      <c r="G56" s="555">
        <v>24707041</v>
      </c>
      <c r="H56" s="555"/>
      <c r="I56" s="556">
        <v>0</v>
      </c>
      <c r="J56" s="556">
        <v>17241209</v>
      </c>
      <c r="K56" s="556">
        <v>0</v>
      </c>
      <c r="L56" s="555">
        <v>906304</v>
      </c>
      <c r="M56" s="555"/>
      <c r="N56" s="556">
        <v>2809191</v>
      </c>
      <c r="O56" s="556">
        <v>19918008</v>
      </c>
      <c r="P56" s="556">
        <v>0</v>
      </c>
      <c r="Q56" s="555">
        <v>0</v>
      </c>
      <c r="R56" s="555"/>
      <c r="S56" s="556">
        <v>2407449</v>
      </c>
      <c r="T56" s="557">
        <v>321982</v>
      </c>
      <c r="U56" s="557">
        <v>2729432</v>
      </c>
    </row>
    <row r="57" spans="1:21" x14ac:dyDescent="0.25">
      <c r="A57" s="552">
        <v>23200</v>
      </c>
      <c r="B57" s="553" t="s">
        <v>845</v>
      </c>
      <c r="C57" s="559">
        <v>3.5723E-3</v>
      </c>
      <c r="D57" s="559">
        <v>3.6424000000000001E-3</v>
      </c>
      <c r="E57" s="555">
        <v>4871725.95</v>
      </c>
      <c r="F57" s="555">
        <f t="shared" si="0"/>
        <v>4270427</v>
      </c>
      <c r="G57" s="555">
        <v>13164633</v>
      </c>
      <c r="H57" s="555"/>
      <c r="I57" s="556">
        <v>0</v>
      </c>
      <c r="J57" s="556">
        <v>9186620</v>
      </c>
      <c r="K57" s="556">
        <v>0</v>
      </c>
      <c r="L57" s="555">
        <v>0</v>
      </c>
      <c r="M57" s="555"/>
      <c r="N57" s="556">
        <v>1496819</v>
      </c>
      <c r="O57" s="556">
        <v>10612896</v>
      </c>
      <c r="P57" s="556">
        <v>0</v>
      </c>
      <c r="Q57" s="555">
        <v>473358</v>
      </c>
      <c r="R57" s="555"/>
      <c r="S57" s="556">
        <v>1282759</v>
      </c>
      <c r="T57" s="557">
        <v>-168556</v>
      </c>
      <c r="U57" s="557">
        <v>1114203</v>
      </c>
    </row>
    <row r="58" spans="1:21" x14ac:dyDescent="0.25">
      <c r="A58" s="552">
        <v>30000</v>
      </c>
      <c r="B58" s="553" t="s">
        <v>846</v>
      </c>
      <c r="C58" s="559">
        <v>1.0149E-3</v>
      </c>
      <c r="D58" s="559">
        <v>1.0196000000000001E-3</v>
      </c>
      <c r="E58" s="555">
        <v>1238490</v>
      </c>
      <c r="F58" s="555">
        <f t="shared" si="0"/>
        <v>1195401</v>
      </c>
      <c r="G58" s="555">
        <v>3740107</v>
      </c>
      <c r="H58" s="555"/>
      <c r="I58" s="556">
        <v>0</v>
      </c>
      <c r="J58" s="556">
        <v>2609943</v>
      </c>
      <c r="K58" s="556">
        <v>0</v>
      </c>
      <c r="L58" s="555">
        <v>0</v>
      </c>
      <c r="M58" s="555"/>
      <c r="N58" s="556">
        <v>425250</v>
      </c>
      <c r="O58" s="556">
        <v>3015152</v>
      </c>
      <c r="P58" s="556">
        <v>0</v>
      </c>
      <c r="Q58" s="555">
        <v>195195</v>
      </c>
      <c r="R58" s="555"/>
      <c r="S58" s="556">
        <v>364435</v>
      </c>
      <c r="T58" s="557">
        <v>-65612</v>
      </c>
      <c r="U58" s="557">
        <v>298824</v>
      </c>
    </row>
    <row r="59" spans="1:21" x14ac:dyDescent="0.25">
      <c r="A59" s="552">
        <v>30100</v>
      </c>
      <c r="B59" s="553" t="s">
        <v>847</v>
      </c>
      <c r="C59" s="559">
        <v>8.5774000000000006E-3</v>
      </c>
      <c r="D59" s="559">
        <v>8.4168999999999997E-3</v>
      </c>
      <c r="E59" s="555">
        <v>10188394</v>
      </c>
      <c r="F59" s="555">
        <f t="shared" si="0"/>
        <v>9868151</v>
      </c>
      <c r="G59" s="555">
        <v>31609417</v>
      </c>
      <c r="H59" s="555"/>
      <c r="I59" s="556">
        <v>0</v>
      </c>
      <c r="J59" s="556">
        <v>22057865</v>
      </c>
      <c r="K59" s="556">
        <v>0</v>
      </c>
      <c r="L59" s="555">
        <v>177887</v>
      </c>
      <c r="M59" s="555"/>
      <c r="N59" s="556">
        <v>3593991</v>
      </c>
      <c r="O59" s="556">
        <v>25482478</v>
      </c>
      <c r="P59" s="556">
        <v>0</v>
      </c>
      <c r="Q59" s="555">
        <v>1025382</v>
      </c>
      <c r="R59" s="555"/>
      <c r="S59" s="556">
        <v>3080016</v>
      </c>
      <c r="T59" s="557">
        <v>-318244</v>
      </c>
      <c r="U59" s="557">
        <v>2761772</v>
      </c>
    </row>
    <row r="60" spans="1:21" x14ac:dyDescent="0.25">
      <c r="A60" s="552">
        <v>30102</v>
      </c>
      <c r="B60" s="553" t="s">
        <v>848</v>
      </c>
      <c r="C60" s="559">
        <v>1.407E-4</v>
      </c>
      <c r="D60" s="559">
        <v>1.2229999999999999E-4</v>
      </c>
      <c r="E60" s="555">
        <v>152484</v>
      </c>
      <c r="F60" s="555">
        <f t="shared" si="0"/>
        <v>143387</v>
      </c>
      <c r="G60" s="555">
        <v>518507</v>
      </c>
      <c r="H60" s="555"/>
      <c r="I60" s="556">
        <v>0</v>
      </c>
      <c r="J60" s="556">
        <v>361828</v>
      </c>
      <c r="K60" s="556">
        <v>0</v>
      </c>
      <c r="L60" s="555">
        <v>75442</v>
      </c>
      <c r="M60" s="555"/>
      <c r="N60" s="556">
        <v>58954</v>
      </c>
      <c r="O60" s="556">
        <v>418004</v>
      </c>
      <c r="P60" s="556">
        <v>0</v>
      </c>
      <c r="Q60" s="555">
        <v>0</v>
      </c>
      <c r="R60" s="555"/>
      <c r="S60" s="556">
        <v>50523</v>
      </c>
      <c r="T60" s="557">
        <v>22301</v>
      </c>
      <c r="U60" s="557">
        <v>72824</v>
      </c>
    </row>
    <row r="61" spans="1:21" x14ac:dyDescent="0.25">
      <c r="A61" s="552">
        <v>30103</v>
      </c>
      <c r="B61" s="553" t="s">
        <v>849</v>
      </c>
      <c r="C61" s="559">
        <v>1.8760000000000001E-4</v>
      </c>
      <c r="D61" s="559">
        <v>1.7200000000000001E-4</v>
      </c>
      <c r="E61" s="555">
        <v>202642.75</v>
      </c>
      <c r="F61" s="555">
        <f t="shared" si="0"/>
        <v>201656</v>
      </c>
      <c r="G61" s="555">
        <v>691343</v>
      </c>
      <c r="H61" s="555"/>
      <c r="I61" s="556">
        <v>0</v>
      </c>
      <c r="J61" s="556">
        <v>482437</v>
      </c>
      <c r="K61" s="556">
        <v>0</v>
      </c>
      <c r="L61" s="555">
        <v>88130</v>
      </c>
      <c r="M61" s="555"/>
      <c r="N61" s="556">
        <v>78606</v>
      </c>
      <c r="O61" s="556">
        <v>557338</v>
      </c>
      <c r="P61" s="556">
        <v>0</v>
      </c>
      <c r="Q61" s="555">
        <v>0</v>
      </c>
      <c r="R61" s="555"/>
      <c r="S61" s="556">
        <v>67364</v>
      </c>
      <c r="T61" s="557">
        <v>28391</v>
      </c>
      <c r="U61" s="557">
        <v>95755</v>
      </c>
    </row>
    <row r="62" spans="1:21" x14ac:dyDescent="0.25">
      <c r="A62" s="552">
        <v>30104</v>
      </c>
      <c r="B62" s="553" t="s">
        <v>850</v>
      </c>
      <c r="C62" s="559">
        <v>8.6700000000000007E-5</v>
      </c>
      <c r="D62" s="559">
        <v>6.97E-5</v>
      </c>
      <c r="E62" s="555">
        <v>94980.85</v>
      </c>
      <c r="F62" s="555">
        <f t="shared" si="0"/>
        <v>81718</v>
      </c>
      <c r="G62" s="555">
        <v>319507</v>
      </c>
      <c r="H62" s="555"/>
      <c r="I62" s="556">
        <v>0</v>
      </c>
      <c r="J62" s="556">
        <v>222960</v>
      </c>
      <c r="K62" s="556">
        <v>0</v>
      </c>
      <c r="L62" s="555">
        <v>113119</v>
      </c>
      <c r="M62" s="555"/>
      <c r="N62" s="556">
        <v>36328</v>
      </c>
      <c r="O62" s="556">
        <v>257576</v>
      </c>
      <c r="P62" s="556">
        <v>0</v>
      </c>
      <c r="Q62" s="555">
        <v>0</v>
      </c>
      <c r="R62" s="555"/>
      <c r="S62" s="556">
        <v>31133</v>
      </c>
      <c r="T62" s="557">
        <v>35607</v>
      </c>
      <c r="U62" s="557">
        <v>66740</v>
      </c>
    </row>
    <row r="63" spans="1:21" x14ac:dyDescent="0.25">
      <c r="A63" s="552">
        <v>30105</v>
      </c>
      <c r="B63" s="553" t="s">
        <v>851</v>
      </c>
      <c r="C63" s="559">
        <v>8.1840000000000005E-4</v>
      </c>
      <c r="D63" s="559">
        <v>8.2989999999999995E-4</v>
      </c>
      <c r="E63" s="555">
        <v>1134421</v>
      </c>
      <c r="F63" s="555">
        <f t="shared" si="0"/>
        <v>972992</v>
      </c>
      <c r="G63" s="555">
        <v>3015966</v>
      </c>
      <c r="H63" s="555"/>
      <c r="I63" s="556">
        <v>0</v>
      </c>
      <c r="J63" s="556">
        <v>2104619</v>
      </c>
      <c r="K63" s="556">
        <v>0</v>
      </c>
      <c r="L63" s="555">
        <v>148140</v>
      </c>
      <c r="M63" s="555"/>
      <c r="N63" s="556">
        <v>342915</v>
      </c>
      <c r="O63" s="556">
        <v>2431373</v>
      </c>
      <c r="P63" s="556">
        <v>0</v>
      </c>
      <c r="Q63" s="555">
        <v>0</v>
      </c>
      <c r="R63" s="555"/>
      <c r="S63" s="556">
        <v>293875</v>
      </c>
      <c r="T63" s="557">
        <v>50610</v>
      </c>
      <c r="U63" s="557">
        <v>344485</v>
      </c>
    </row>
    <row r="64" spans="1:21" x14ac:dyDescent="0.25">
      <c r="A64" s="552">
        <v>30200</v>
      </c>
      <c r="B64" s="553" t="s">
        <v>852</v>
      </c>
      <c r="C64" s="559">
        <v>2.0178000000000001E-3</v>
      </c>
      <c r="D64" s="559">
        <v>2.0265999999999999E-3</v>
      </c>
      <c r="E64" s="555">
        <v>2461217</v>
      </c>
      <c r="F64" s="555">
        <f t="shared" si="0"/>
        <v>2376029</v>
      </c>
      <c r="G64" s="555">
        <v>7435993</v>
      </c>
      <c r="H64" s="555"/>
      <c r="I64" s="556">
        <v>0</v>
      </c>
      <c r="J64" s="556">
        <v>5189027</v>
      </c>
      <c r="K64" s="556">
        <v>0</v>
      </c>
      <c r="L64" s="555">
        <v>0</v>
      </c>
      <c r="M64" s="555"/>
      <c r="N64" s="556">
        <v>845472</v>
      </c>
      <c r="O64" s="556">
        <v>5994654</v>
      </c>
      <c r="P64" s="556">
        <v>0</v>
      </c>
      <c r="Q64" s="555">
        <v>346247</v>
      </c>
      <c r="R64" s="555"/>
      <c r="S64" s="556">
        <v>724562</v>
      </c>
      <c r="T64" s="557">
        <v>-115569</v>
      </c>
      <c r="U64" s="557">
        <v>608993</v>
      </c>
    </row>
    <row r="65" spans="1:21" x14ac:dyDescent="0.25">
      <c r="A65" s="552">
        <v>30300</v>
      </c>
      <c r="B65" s="553" t="s">
        <v>853</v>
      </c>
      <c r="C65" s="559">
        <v>6.734E-4</v>
      </c>
      <c r="D65" s="559">
        <v>6.7290000000000004E-4</v>
      </c>
      <c r="E65" s="555">
        <v>842996.33</v>
      </c>
      <c r="F65" s="555">
        <f t="shared" si="0"/>
        <v>788922</v>
      </c>
      <c r="G65" s="555">
        <v>2481612</v>
      </c>
      <c r="H65" s="555"/>
      <c r="I65" s="556">
        <v>0</v>
      </c>
      <c r="J65" s="556">
        <v>1731733</v>
      </c>
      <c r="K65" s="556">
        <v>0</v>
      </c>
      <c r="L65" s="555">
        <v>0</v>
      </c>
      <c r="M65" s="555"/>
      <c r="N65" s="556">
        <v>282159</v>
      </c>
      <c r="O65" s="556">
        <v>2000595</v>
      </c>
      <c r="P65" s="556">
        <v>0</v>
      </c>
      <c r="Q65" s="555">
        <v>27771</v>
      </c>
      <c r="R65" s="555"/>
      <c r="S65" s="556">
        <v>241808</v>
      </c>
      <c r="T65" s="557">
        <v>-9669</v>
      </c>
      <c r="U65" s="557">
        <v>232139</v>
      </c>
    </row>
    <row r="66" spans="1:21" x14ac:dyDescent="0.25">
      <c r="A66" s="552">
        <v>30400</v>
      </c>
      <c r="B66" s="553" t="s">
        <v>854</v>
      </c>
      <c r="C66" s="559">
        <v>1.3213000000000001E-3</v>
      </c>
      <c r="D66" s="559">
        <v>1.2754999999999999E-3</v>
      </c>
      <c r="E66" s="555">
        <v>1751333.75</v>
      </c>
      <c r="F66" s="555">
        <f t="shared" si="0"/>
        <v>1495423</v>
      </c>
      <c r="G66" s="555">
        <v>4869252</v>
      </c>
      <c r="H66" s="555"/>
      <c r="I66" s="556">
        <v>0</v>
      </c>
      <c r="J66" s="556">
        <v>3397889</v>
      </c>
      <c r="K66" s="556">
        <v>0</v>
      </c>
      <c r="L66" s="555">
        <v>259057</v>
      </c>
      <c r="M66" s="555"/>
      <c r="N66" s="556">
        <v>553634</v>
      </c>
      <c r="O66" s="556">
        <v>3925432</v>
      </c>
      <c r="P66" s="556">
        <v>0</v>
      </c>
      <c r="Q66" s="555">
        <v>217721</v>
      </c>
      <c r="R66" s="555"/>
      <c r="S66" s="556">
        <v>474459</v>
      </c>
      <c r="T66" s="557">
        <v>-6275</v>
      </c>
      <c r="U66" s="557">
        <v>468184</v>
      </c>
    </row>
    <row r="67" spans="1:21" x14ac:dyDescent="0.25">
      <c r="A67" s="552">
        <v>30405</v>
      </c>
      <c r="B67" s="553" t="s">
        <v>855</v>
      </c>
      <c r="C67" s="559">
        <v>8.0889999999999998E-4</v>
      </c>
      <c r="D67" s="559">
        <v>7.5199999999999996E-4</v>
      </c>
      <c r="E67" s="555">
        <v>1017109.97</v>
      </c>
      <c r="F67" s="555">
        <f t="shared" ref="F67:F130" si="1">D67*$F$298</f>
        <v>881661</v>
      </c>
      <c r="G67" s="555">
        <v>2980957</v>
      </c>
      <c r="H67" s="555"/>
      <c r="I67" s="556">
        <v>0</v>
      </c>
      <c r="J67" s="556">
        <v>2080188</v>
      </c>
      <c r="K67" s="556">
        <v>0</v>
      </c>
      <c r="L67" s="555">
        <v>449397</v>
      </c>
      <c r="M67" s="555"/>
      <c r="N67" s="556">
        <v>338935</v>
      </c>
      <c r="O67" s="556">
        <v>2403150</v>
      </c>
      <c r="P67" s="556">
        <v>0</v>
      </c>
      <c r="Q67" s="555">
        <v>0</v>
      </c>
      <c r="R67" s="555"/>
      <c r="S67" s="556">
        <v>290464</v>
      </c>
      <c r="T67" s="557">
        <v>141724</v>
      </c>
      <c r="U67" s="557">
        <v>432187</v>
      </c>
    </row>
    <row r="68" spans="1:21" x14ac:dyDescent="0.25">
      <c r="A68" s="552">
        <v>30500</v>
      </c>
      <c r="B68" s="553" t="s">
        <v>856</v>
      </c>
      <c r="C68" s="559">
        <v>1.3231E-3</v>
      </c>
      <c r="D68" s="559">
        <v>1.3033999999999999E-3</v>
      </c>
      <c r="E68" s="555">
        <v>1632776.5</v>
      </c>
      <c r="F68" s="555">
        <f t="shared" si="1"/>
        <v>1528134</v>
      </c>
      <c r="G68" s="555">
        <v>4875885</v>
      </c>
      <c r="H68" s="555"/>
      <c r="I68" s="556">
        <v>0</v>
      </c>
      <c r="J68" s="556">
        <v>3402518</v>
      </c>
      <c r="K68" s="556">
        <v>0</v>
      </c>
      <c r="L68" s="555">
        <v>53929</v>
      </c>
      <c r="M68" s="555"/>
      <c r="N68" s="556">
        <v>554388</v>
      </c>
      <c r="O68" s="556">
        <v>3930779</v>
      </c>
      <c r="P68" s="556">
        <v>0</v>
      </c>
      <c r="Q68" s="555">
        <v>138706</v>
      </c>
      <c r="R68" s="555"/>
      <c r="S68" s="556">
        <v>475105</v>
      </c>
      <c r="T68" s="557">
        <v>-34777</v>
      </c>
      <c r="U68" s="557">
        <v>440329</v>
      </c>
    </row>
    <row r="69" spans="1:21" x14ac:dyDescent="0.25">
      <c r="A69" s="552">
        <v>30600</v>
      </c>
      <c r="B69" s="553" t="s">
        <v>857</v>
      </c>
      <c r="C69" s="559">
        <v>1.0248E-3</v>
      </c>
      <c r="D69" s="559">
        <v>1.0137E-3</v>
      </c>
      <c r="E69" s="555">
        <v>1296660</v>
      </c>
      <c r="F69" s="555">
        <f t="shared" si="1"/>
        <v>1188483</v>
      </c>
      <c r="G69" s="555">
        <v>3776591</v>
      </c>
      <c r="H69" s="555"/>
      <c r="I69" s="556">
        <v>0</v>
      </c>
      <c r="J69" s="556">
        <v>2635402</v>
      </c>
      <c r="K69" s="556">
        <v>0</v>
      </c>
      <c r="L69" s="555">
        <v>60902</v>
      </c>
      <c r="M69" s="555"/>
      <c r="N69" s="556">
        <v>429398</v>
      </c>
      <c r="O69" s="556">
        <v>3044564</v>
      </c>
      <c r="P69" s="556">
        <v>0</v>
      </c>
      <c r="Q69" s="555">
        <v>0</v>
      </c>
      <c r="R69" s="555"/>
      <c r="S69" s="556">
        <v>367990</v>
      </c>
      <c r="T69" s="557">
        <v>17821</v>
      </c>
      <c r="U69" s="557">
        <v>385812</v>
      </c>
    </row>
    <row r="70" spans="1:21" x14ac:dyDescent="0.25">
      <c r="A70" s="552">
        <v>30601</v>
      </c>
      <c r="B70" s="553" t="s">
        <v>858</v>
      </c>
      <c r="C70" s="559">
        <v>2.51E-5</v>
      </c>
      <c r="D70" s="559">
        <v>2.1100000000000001E-5</v>
      </c>
      <c r="E70" s="555">
        <v>27323.35</v>
      </c>
      <c r="F70" s="555">
        <f t="shared" si="1"/>
        <v>24738</v>
      </c>
      <c r="G70" s="555">
        <v>92498</v>
      </c>
      <c r="H70" s="555"/>
      <c r="I70" s="556">
        <v>0</v>
      </c>
      <c r="J70" s="556">
        <v>64548</v>
      </c>
      <c r="K70" s="556">
        <v>0</v>
      </c>
      <c r="L70" s="555">
        <v>13517</v>
      </c>
      <c r="M70" s="555"/>
      <c r="N70" s="556">
        <v>10517</v>
      </c>
      <c r="O70" s="556">
        <v>74569</v>
      </c>
      <c r="P70" s="556">
        <v>0</v>
      </c>
      <c r="Q70" s="555">
        <v>925</v>
      </c>
      <c r="R70" s="555"/>
      <c r="S70" s="556">
        <v>9013</v>
      </c>
      <c r="T70" s="557">
        <v>3413</v>
      </c>
      <c r="U70" s="557">
        <v>12426</v>
      </c>
    </row>
    <row r="71" spans="1:21" x14ac:dyDescent="0.25">
      <c r="A71" s="552">
        <v>30700</v>
      </c>
      <c r="B71" s="553" t="s">
        <v>859</v>
      </c>
      <c r="C71" s="559">
        <v>2.6264000000000001E-3</v>
      </c>
      <c r="D71" s="559">
        <v>2.6034000000000001E-3</v>
      </c>
      <c r="E71" s="555">
        <v>3442087.65</v>
      </c>
      <c r="F71" s="555">
        <f t="shared" si="1"/>
        <v>3052281</v>
      </c>
      <c r="G71" s="555">
        <v>9678804</v>
      </c>
      <c r="H71" s="555"/>
      <c r="I71" s="556">
        <v>0</v>
      </c>
      <c r="J71" s="556">
        <v>6754119</v>
      </c>
      <c r="K71" s="556">
        <v>0</v>
      </c>
      <c r="L71" s="555">
        <v>241653</v>
      </c>
      <c r="M71" s="555"/>
      <c r="N71" s="556">
        <v>1100480</v>
      </c>
      <c r="O71" s="556">
        <v>7802735</v>
      </c>
      <c r="P71" s="556">
        <v>0</v>
      </c>
      <c r="Q71" s="555">
        <v>0</v>
      </c>
      <c r="R71" s="555"/>
      <c r="S71" s="556">
        <v>943101</v>
      </c>
      <c r="T71" s="557">
        <v>70638</v>
      </c>
      <c r="U71" s="557">
        <v>1013739</v>
      </c>
    </row>
    <row r="72" spans="1:21" x14ac:dyDescent="0.25">
      <c r="A72" s="552">
        <v>30705</v>
      </c>
      <c r="B72" s="553" t="s">
        <v>860</v>
      </c>
      <c r="C72" s="559">
        <v>4.9689999999999999E-4</v>
      </c>
      <c r="D72" s="559">
        <v>5.1190000000000003E-4</v>
      </c>
      <c r="E72" s="555">
        <v>699103.73</v>
      </c>
      <c r="F72" s="555">
        <f t="shared" si="1"/>
        <v>600162</v>
      </c>
      <c r="G72" s="555">
        <v>1831175</v>
      </c>
      <c r="H72" s="555"/>
      <c r="I72" s="556">
        <v>0</v>
      </c>
      <c r="J72" s="556">
        <v>1277841</v>
      </c>
      <c r="K72" s="556">
        <v>0</v>
      </c>
      <c r="L72" s="555">
        <v>108008</v>
      </c>
      <c r="M72" s="555"/>
      <c r="N72" s="556">
        <v>208205</v>
      </c>
      <c r="O72" s="556">
        <v>1476233</v>
      </c>
      <c r="P72" s="556">
        <v>0</v>
      </c>
      <c r="Q72" s="555">
        <v>7314</v>
      </c>
      <c r="R72" s="555"/>
      <c r="S72" s="556">
        <v>178429</v>
      </c>
      <c r="T72" s="557">
        <v>36686</v>
      </c>
      <c r="U72" s="557">
        <v>215116</v>
      </c>
    </row>
    <row r="73" spans="1:21" x14ac:dyDescent="0.25">
      <c r="A73" s="552">
        <v>30800</v>
      </c>
      <c r="B73" s="553" t="s">
        <v>861</v>
      </c>
      <c r="C73" s="559">
        <v>1.1248E-3</v>
      </c>
      <c r="D73" s="559">
        <v>1.145E-3</v>
      </c>
      <c r="E73" s="555">
        <v>1430857.84</v>
      </c>
      <c r="F73" s="555">
        <f t="shared" si="1"/>
        <v>1342422</v>
      </c>
      <c r="G73" s="555">
        <v>4145111</v>
      </c>
      <c r="H73" s="555"/>
      <c r="I73" s="556">
        <v>0</v>
      </c>
      <c r="J73" s="556">
        <v>2892565</v>
      </c>
      <c r="K73" s="556">
        <v>0</v>
      </c>
      <c r="L73" s="555">
        <v>201640</v>
      </c>
      <c r="M73" s="555"/>
      <c r="N73" s="556">
        <v>471299</v>
      </c>
      <c r="O73" s="556">
        <v>3341653</v>
      </c>
      <c r="P73" s="556">
        <v>0</v>
      </c>
      <c r="Q73" s="555">
        <v>77079</v>
      </c>
      <c r="R73" s="555"/>
      <c r="S73" s="556">
        <v>403899</v>
      </c>
      <c r="T73" s="557">
        <v>50921</v>
      </c>
      <c r="U73" s="557">
        <v>454820</v>
      </c>
    </row>
    <row r="74" spans="1:21" x14ac:dyDescent="0.25">
      <c r="A74" s="552">
        <v>30900</v>
      </c>
      <c r="B74" s="553" t="s">
        <v>862</v>
      </c>
      <c r="C74" s="559">
        <v>1.7661E-3</v>
      </c>
      <c r="D74" s="559">
        <v>1.8423999999999999E-3</v>
      </c>
      <c r="E74" s="555">
        <v>2356426.09</v>
      </c>
      <c r="F74" s="555">
        <f t="shared" si="1"/>
        <v>2160069</v>
      </c>
      <c r="G74" s="555">
        <v>6508428</v>
      </c>
      <c r="H74" s="555"/>
      <c r="I74" s="556">
        <v>0</v>
      </c>
      <c r="J74" s="556">
        <v>4541749</v>
      </c>
      <c r="K74" s="556">
        <v>0</v>
      </c>
      <c r="L74" s="555">
        <v>0</v>
      </c>
      <c r="M74" s="555"/>
      <c r="N74" s="556">
        <v>740008</v>
      </c>
      <c r="O74" s="556">
        <v>5246882</v>
      </c>
      <c r="P74" s="556">
        <v>0</v>
      </c>
      <c r="Q74" s="555">
        <v>323295</v>
      </c>
      <c r="R74" s="555"/>
      <c r="S74" s="556">
        <v>634180</v>
      </c>
      <c r="T74" s="557">
        <v>-97653</v>
      </c>
      <c r="U74" s="557">
        <v>536527</v>
      </c>
    </row>
    <row r="75" spans="1:21" x14ac:dyDescent="0.25">
      <c r="A75" s="552">
        <v>30905</v>
      </c>
      <c r="B75" s="553" t="s">
        <v>863</v>
      </c>
      <c r="C75" s="559">
        <v>3.7520000000000001E-4</v>
      </c>
      <c r="D75" s="559">
        <v>4.0640000000000001E-4</v>
      </c>
      <c r="E75" s="555">
        <v>534750</v>
      </c>
      <c r="F75" s="555">
        <f t="shared" si="1"/>
        <v>476472</v>
      </c>
      <c r="G75" s="555">
        <v>1382686</v>
      </c>
      <c r="H75" s="555"/>
      <c r="I75" s="556">
        <v>0</v>
      </c>
      <c r="J75" s="556">
        <v>964874</v>
      </c>
      <c r="K75" s="556">
        <v>0</v>
      </c>
      <c r="L75" s="555">
        <v>1358</v>
      </c>
      <c r="M75" s="555"/>
      <c r="N75" s="556">
        <v>157211</v>
      </c>
      <c r="O75" s="556">
        <v>1114676</v>
      </c>
      <c r="P75" s="556">
        <v>0</v>
      </c>
      <c r="Q75" s="555">
        <v>84289</v>
      </c>
      <c r="R75" s="555"/>
      <c r="S75" s="556">
        <v>134729</v>
      </c>
      <c r="T75" s="557">
        <v>-22862</v>
      </c>
      <c r="U75" s="557">
        <v>111867</v>
      </c>
    </row>
    <row r="76" spans="1:21" x14ac:dyDescent="0.25">
      <c r="A76" s="552">
        <v>31000</v>
      </c>
      <c r="B76" s="553" t="s">
        <v>864</v>
      </c>
      <c r="C76" s="559">
        <v>4.8412000000000004E-3</v>
      </c>
      <c r="D76" s="559">
        <v>4.7923000000000002E-3</v>
      </c>
      <c r="E76" s="555">
        <v>6182736</v>
      </c>
      <c r="F76" s="555">
        <f t="shared" si="1"/>
        <v>5618594</v>
      </c>
      <c r="G76" s="555">
        <v>17840781</v>
      </c>
      <c r="H76" s="555"/>
      <c r="I76" s="556">
        <v>0</v>
      </c>
      <c r="J76" s="556">
        <v>12449756</v>
      </c>
      <c r="K76" s="556">
        <v>0</v>
      </c>
      <c r="L76" s="555">
        <v>771831</v>
      </c>
      <c r="M76" s="555"/>
      <c r="N76" s="556">
        <v>2028497</v>
      </c>
      <c r="O76" s="556">
        <v>14382653</v>
      </c>
      <c r="P76" s="556">
        <v>0</v>
      </c>
      <c r="Q76" s="555">
        <v>0</v>
      </c>
      <c r="R76" s="555"/>
      <c r="S76" s="556">
        <v>1738402</v>
      </c>
      <c r="T76" s="557">
        <v>255279</v>
      </c>
      <c r="U76" s="557">
        <v>1993681</v>
      </c>
    </row>
    <row r="77" spans="1:21" x14ac:dyDescent="0.25">
      <c r="A77" s="552">
        <v>31005</v>
      </c>
      <c r="B77" s="553" t="s">
        <v>865</v>
      </c>
      <c r="C77" s="559">
        <v>4.6559999999999999E-4</v>
      </c>
      <c r="D77" s="559">
        <v>4.7909999999999999E-4</v>
      </c>
      <c r="E77" s="555">
        <v>684195.32</v>
      </c>
      <c r="F77" s="555">
        <f t="shared" si="1"/>
        <v>561707</v>
      </c>
      <c r="G77" s="555">
        <v>1715828</v>
      </c>
      <c r="H77" s="555"/>
      <c r="I77" s="556">
        <v>0</v>
      </c>
      <c r="J77" s="556">
        <v>1197349</v>
      </c>
      <c r="K77" s="556">
        <v>0</v>
      </c>
      <c r="L77" s="555">
        <v>18307</v>
      </c>
      <c r="M77" s="555"/>
      <c r="N77" s="556">
        <v>195090</v>
      </c>
      <c r="O77" s="556">
        <v>1383245</v>
      </c>
      <c r="P77" s="556">
        <v>0</v>
      </c>
      <c r="Q77" s="555">
        <v>27359</v>
      </c>
      <c r="R77" s="555"/>
      <c r="S77" s="556">
        <v>167190</v>
      </c>
      <c r="T77" s="557">
        <v>-4735</v>
      </c>
      <c r="U77" s="557">
        <v>162455</v>
      </c>
    </row>
    <row r="78" spans="1:21" x14ac:dyDescent="0.25">
      <c r="A78" s="552">
        <v>31100</v>
      </c>
      <c r="B78" s="553" t="s">
        <v>866</v>
      </c>
      <c r="C78" s="559">
        <v>9.9407000000000002E-3</v>
      </c>
      <c r="D78" s="559">
        <v>9.9406000000000008E-3</v>
      </c>
      <c r="E78" s="555">
        <v>12202678</v>
      </c>
      <c r="F78" s="555">
        <f t="shared" si="1"/>
        <v>11654569</v>
      </c>
      <c r="G78" s="555">
        <v>36633448</v>
      </c>
      <c r="H78" s="555"/>
      <c r="I78" s="556">
        <v>0</v>
      </c>
      <c r="J78" s="556">
        <v>25563763</v>
      </c>
      <c r="K78" s="556">
        <v>0</v>
      </c>
      <c r="L78" s="555">
        <v>0</v>
      </c>
      <c r="M78" s="555"/>
      <c r="N78" s="556">
        <v>4165223</v>
      </c>
      <c r="O78" s="556">
        <v>29532686</v>
      </c>
      <c r="P78" s="556">
        <v>0</v>
      </c>
      <c r="Q78" s="555">
        <v>594150</v>
      </c>
      <c r="R78" s="555"/>
      <c r="S78" s="556">
        <v>3569556</v>
      </c>
      <c r="T78" s="557">
        <v>-190835</v>
      </c>
      <c r="U78" s="557">
        <v>3378722</v>
      </c>
    </row>
    <row r="79" spans="1:21" x14ac:dyDescent="0.25">
      <c r="A79" s="552">
        <v>31101</v>
      </c>
      <c r="B79" s="553" t="s">
        <v>867</v>
      </c>
      <c r="C79" s="559">
        <v>6.86E-5</v>
      </c>
      <c r="D79" s="559">
        <v>7.64E-5</v>
      </c>
      <c r="E79" s="555">
        <v>67918.63</v>
      </c>
      <c r="F79" s="555">
        <f t="shared" si="1"/>
        <v>89573</v>
      </c>
      <c r="G79" s="555">
        <v>252805</v>
      </c>
      <c r="H79" s="555"/>
      <c r="I79" s="556">
        <v>0</v>
      </c>
      <c r="J79" s="556">
        <v>176414</v>
      </c>
      <c r="K79" s="556">
        <v>0</v>
      </c>
      <c r="L79" s="555">
        <v>0</v>
      </c>
      <c r="M79" s="555"/>
      <c r="N79" s="556">
        <v>28744</v>
      </c>
      <c r="O79" s="556">
        <v>203803</v>
      </c>
      <c r="P79" s="556">
        <v>0</v>
      </c>
      <c r="Q79" s="555">
        <v>53133</v>
      </c>
      <c r="R79" s="555"/>
      <c r="S79" s="556">
        <v>24633</v>
      </c>
      <c r="T79" s="557">
        <v>-15164</v>
      </c>
      <c r="U79" s="557">
        <v>9469</v>
      </c>
    </row>
    <row r="80" spans="1:21" x14ac:dyDescent="0.25">
      <c r="A80" s="552">
        <v>31102</v>
      </c>
      <c r="B80" s="553" t="s">
        <v>868</v>
      </c>
      <c r="C80" s="559">
        <v>1.5589999999999999E-4</v>
      </c>
      <c r="D80" s="559">
        <v>1.5669999999999999E-4</v>
      </c>
      <c r="E80" s="555">
        <v>166569.43</v>
      </c>
      <c r="F80" s="555">
        <f t="shared" si="1"/>
        <v>183718</v>
      </c>
      <c r="G80" s="555">
        <v>574522</v>
      </c>
      <c r="H80" s="555"/>
      <c r="I80" s="556">
        <v>0</v>
      </c>
      <c r="J80" s="556">
        <v>400916</v>
      </c>
      <c r="K80" s="556">
        <v>0</v>
      </c>
      <c r="L80" s="555">
        <v>0</v>
      </c>
      <c r="M80" s="555"/>
      <c r="N80" s="556">
        <v>65323</v>
      </c>
      <c r="O80" s="556">
        <v>463161</v>
      </c>
      <c r="P80" s="556">
        <v>0</v>
      </c>
      <c r="Q80" s="555">
        <v>123237</v>
      </c>
      <c r="R80" s="555"/>
      <c r="S80" s="556">
        <v>55981</v>
      </c>
      <c r="T80" s="557">
        <v>-41966</v>
      </c>
      <c r="U80" s="557">
        <v>14015</v>
      </c>
    </row>
    <row r="81" spans="1:21" x14ac:dyDescent="0.25">
      <c r="A81" s="552">
        <v>31105</v>
      </c>
      <c r="B81" s="553" t="s">
        <v>869</v>
      </c>
      <c r="C81" s="559">
        <v>1.6336E-3</v>
      </c>
      <c r="D81" s="559">
        <v>1.5651E-3</v>
      </c>
      <c r="E81" s="555">
        <v>2134413.73</v>
      </c>
      <c r="F81" s="555">
        <f t="shared" si="1"/>
        <v>1834956</v>
      </c>
      <c r="G81" s="555">
        <v>6020139</v>
      </c>
      <c r="H81" s="555"/>
      <c r="I81" s="556">
        <v>0</v>
      </c>
      <c r="J81" s="556">
        <v>4201008</v>
      </c>
      <c r="K81" s="556">
        <v>0</v>
      </c>
      <c r="L81" s="555">
        <v>421351</v>
      </c>
      <c r="M81" s="555"/>
      <c r="N81" s="556">
        <v>684490</v>
      </c>
      <c r="O81" s="556">
        <v>4853239</v>
      </c>
      <c r="P81" s="556">
        <v>0</v>
      </c>
      <c r="Q81" s="555">
        <v>0</v>
      </c>
      <c r="R81" s="555"/>
      <c r="S81" s="556">
        <v>586601</v>
      </c>
      <c r="T81" s="557">
        <v>122820</v>
      </c>
      <c r="U81" s="557">
        <v>709421</v>
      </c>
    </row>
    <row r="82" spans="1:21" x14ac:dyDescent="0.25">
      <c r="A82" s="552">
        <v>31110</v>
      </c>
      <c r="B82" s="553" t="s">
        <v>870</v>
      </c>
      <c r="C82" s="559">
        <v>2.3462000000000001E-3</v>
      </c>
      <c r="D82" s="559">
        <v>2.2455999999999999E-3</v>
      </c>
      <c r="E82" s="555">
        <v>2730341.04</v>
      </c>
      <c r="F82" s="555">
        <f t="shared" si="1"/>
        <v>2632789</v>
      </c>
      <c r="G82" s="555">
        <v>8646212</v>
      </c>
      <c r="H82" s="555"/>
      <c r="I82" s="556">
        <v>0</v>
      </c>
      <c r="J82" s="556">
        <v>6033549</v>
      </c>
      <c r="K82" s="556">
        <v>0</v>
      </c>
      <c r="L82" s="555">
        <v>282407</v>
      </c>
      <c r="M82" s="555"/>
      <c r="N82" s="556">
        <v>983074</v>
      </c>
      <c r="O82" s="556">
        <v>6970293</v>
      </c>
      <c r="P82" s="556">
        <v>0</v>
      </c>
      <c r="Q82" s="555">
        <v>0</v>
      </c>
      <c r="R82" s="555"/>
      <c r="S82" s="556">
        <v>842485</v>
      </c>
      <c r="T82" s="557">
        <v>81318</v>
      </c>
      <c r="U82" s="557">
        <v>923804</v>
      </c>
    </row>
    <row r="83" spans="1:21" x14ac:dyDescent="0.25">
      <c r="A83" s="552">
        <v>31200</v>
      </c>
      <c r="B83" s="553" t="s">
        <v>871</v>
      </c>
      <c r="C83" s="559">
        <v>4.8599000000000003E-3</v>
      </c>
      <c r="D83" s="559">
        <v>5.0726E-3</v>
      </c>
      <c r="E83" s="555">
        <v>5956488</v>
      </c>
      <c r="F83" s="555">
        <f t="shared" si="1"/>
        <v>5947223</v>
      </c>
      <c r="G83" s="555">
        <v>17909694</v>
      </c>
      <c r="H83" s="555"/>
      <c r="I83" s="556">
        <v>0</v>
      </c>
      <c r="J83" s="556">
        <v>12497845</v>
      </c>
      <c r="K83" s="556">
        <v>0</v>
      </c>
      <c r="L83" s="555">
        <v>0</v>
      </c>
      <c r="M83" s="555"/>
      <c r="N83" s="556">
        <v>2036332</v>
      </c>
      <c r="O83" s="556">
        <v>14438209</v>
      </c>
      <c r="P83" s="556">
        <v>0</v>
      </c>
      <c r="Q83" s="555">
        <v>1452030</v>
      </c>
      <c r="R83" s="555"/>
      <c r="S83" s="556">
        <v>1745117</v>
      </c>
      <c r="T83" s="557">
        <v>-435697</v>
      </c>
      <c r="U83" s="557">
        <v>1309420</v>
      </c>
    </row>
    <row r="84" spans="1:21" x14ac:dyDescent="0.25">
      <c r="A84" s="552">
        <v>31205</v>
      </c>
      <c r="B84" s="553" t="s">
        <v>872</v>
      </c>
      <c r="C84" s="559">
        <v>6.2350000000000003E-4</v>
      </c>
      <c r="D84" s="559">
        <v>6.8550000000000002E-4</v>
      </c>
      <c r="E84" s="555">
        <v>841577.79</v>
      </c>
      <c r="F84" s="555">
        <f t="shared" si="1"/>
        <v>803695</v>
      </c>
      <c r="G84" s="555">
        <v>2297721</v>
      </c>
      <c r="H84" s="555"/>
      <c r="I84" s="556">
        <v>0</v>
      </c>
      <c r="J84" s="556">
        <v>1603409</v>
      </c>
      <c r="K84" s="556">
        <v>0</v>
      </c>
      <c r="L84" s="555">
        <v>0</v>
      </c>
      <c r="M84" s="555"/>
      <c r="N84" s="556">
        <v>261251</v>
      </c>
      <c r="O84" s="556">
        <v>1852347</v>
      </c>
      <c r="P84" s="556">
        <v>0</v>
      </c>
      <c r="Q84" s="555">
        <v>351397</v>
      </c>
      <c r="R84" s="555"/>
      <c r="S84" s="556">
        <v>223889</v>
      </c>
      <c r="T84" s="557">
        <v>-108045</v>
      </c>
      <c r="U84" s="557">
        <v>115845</v>
      </c>
    </row>
    <row r="85" spans="1:21" x14ac:dyDescent="0.25">
      <c r="A85" s="552">
        <v>31300</v>
      </c>
      <c r="B85" s="553" t="s">
        <v>873</v>
      </c>
      <c r="C85" s="559">
        <v>1.12263E-2</v>
      </c>
      <c r="D85" s="559">
        <v>1.06528E-2</v>
      </c>
      <c r="E85" s="555">
        <v>13084029</v>
      </c>
      <c r="F85" s="555">
        <f t="shared" si="1"/>
        <v>12489568</v>
      </c>
      <c r="G85" s="555">
        <v>41371138</v>
      </c>
      <c r="H85" s="555"/>
      <c r="I85" s="556">
        <v>0</v>
      </c>
      <c r="J85" s="556">
        <v>28869845</v>
      </c>
      <c r="K85" s="556">
        <v>0</v>
      </c>
      <c r="L85" s="555">
        <v>1575233</v>
      </c>
      <c r="M85" s="555"/>
      <c r="N85" s="556">
        <v>4703898</v>
      </c>
      <c r="O85" s="556">
        <v>33352058</v>
      </c>
      <c r="P85" s="556">
        <v>0</v>
      </c>
      <c r="Q85" s="555">
        <v>1307231</v>
      </c>
      <c r="R85" s="555"/>
      <c r="S85" s="556">
        <v>4031196</v>
      </c>
      <c r="T85" s="557">
        <v>-32189</v>
      </c>
      <c r="U85" s="557">
        <v>3999007</v>
      </c>
    </row>
    <row r="86" spans="1:21" x14ac:dyDescent="0.25">
      <c r="A86" s="552">
        <v>31301</v>
      </c>
      <c r="B86" s="553" t="s">
        <v>874</v>
      </c>
      <c r="C86" s="559">
        <v>1.9369999999999999E-4</v>
      </c>
      <c r="D86" s="559">
        <v>1.795E-4</v>
      </c>
      <c r="E86" s="555">
        <v>206906.9</v>
      </c>
      <c r="F86" s="555">
        <f t="shared" si="1"/>
        <v>210450</v>
      </c>
      <c r="G86" s="555">
        <v>713823</v>
      </c>
      <c r="H86" s="555"/>
      <c r="I86" s="556">
        <v>0</v>
      </c>
      <c r="J86" s="556">
        <v>498124</v>
      </c>
      <c r="K86" s="556">
        <v>0</v>
      </c>
      <c r="L86" s="555">
        <v>66701</v>
      </c>
      <c r="M86" s="555"/>
      <c r="N86" s="556">
        <v>81162</v>
      </c>
      <c r="O86" s="556">
        <v>575461</v>
      </c>
      <c r="P86" s="556">
        <v>0</v>
      </c>
      <c r="Q86" s="555">
        <v>0</v>
      </c>
      <c r="R86" s="555"/>
      <c r="S86" s="556">
        <v>69555</v>
      </c>
      <c r="T86" s="557">
        <v>21412</v>
      </c>
      <c r="U86" s="557">
        <v>90967</v>
      </c>
    </row>
    <row r="87" spans="1:21" x14ac:dyDescent="0.25">
      <c r="A87" s="552">
        <v>31320</v>
      </c>
      <c r="B87" s="553" t="s">
        <v>875</v>
      </c>
      <c r="C87" s="559">
        <v>2.2095000000000001E-3</v>
      </c>
      <c r="D87" s="559">
        <v>2.2027000000000001E-3</v>
      </c>
      <c r="E87" s="555">
        <v>2559454</v>
      </c>
      <c r="F87" s="555">
        <f t="shared" si="1"/>
        <v>2582492</v>
      </c>
      <c r="G87" s="555">
        <v>8142445</v>
      </c>
      <c r="H87" s="555"/>
      <c r="I87" s="556">
        <v>0</v>
      </c>
      <c r="J87" s="556">
        <v>5682008</v>
      </c>
      <c r="K87" s="556">
        <v>0</v>
      </c>
      <c r="L87" s="555">
        <v>0</v>
      </c>
      <c r="M87" s="555"/>
      <c r="N87" s="556">
        <v>925796</v>
      </c>
      <c r="O87" s="556">
        <v>6564173</v>
      </c>
      <c r="P87" s="556">
        <v>0</v>
      </c>
      <c r="Q87" s="555">
        <v>532819</v>
      </c>
      <c r="R87" s="555"/>
      <c r="S87" s="556">
        <v>793398</v>
      </c>
      <c r="T87" s="557">
        <v>-178651</v>
      </c>
      <c r="U87" s="557">
        <v>614747</v>
      </c>
    </row>
    <row r="88" spans="1:21" x14ac:dyDescent="0.25">
      <c r="A88" s="552">
        <v>31400</v>
      </c>
      <c r="B88" s="553" t="s">
        <v>876</v>
      </c>
      <c r="C88" s="559">
        <v>4.7343000000000003E-3</v>
      </c>
      <c r="D88" s="559">
        <v>4.7391000000000004E-3</v>
      </c>
      <c r="E88" s="555">
        <v>5891291</v>
      </c>
      <c r="F88" s="555">
        <f t="shared" si="1"/>
        <v>5556221</v>
      </c>
      <c r="G88" s="555">
        <v>17446833</v>
      </c>
      <c r="H88" s="555"/>
      <c r="I88" s="556">
        <v>0</v>
      </c>
      <c r="J88" s="556">
        <v>12174849</v>
      </c>
      <c r="K88" s="556">
        <v>0</v>
      </c>
      <c r="L88" s="555">
        <v>0</v>
      </c>
      <c r="M88" s="555"/>
      <c r="N88" s="556">
        <v>1983705</v>
      </c>
      <c r="O88" s="556">
        <v>14065066</v>
      </c>
      <c r="P88" s="556">
        <v>0</v>
      </c>
      <c r="Q88" s="555">
        <v>459137</v>
      </c>
      <c r="R88" s="555"/>
      <c r="S88" s="556">
        <v>1700016</v>
      </c>
      <c r="T88" s="557">
        <v>-157441</v>
      </c>
      <c r="U88" s="557">
        <v>1542576</v>
      </c>
    </row>
    <row r="89" spans="1:21" x14ac:dyDescent="0.25">
      <c r="A89" s="552">
        <v>31405</v>
      </c>
      <c r="B89" s="553" t="s">
        <v>877</v>
      </c>
      <c r="C89" s="559">
        <v>9.8060000000000009E-4</v>
      </c>
      <c r="D89" s="559">
        <v>1.0556999999999999E-3</v>
      </c>
      <c r="E89" s="555">
        <v>1365585.45</v>
      </c>
      <c r="F89" s="555">
        <f t="shared" si="1"/>
        <v>1237725</v>
      </c>
      <c r="G89" s="555">
        <v>3613705</v>
      </c>
      <c r="H89" s="555"/>
      <c r="I89" s="556">
        <v>0</v>
      </c>
      <c r="J89" s="556">
        <v>2521736</v>
      </c>
      <c r="K89" s="556">
        <v>0</v>
      </c>
      <c r="L89" s="555">
        <v>0</v>
      </c>
      <c r="M89" s="555"/>
      <c r="N89" s="556">
        <v>410878</v>
      </c>
      <c r="O89" s="556">
        <v>2913251</v>
      </c>
      <c r="P89" s="556">
        <v>0</v>
      </c>
      <c r="Q89" s="555">
        <v>305959</v>
      </c>
      <c r="R89" s="555"/>
      <c r="S89" s="556">
        <v>352119</v>
      </c>
      <c r="T89" s="557">
        <v>-91908</v>
      </c>
      <c r="U89" s="557">
        <v>260211</v>
      </c>
    </row>
    <row r="90" spans="1:21" x14ac:dyDescent="0.25">
      <c r="A90" s="552">
        <v>31500</v>
      </c>
      <c r="B90" s="553" t="s">
        <v>878</v>
      </c>
      <c r="C90" s="559">
        <v>7.4350000000000002E-4</v>
      </c>
      <c r="D90" s="559">
        <v>7.6009999999999999E-4</v>
      </c>
      <c r="E90" s="555">
        <v>878230.13</v>
      </c>
      <c r="F90" s="555">
        <f t="shared" si="1"/>
        <v>891157</v>
      </c>
      <c r="G90" s="555">
        <v>2739945</v>
      </c>
      <c r="H90" s="555"/>
      <c r="I90" s="556">
        <v>0</v>
      </c>
      <c r="J90" s="556">
        <v>1912004</v>
      </c>
      <c r="K90" s="556">
        <v>0</v>
      </c>
      <c r="L90" s="555">
        <v>0</v>
      </c>
      <c r="M90" s="555"/>
      <c r="N90" s="556">
        <v>311532</v>
      </c>
      <c r="O90" s="556">
        <v>2208854</v>
      </c>
      <c r="P90" s="556">
        <v>0</v>
      </c>
      <c r="Q90" s="555">
        <v>135200</v>
      </c>
      <c r="R90" s="555"/>
      <c r="S90" s="556">
        <v>266980</v>
      </c>
      <c r="T90" s="557">
        <v>-38883</v>
      </c>
      <c r="U90" s="557">
        <v>228097</v>
      </c>
    </row>
    <row r="91" spans="1:21" x14ac:dyDescent="0.25">
      <c r="A91" s="552">
        <v>31600</v>
      </c>
      <c r="B91" s="553" t="s">
        <v>879</v>
      </c>
      <c r="C91" s="559">
        <v>3.2607000000000001E-3</v>
      </c>
      <c r="D91" s="559">
        <v>3.2526E-3</v>
      </c>
      <c r="E91" s="555">
        <v>4265657.17</v>
      </c>
      <c r="F91" s="555">
        <f t="shared" si="1"/>
        <v>3813417</v>
      </c>
      <c r="G91" s="555">
        <v>12016325</v>
      </c>
      <c r="H91" s="555"/>
      <c r="I91" s="556">
        <v>0</v>
      </c>
      <c r="J91" s="556">
        <v>8385301</v>
      </c>
      <c r="K91" s="556">
        <v>0</v>
      </c>
      <c r="L91" s="555">
        <v>466453</v>
      </c>
      <c r="M91" s="555"/>
      <c r="N91" s="556">
        <v>1366256</v>
      </c>
      <c r="O91" s="556">
        <v>9687168</v>
      </c>
      <c r="P91" s="556">
        <v>0</v>
      </c>
      <c r="Q91" s="555">
        <v>0</v>
      </c>
      <c r="R91" s="555"/>
      <c r="S91" s="556">
        <v>1170868</v>
      </c>
      <c r="T91" s="557">
        <v>154896</v>
      </c>
      <c r="U91" s="557">
        <v>1325765</v>
      </c>
    </row>
    <row r="92" spans="1:21" x14ac:dyDescent="0.25">
      <c r="A92" s="552">
        <v>31601</v>
      </c>
      <c r="B92" s="553" t="s">
        <v>880</v>
      </c>
      <c r="C92" s="559">
        <v>0</v>
      </c>
      <c r="D92" s="559">
        <v>9.0000000000000002E-6</v>
      </c>
      <c r="E92" s="555"/>
      <c r="F92" s="555">
        <f t="shared" si="1"/>
        <v>10552</v>
      </c>
      <c r="G92" s="555">
        <v>0</v>
      </c>
      <c r="H92" s="555"/>
      <c r="I92" s="556">
        <v>0</v>
      </c>
      <c r="J92" s="556">
        <v>0</v>
      </c>
      <c r="K92" s="556">
        <v>0</v>
      </c>
      <c r="L92" s="555">
        <v>0</v>
      </c>
      <c r="M92" s="555"/>
      <c r="N92" s="556">
        <v>0</v>
      </c>
      <c r="O92" s="556">
        <v>0</v>
      </c>
      <c r="P92" s="556">
        <v>0</v>
      </c>
      <c r="Q92" s="555">
        <v>44219</v>
      </c>
      <c r="R92" s="555"/>
      <c r="S92" s="556">
        <v>0</v>
      </c>
      <c r="T92" s="557">
        <v>-12747</v>
      </c>
      <c r="U92" s="557">
        <v>-12747</v>
      </c>
    </row>
    <row r="93" spans="1:21" x14ac:dyDescent="0.25">
      <c r="A93" s="552">
        <v>31605</v>
      </c>
      <c r="B93" s="553" t="s">
        <v>881</v>
      </c>
      <c r="C93" s="559">
        <v>4.7429999999999998E-4</v>
      </c>
      <c r="D93" s="559">
        <v>4.7750000000000001E-4</v>
      </c>
      <c r="E93" s="555">
        <v>657660.51</v>
      </c>
      <c r="F93" s="555">
        <f t="shared" si="1"/>
        <v>559831</v>
      </c>
      <c r="G93" s="555">
        <v>1747889</v>
      </c>
      <c r="H93" s="555"/>
      <c r="I93" s="556">
        <v>0</v>
      </c>
      <c r="J93" s="556">
        <v>1219722</v>
      </c>
      <c r="K93" s="556">
        <v>0</v>
      </c>
      <c r="L93" s="555">
        <v>32538</v>
      </c>
      <c r="M93" s="555"/>
      <c r="N93" s="556">
        <v>198735</v>
      </c>
      <c r="O93" s="556">
        <v>1409091</v>
      </c>
      <c r="P93" s="556">
        <v>0</v>
      </c>
      <c r="Q93" s="555">
        <v>14054</v>
      </c>
      <c r="R93" s="555"/>
      <c r="S93" s="556">
        <v>170314</v>
      </c>
      <c r="T93" s="557">
        <v>3976</v>
      </c>
      <c r="U93" s="557">
        <v>174290</v>
      </c>
    </row>
    <row r="94" spans="1:21" x14ac:dyDescent="0.25">
      <c r="A94" s="552">
        <v>31700</v>
      </c>
      <c r="B94" s="553" t="s">
        <v>882</v>
      </c>
      <c r="C94" s="559">
        <v>9.8630000000000007E-4</v>
      </c>
      <c r="D94" s="559">
        <v>9.5640000000000005E-4</v>
      </c>
      <c r="E94" s="555">
        <v>1348968.35</v>
      </c>
      <c r="F94" s="555">
        <f t="shared" si="1"/>
        <v>1121304</v>
      </c>
      <c r="G94" s="555">
        <v>3634711</v>
      </c>
      <c r="H94" s="555"/>
      <c r="I94" s="556">
        <v>0</v>
      </c>
      <c r="J94" s="556">
        <v>2536395</v>
      </c>
      <c r="K94" s="556">
        <v>0</v>
      </c>
      <c r="L94" s="555">
        <v>207847</v>
      </c>
      <c r="M94" s="555"/>
      <c r="N94" s="556">
        <v>413267</v>
      </c>
      <c r="O94" s="556">
        <v>2930185</v>
      </c>
      <c r="P94" s="556">
        <v>0</v>
      </c>
      <c r="Q94" s="555">
        <v>67062</v>
      </c>
      <c r="R94" s="555"/>
      <c r="S94" s="556">
        <v>354166</v>
      </c>
      <c r="T94" s="557">
        <v>33539</v>
      </c>
      <c r="U94" s="557">
        <v>387704</v>
      </c>
    </row>
    <row r="95" spans="1:21" x14ac:dyDescent="0.25">
      <c r="A95" s="552">
        <v>31800</v>
      </c>
      <c r="B95" s="553" t="s">
        <v>883</v>
      </c>
      <c r="C95" s="559">
        <v>6.2585999999999996E-3</v>
      </c>
      <c r="D95" s="559">
        <v>6.2275000000000004E-3</v>
      </c>
      <c r="E95" s="555">
        <v>7806407</v>
      </c>
      <c r="F95" s="555">
        <f t="shared" si="1"/>
        <v>7301252</v>
      </c>
      <c r="G95" s="555">
        <v>23064180</v>
      </c>
      <c r="H95" s="555"/>
      <c r="I95" s="556">
        <v>0</v>
      </c>
      <c r="J95" s="556">
        <v>16094778</v>
      </c>
      <c r="K95" s="556">
        <v>0</v>
      </c>
      <c r="L95" s="555">
        <v>57187</v>
      </c>
      <c r="M95" s="555"/>
      <c r="N95" s="556">
        <v>2622397</v>
      </c>
      <c r="O95" s="556">
        <v>18593587</v>
      </c>
      <c r="P95" s="556">
        <v>0</v>
      </c>
      <c r="Q95" s="555">
        <v>121303</v>
      </c>
      <c r="R95" s="555"/>
      <c r="S95" s="556">
        <v>2247369</v>
      </c>
      <c r="T95" s="557">
        <v>-27636</v>
      </c>
      <c r="U95" s="557">
        <v>2219733</v>
      </c>
    </row>
    <row r="96" spans="1:21" x14ac:dyDescent="0.25">
      <c r="A96" s="552">
        <v>31805</v>
      </c>
      <c r="B96" s="553" t="s">
        <v>884</v>
      </c>
      <c r="C96" s="559">
        <v>1.1642E-3</v>
      </c>
      <c r="D96" s="559">
        <v>1.2336999999999999E-3</v>
      </c>
      <c r="E96" s="555">
        <v>1616334.57</v>
      </c>
      <c r="F96" s="555">
        <f t="shared" si="1"/>
        <v>1446416</v>
      </c>
      <c r="G96" s="555">
        <v>4290308</v>
      </c>
      <c r="H96" s="555"/>
      <c r="I96" s="556">
        <v>0</v>
      </c>
      <c r="J96" s="556">
        <v>2993887</v>
      </c>
      <c r="K96" s="556">
        <v>0</v>
      </c>
      <c r="L96" s="555">
        <v>36992</v>
      </c>
      <c r="M96" s="555"/>
      <c r="N96" s="556">
        <v>487808</v>
      </c>
      <c r="O96" s="556">
        <v>3458705</v>
      </c>
      <c r="P96" s="556">
        <v>0</v>
      </c>
      <c r="Q96" s="555">
        <v>179526</v>
      </c>
      <c r="R96" s="555"/>
      <c r="S96" s="556">
        <v>418047</v>
      </c>
      <c r="T96" s="557">
        <v>-36471</v>
      </c>
      <c r="U96" s="557">
        <v>381575</v>
      </c>
    </row>
    <row r="97" spans="1:21" x14ac:dyDescent="0.25">
      <c r="A97" s="552">
        <v>31810</v>
      </c>
      <c r="B97" s="553" t="s">
        <v>885</v>
      </c>
      <c r="C97" s="559">
        <v>1.4873E-3</v>
      </c>
      <c r="D97" s="559">
        <v>1.5008000000000001E-3</v>
      </c>
      <c r="E97" s="555">
        <v>1891630.35</v>
      </c>
      <c r="F97" s="555">
        <f t="shared" si="1"/>
        <v>1759570</v>
      </c>
      <c r="G97" s="555">
        <v>5480995</v>
      </c>
      <c r="H97" s="555"/>
      <c r="I97" s="556">
        <v>0</v>
      </c>
      <c r="J97" s="556">
        <v>3824779</v>
      </c>
      <c r="K97" s="556">
        <v>0</v>
      </c>
      <c r="L97" s="555">
        <v>0</v>
      </c>
      <c r="M97" s="555"/>
      <c r="N97" s="556">
        <v>623189</v>
      </c>
      <c r="O97" s="556">
        <v>4418599</v>
      </c>
      <c r="P97" s="556">
        <v>0</v>
      </c>
      <c r="Q97" s="555">
        <v>382950</v>
      </c>
      <c r="R97" s="555"/>
      <c r="S97" s="556">
        <v>534067</v>
      </c>
      <c r="T97" s="557">
        <v>-133491</v>
      </c>
      <c r="U97" s="557">
        <v>400576</v>
      </c>
    </row>
    <row r="98" spans="1:21" x14ac:dyDescent="0.25">
      <c r="A98" s="552">
        <v>31820</v>
      </c>
      <c r="B98" s="553" t="s">
        <v>886</v>
      </c>
      <c r="C98" s="559">
        <v>1.2941999999999999E-3</v>
      </c>
      <c r="D98" s="559">
        <v>1.2648E-3</v>
      </c>
      <c r="E98" s="555">
        <v>1572198.75</v>
      </c>
      <c r="F98" s="555">
        <f t="shared" si="1"/>
        <v>1482878</v>
      </c>
      <c r="G98" s="555">
        <v>4769383</v>
      </c>
      <c r="H98" s="555"/>
      <c r="I98" s="556">
        <v>0</v>
      </c>
      <c r="J98" s="556">
        <v>3328198</v>
      </c>
      <c r="K98" s="556">
        <v>0</v>
      </c>
      <c r="L98" s="555">
        <v>76134</v>
      </c>
      <c r="M98" s="555"/>
      <c r="N98" s="556">
        <v>542279</v>
      </c>
      <c r="O98" s="556">
        <v>3844921</v>
      </c>
      <c r="P98" s="556">
        <v>0</v>
      </c>
      <c r="Q98" s="555">
        <v>34916</v>
      </c>
      <c r="R98" s="555"/>
      <c r="S98" s="556">
        <v>464728</v>
      </c>
      <c r="T98" s="557">
        <v>8575</v>
      </c>
      <c r="U98" s="557">
        <v>473303</v>
      </c>
    </row>
    <row r="99" spans="1:21" x14ac:dyDescent="0.25">
      <c r="A99" s="552">
        <v>31900</v>
      </c>
      <c r="B99" s="553" t="s">
        <v>887</v>
      </c>
      <c r="C99" s="559">
        <v>3.5747999999999999E-3</v>
      </c>
      <c r="D99" s="559">
        <v>3.4716999999999999E-3</v>
      </c>
      <c r="E99" s="555">
        <v>4322903.46</v>
      </c>
      <c r="F99" s="555">
        <f t="shared" si="1"/>
        <v>4070294</v>
      </c>
      <c r="G99" s="555">
        <v>13173846</v>
      </c>
      <c r="H99" s="555"/>
      <c r="I99" s="556">
        <v>0</v>
      </c>
      <c r="J99" s="556">
        <v>9193049</v>
      </c>
      <c r="K99" s="556">
        <v>0</v>
      </c>
      <c r="L99" s="555">
        <v>287500</v>
      </c>
      <c r="M99" s="555"/>
      <c r="N99" s="556">
        <v>1497866</v>
      </c>
      <c r="O99" s="556">
        <v>10620323</v>
      </c>
      <c r="P99" s="556">
        <v>0</v>
      </c>
      <c r="Q99" s="555">
        <v>81811</v>
      </c>
      <c r="R99" s="555"/>
      <c r="S99" s="556">
        <v>1283657</v>
      </c>
      <c r="T99" s="557">
        <v>50317</v>
      </c>
      <c r="U99" s="557">
        <v>1333974</v>
      </c>
    </row>
    <row r="100" spans="1:21" x14ac:dyDescent="0.25">
      <c r="A100" s="552">
        <v>32000</v>
      </c>
      <c r="B100" s="553" t="s">
        <v>888</v>
      </c>
      <c r="C100" s="559">
        <v>1.3655E-3</v>
      </c>
      <c r="D100" s="559">
        <v>1.3477999999999999E-3</v>
      </c>
      <c r="E100" s="555">
        <v>1736635.47</v>
      </c>
      <c r="F100" s="555">
        <f t="shared" si="1"/>
        <v>1580189</v>
      </c>
      <c r="G100" s="555">
        <v>5032138</v>
      </c>
      <c r="H100" s="555"/>
      <c r="I100" s="556">
        <v>0</v>
      </c>
      <c r="J100" s="556">
        <v>3511555</v>
      </c>
      <c r="K100" s="556">
        <v>0</v>
      </c>
      <c r="L100" s="555">
        <v>84872</v>
      </c>
      <c r="M100" s="555"/>
      <c r="N100" s="556">
        <v>572154</v>
      </c>
      <c r="O100" s="556">
        <v>4056745</v>
      </c>
      <c r="P100" s="556">
        <v>0</v>
      </c>
      <c r="Q100" s="555">
        <v>54573</v>
      </c>
      <c r="R100" s="555"/>
      <c r="S100" s="556">
        <v>490331</v>
      </c>
      <c r="T100" s="557">
        <v>3950</v>
      </c>
      <c r="U100" s="557">
        <v>494281</v>
      </c>
    </row>
    <row r="101" spans="1:21" x14ac:dyDescent="0.25">
      <c r="A101" s="552">
        <v>32005</v>
      </c>
      <c r="B101" s="553" t="s">
        <v>889</v>
      </c>
      <c r="C101" s="559">
        <v>3.4200000000000002E-4</v>
      </c>
      <c r="D101" s="559">
        <v>3.2000000000000003E-4</v>
      </c>
      <c r="E101" s="555">
        <v>438706.42</v>
      </c>
      <c r="F101" s="555">
        <f t="shared" si="1"/>
        <v>375175</v>
      </c>
      <c r="G101" s="555">
        <v>1260338</v>
      </c>
      <c r="H101" s="555"/>
      <c r="I101" s="556">
        <v>0</v>
      </c>
      <c r="J101" s="556">
        <v>879496</v>
      </c>
      <c r="K101" s="556">
        <v>0</v>
      </c>
      <c r="L101" s="555">
        <v>168963</v>
      </c>
      <c r="M101" s="555"/>
      <c r="N101" s="556">
        <v>143300</v>
      </c>
      <c r="O101" s="556">
        <v>1016043</v>
      </c>
      <c r="P101" s="556">
        <v>0</v>
      </c>
      <c r="Q101" s="555">
        <v>0</v>
      </c>
      <c r="R101" s="555"/>
      <c r="S101" s="556">
        <v>122807.07</v>
      </c>
      <c r="T101" s="557">
        <v>52535</v>
      </c>
      <c r="U101" s="557">
        <v>175342</v>
      </c>
    </row>
    <row r="102" spans="1:21" x14ac:dyDescent="0.25">
      <c r="A102" s="552">
        <v>32100</v>
      </c>
      <c r="B102" s="553" t="s">
        <v>890</v>
      </c>
      <c r="C102" s="559">
        <v>9.3099999999999997E-4</v>
      </c>
      <c r="D102" s="559">
        <v>9.6069999999999999E-4</v>
      </c>
      <c r="E102" s="555">
        <v>1165841.2</v>
      </c>
      <c r="F102" s="555">
        <f t="shared" si="1"/>
        <v>1126345</v>
      </c>
      <c r="G102" s="555">
        <v>3430919</v>
      </c>
      <c r="H102" s="555"/>
      <c r="I102" s="556">
        <v>0</v>
      </c>
      <c r="J102" s="556">
        <v>2394184</v>
      </c>
      <c r="K102" s="556">
        <v>0</v>
      </c>
      <c r="L102" s="555">
        <v>0</v>
      </c>
      <c r="M102" s="555"/>
      <c r="N102" s="556">
        <v>390096</v>
      </c>
      <c r="O102" s="556">
        <v>2765895</v>
      </c>
      <c r="P102" s="556">
        <v>0</v>
      </c>
      <c r="Q102" s="555">
        <v>177870</v>
      </c>
      <c r="R102" s="555"/>
      <c r="S102" s="556">
        <v>334308</v>
      </c>
      <c r="T102" s="557">
        <v>-52905</v>
      </c>
      <c r="U102" s="557">
        <v>281403</v>
      </c>
    </row>
    <row r="103" spans="1:21" x14ac:dyDescent="0.25">
      <c r="A103" s="552">
        <v>32200</v>
      </c>
      <c r="B103" s="553" t="s">
        <v>891</v>
      </c>
      <c r="C103" s="559">
        <v>5.4440000000000001E-4</v>
      </c>
      <c r="D103" s="559">
        <v>5.3689999999999999E-4</v>
      </c>
      <c r="E103" s="555">
        <v>701510.23</v>
      </c>
      <c r="F103" s="555">
        <f t="shared" si="1"/>
        <v>629473</v>
      </c>
      <c r="G103" s="555">
        <v>2006222</v>
      </c>
      <c r="H103" s="555"/>
      <c r="I103" s="556">
        <v>0</v>
      </c>
      <c r="J103" s="556">
        <v>1399993</v>
      </c>
      <c r="K103" s="556">
        <v>0</v>
      </c>
      <c r="L103" s="555">
        <v>98537</v>
      </c>
      <c r="M103" s="555"/>
      <c r="N103" s="556">
        <v>228107</v>
      </c>
      <c r="O103" s="556">
        <v>1617350</v>
      </c>
      <c r="P103" s="556">
        <v>0</v>
      </c>
      <c r="Q103" s="555">
        <v>0</v>
      </c>
      <c r="R103" s="555"/>
      <c r="S103" s="556">
        <v>195486</v>
      </c>
      <c r="T103" s="557">
        <v>31827</v>
      </c>
      <c r="U103" s="557">
        <v>227313</v>
      </c>
    </row>
    <row r="104" spans="1:21" x14ac:dyDescent="0.25">
      <c r="A104" s="552">
        <v>32300</v>
      </c>
      <c r="B104" s="553" t="s">
        <v>892</v>
      </c>
      <c r="C104" s="559">
        <v>6.3115999999999997E-3</v>
      </c>
      <c r="D104" s="559">
        <v>6.3192999999999999E-3</v>
      </c>
      <c r="E104" s="555">
        <v>7632464</v>
      </c>
      <c r="F104" s="555">
        <f t="shared" si="1"/>
        <v>7408881</v>
      </c>
      <c r="G104" s="555">
        <v>23259496</v>
      </c>
      <c r="H104" s="555"/>
      <c r="I104" s="556">
        <v>0</v>
      </c>
      <c r="J104" s="556">
        <v>16231075</v>
      </c>
      <c r="K104" s="556">
        <v>0</v>
      </c>
      <c r="L104" s="555">
        <v>0</v>
      </c>
      <c r="M104" s="555"/>
      <c r="N104" s="556">
        <v>2644605</v>
      </c>
      <c r="O104" s="556">
        <v>18751044</v>
      </c>
      <c r="P104" s="556">
        <v>0</v>
      </c>
      <c r="Q104" s="555">
        <v>893547</v>
      </c>
      <c r="R104" s="555"/>
      <c r="S104" s="556">
        <v>2266401</v>
      </c>
      <c r="T104" s="557">
        <v>-296193</v>
      </c>
      <c r="U104" s="557">
        <v>1970208</v>
      </c>
    </row>
    <row r="105" spans="1:21" x14ac:dyDescent="0.25">
      <c r="A105" s="552">
        <v>32305</v>
      </c>
      <c r="B105" s="553" t="s">
        <v>893</v>
      </c>
      <c r="C105" s="559">
        <v>6.3920000000000003E-4</v>
      </c>
      <c r="D105" s="559">
        <v>6.0700000000000001E-4</v>
      </c>
      <c r="E105" s="555">
        <v>900555.57</v>
      </c>
      <c r="F105" s="555">
        <f t="shared" si="1"/>
        <v>711660</v>
      </c>
      <c r="G105" s="555">
        <v>2355579</v>
      </c>
      <c r="H105" s="555"/>
      <c r="I105" s="556">
        <v>0</v>
      </c>
      <c r="J105" s="556">
        <v>1643783</v>
      </c>
      <c r="K105" s="556">
        <v>0</v>
      </c>
      <c r="L105" s="555">
        <v>344274</v>
      </c>
      <c r="M105" s="555"/>
      <c r="N105" s="556">
        <v>267829</v>
      </c>
      <c r="O105" s="556">
        <v>1898990</v>
      </c>
      <c r="P105" s="556">
        <v>0</v>
      </c>
      <c r="Q105" s="555">
        <v>0</v>
      </c>
      <c r="R105" s="555"/>
      <c r="S105" s="556">
        <v>229527</v>
      </c>
      <c r="T105" s="557">
        <v>106331</v>
      </c>
      <c r="U105" s="557">
        <v>335858</v>
      </c>
    </row>
    <row r="106" spans="1:21" x14ac:dyDescent="0.25">
      <c r="A106" s="552">
        <v>32400</v>
      </c>
      <c r="B106" s="553" t="s">
        <v>894</v>
      </c>
      <c r="C106" s="559">
        <v>2.2606000000000002E-3</v>
      </c>
      <c r="D106" s="559">
        <v>2.2020999999999998E-3</v>
      </c>
      <c r="E106" s="555">
        <v>2979773.83</v>
      </c>
      <c r="F106" s="555">
        <f t="shared" si="1"/>
        <v>2581789</v>
      </c>
      <c r="G106" s="555">
        <v>8330759</v>
      </c>
      <c r="H106" s="555"/>
      <c r="I106" s="556">
        <v>0</v>
      </c>
      <c r="J106" s="556">
        <v>5813418</v>
      </c>
      <c r="K106" s="556">
        <v>0</v>
      </c>
      <c r="L106" s="555">
        <v>346162</v>
      </c>
      <c r="M106" s="555"/>
      <c r="N106" s="556">
        <v>947207</v>
      </c>
      <c r="O106" s="556">
        <v>6715985</v>
      </c>
      <c r="P106" s="556">
        <v>0</v>
      </c>
      <c r="Q106" s="555">
        <v>330729</v>
      </c>
      <c r="R106" s="555"/>
      <c r="S106" s="556">
        <v>811748</v>
      </c>
      <c r="T106" s="557">
        <v>-22651</v>
      </c>
      <c r="U106" s="557">
        <v>789096</v>
      </c>
    </row>
    <row r="107" spans="1:21" x14ac:dyDescent="0.25">
      <c r="A107" s="552">
        <v>32405</v>
      </c>
      <c r="B107" s="553" t="s">
        <v>895</v>
      </c>
      <c r="C107" s="559">
        <v>5.7660000000000003E-4</v>
      </c>
      <c r="D107" s="559">
        <v>6.2040000000000001E-4</v>
      </c>
      <c r="E107" s="555">
        <v>825953.43</v>
      </c>
      <c r="F107" s="555">
        <f t="shared" si="1"/>
        <v>727370</v>
      </c>
      <c r="G107" s="555">
        <v>2124885</v>
      </c>
      <c r="H107" s="555"/>
      <c r="I107" s="556">
        <v>0</v>
      </c>
      <c r="J107" s="556">
        <v>1482800</v>
      </c>
      <c r="K107" s="556">
        <v>0</v>
      </c>
      <c r="L107" s="555">
        <v>0</v>
      </c>
      <c r="M107" s="555"/>
      <c r="N107" s="556">
        <v>241599</v>
      </c>
      <c r="O107" s="556">
        <v>1713013</v>
      </c>
      <c r="P107" s="556">
        <v>0</v>
      </c>
      <c r="Q107" s="555">
        <v>151148</v>
      </c>
      <c r="R107" s="555"/>
      <c r="S107" s="556">
        <v>207048</v>
      </c>
      <c r="T107" s="557">
        <v>-45324</v>
      </c>
      <c r="U107" s="557">
        <v>161725</v>
      </c>
    </row>
    <row r="108" spans="1:21" x14ac:dyDescent="0.25">
      <c r="A108" s="552">
        <v>32410</v>
      </c>
      <c r="B108" s="553" t="s">
        <v>896</v>
      </c>
      <c r="C108" s="559">
        <v>8.9840000000000004E-4</v>
      </c>
      <c r="D108" s="559">
        <v>8.6209999999999998E-4</v>
      </c>
      <c r="E108" s="555">
        <v>1179739.27</v>
      </c>
      <c r="F108" s="555">
        <f t="shared" si="1"/>
        <v>1010744</v>
      </c>
      <c r="G108" s="555">
        <v>3310782</v>
      </c>
      <c r="H108" s="555"/>
      <c r="I108" s="556">
        <v>0</v>
      </c>
      <c r="J108" s="556">
        <v>2310349</v>
      </c>
      <c r="K108" s="556">
        <v>0</v>
      </c>
      <c r="L108" s="555">
        <v>295051</v>
      </c>
      <c r="M108" s="555"/>
      <c r="N108" s="556">
        <v>376436</v>
      </c>
      <c r="O108" s="556">
        <v>2669044</v>
      </c>
      <c r="P108" s="556">
        <v>0</v>
      </c>
      <c r="Q108" s="555">
        <v>0</v>
      </c>
      <c r="R108" s="555"/>
      <c r="S108" s="556">
        <v>322602</v>
      </c>
      <c r="T108" s="557">
        <v>90339</v>
      </c>
      <c r="U108" s="557">
        <v>412941</v>
      </c>
    </row>
    <row r="109" spans="1:21" x14ac:dyDescent="0.25">
      <c r="A109" s="552">
        <v>32420</v>
      </c>
      <c r="B109" s="553" t="s">
        <v>897</v>
      </c>
      <c r="C109" s="559">
        <v>2.69E-5</v>
      </c>
      <c r="D109" s="559">
        <v>2.2099999999999998E-5</v>
      </c>
      <c r="E109" s="555"/>
      <c r="F109" s="555">
        <f t="shared" si="1"/>
        <v>25911</v>
      </c>
      <c r="G109" s="555">
        <v>99132</v>
      </c>
      <c r="H109" s="555"/>
      <c r="I109" s="556">
        <v>0</v>
      </c>
      <c r="J109" s="556">
        <v>69177</v>
      </c>
      <c r="K109" s="556">
        <v>0</v>
      </c>
      <c r="L109" s="555">
        <v>71736</v>
      </c>
      <c r="M109" s="555"/>
      <c r="N109" s="556">
        <v>11271</v>
      </c>
      <c r="O109" s="556">
        <v>79917</v>
      </c>
      <c r="P109" s="556">
        <v>0</v>
      </c>
      <c r="Q109" s="555">
        <v>6271</v>
      </c>
      <c r="R109" s="555"/>
      <c r="S109" s="556">
        <v>9659</v>
      </c>
      <c r="T109" s="557">
        <v>23974</v>
      </c>
      <c r="U109" s="557">
        <v>33634</v>
      </c>
    </row>
    <row r="110" spans="1:21" x14ac:dyDescent="0.25">
      <c r="A110" s="552">
        <v>32500</v>
      </c>
      <c r="B110" s="553" t="s">
        <v>898</v>
      </c>
      <c r="C110" s="559">
        <v>5.0863999999999996E-3</v>
      </c>
      <c r="D110" s="559">
        <v>5.0993000000000002E-3</v>
      </c>
      <c r="E110" s="555">
        <v>6419291</v>
      </c>
      <c r="F110" s="555">
        <f t="shared" si="1"/>
        <v>5978527</v>
      </c>
      <c r="G110" s="555">
        <v>18744391</v>
      </c>
      <c r="H110" s="555"/>
      <c r="I110" s="556">
        <v>0</v>
      </c>
      <c r="J110" s="556">
        <v>13080318</v>
      </c>
      <c r="K110" s="556">
        <v>0</v>
      </c>
      <c r="L110" s="555">
        <v>0</v>
      </c>
      <c r="M110" s="555"/>
      <c r="N110" s="556">
        <v>2131237</v>
      </c>
      <c r="O110" s="556">
        <v>15111115</v>
      </c>
      <c r="P110" s="556">
        <v>0</v>
      </c>
      <c r="Q110" s="555">
        <v>218014</v>
      </c>
      <c r="R110" s="555"/>
      <c r="S110" s="556">
        <v>1826450</v>
      </c>
      <c r="T110" s="557">
        <v>-73546</v>
      </c>
      <c r="U110" s="557">
        <v>1752904</v>
      </c>
    </row>
    <row r="111" spans="1:21" x14ac:dyDescent="0.25">
      <c r="A111" s="552">
        <v>32505</v>
      </c>
      <c r="B111" s="553" t="s">
        <v>899</v>
      </c>
      <c r="C111" s="559">
        <v>7.4890000000000004E-4</v>
      </c>
      <c r="D111" s="559">
        <v>7.2389999999999998E-4</v>
      </c>
      <c r="E111" s="555">
        <v>973387.64</v>
      </c>
      <c r="F111" s="555">
        <f t="shared" si="1"/>
        <v>848716</v>
      </c>
      <c r="G111" s="555">
        <v>2759845</v>
      </c>
      <c r="H111" s="555"/>
      <c r="I111" s="556">
        <v>0</v>
      </c>
      <c r="J111" s="556">
        <v>1925891</v>
      </c>
      <c r="K111" s="556">
        <v>0</v>
      </c>
      <c r="L111" s="555">
        <v>127695</v>
      </c>
      <c r="M111" s="555"/>
      <c r="N111" s="556">
        <v>313794</v>
      </c>
      <c r="O111" s="556">
        <v>2224897</v>
      </c>
      <c r="P111" s="556">
        <v>0</v>
      </c>
      <c r="Q111" s="555">
        <v>86301</v>
      </c>
      <c r="R111" s="555"/>
      <c r="S111" s="556">
        <v>268919</v>
      </c>
      <c r="T111" s="557">
        <v>4440</v>
      </c>
      <c r="U111" s="557">
        <v>273359</v>
      </c>
    </row>
    <row r="112" spans="1:21" x14ac:dyDescent="0.25">
      <c r="A112" s="552">
        <v>32600</v>
      </c>
      <c r="B112" s="553" t="s">
        <v>900</v>
      </c>
      <c r="C112" s="559">
        <v>1.8608900000000001E-2</v>
      </c>
      <c r="D112" s="559">
        <v>1.8847699999999998E-2</v>
      </c>
      <c r="E112" s="555">
        <v>23076208</v>
      </c>
      <c r="F112" s="555">
        <f t="shared" si="1"/>
        <v>22097441</v>
      </c>
      <c r="G112" s="555">
        <v>68577481</v>
      </c>
      <c r="H112" s="555"/>
      <c r="I112" s="556">
        <v>0</v>
      </c>
      <c r="J112" s="556">
        <v>47855131</v>
      </c>
      <c r="K112" s="556">
        <v>0</v>
      </c>
      <c r="L112" s="555">
        <v>0</v>
      </c>
      <c r="M112" s="555"/>
      <c r="N112" s="556">
        <v>7797259</v>
      </c>
      <c r="O112" s="556">
        <v>55284920</v>
      </c>
      <c r="P112" s="556">
        <v>0</v>
      </c>
      <c r="Q112" s="555">
        <v>3711299</v>
      </c>
      <c r="R112" s="555"/>
      <c r="S112" s="556">
        <v>6682177</v>
      </c>
      <c r="T112" s="557">
        <v>-1221269</v>
      </c>
      <c r="U112" s="557">
        <v>5460908</v>
      </c>
    </row>
    <row r="113" spans="1:21" x14ac:dyDescent="0.25">
      <c r="A113" s="552">
        <v>32605</v>
      </c>
      <c r="B113" s="553" t="s">
        <v>901</v>
      </c>
      <c r="C113" s="559">
        <v>2.5182E-3</v>
      </c>
      <c r="D113" s="559">
        <v>2.5192999999999999E-3</v>
      </c>
      <c r="E113" s="555">
        <v>3493914.53</v>
      </c>
      <c r="F113" s="555">
        <f t="shared" si="1"/>
        <v>2953680</v>
      </c>
      <c r="G113" s="555">
        <v>9280066</v>
      </c>
      <c r="H113" s="555"/>
      <c r="I113" s="556">
        <v>0</v>
      </c>
      <c r="J113" s="556">
        <v>6475869</v>
      </c>
      <c r="K113" s="556">
        <v>0</v>
      </c>
      <c r="L113" s="555">
        <v>410591</v>
      </c>
      <c r="M113" s="555"/>
      <c r="N113" s="556">
        <v>1055143</v>
      </c>
      <c r="O113" s="556">
        <v>7481285</v>
      </c>
      <c r="P113" s="556">
        <v>0</v>
      </c>
      <c r="Q113" s="555">
        <v>0</v>
      </c>
      <c r="R113" s="555"/>
      <c r="S113" s="556">
        <v>904248</v>
      </c>
      <c r="T113" s="557">
        <v>127483</v>
      </c>
      <c r="U113" s="557">
        <v>1031731</v>
      </c>
    </row>
    <row r="114" spans="1:21" x14ac:dyDescent="0.25">
      <c r="A114" s="552">
        <v>32700</v>
      </c>
      <c r="B114" s="553" t="s">
        <v>902</v>
      </c>
      <c r="C114" s="559">
        <v>1.5299000000000001E-3</v>
      </c>
      <c r="D114" s="559">
        <v>1.4691000000000001E-3</v>
      </c>
      <c r="E114" s="555">
        <v>1954786.69</v>
      </c>
      <c r="F114" s="555">
        <f t="shared" si="1"/>
        <v>1722404</v>
      </c>
      <c r="G114" s="555">
        <v>5637984</v>
      </c>
      <c r="H114" s="555"/>
      <c r="I114" s="556">
        <v>0</v>
      </c>
      <c r="J114" s="556">
        <v>3934331</v>
      </c>
      <c r="K114" s="556">
        <v>0</v>
      </c>
      <c r="L114" s="555">
        <v>332483</v>
      </c>
      <c r="M114" s="555"/>
      <c r="N114" s="556">
        <v>641039</v>
      </c>
      <c r="O114" s="556">
        <v>4545158</v>
      </c>
      <c r="P114" s="556">
        <v>0</v>
      </c>
      <c r="Q114" s="555">
        <v>0</v>
      </c>
      <c r="R114" s="555"/>
      <c r="S114" s="556">
        <v>549364</v>
      </c>
      <c r="T114" s="557">
        <v>96727</v>
      </c>
      <c r="U114" s="557">
        <v>646091</v>
      </c>
    </row>
    <row r="115" spans="1:21" x14ac:dyDescent="0.25">
      <c r="A115" s="552">
        <v>32800</v>
      </c>
      <c r="B115" s="553" t="s">
        <v>903</v>
      </c>
      <c r="C115" s="559">
        <v>2.1009000000000002E-3</v>
      </c>
      <c r="D115" s="559">
        <v>2.1205999999999998E-3</v>
      </c>
      <c r="E115" s="555">
        <v>2972943.62</v>
      </c>
      <c r="F115" s="555">
        <f t="shared" si="1"/>
        <v>2486236</v>
      </c>
      <c r="G115" s="555">
        <v>7742232</v>
      </c>
      <c r="H115" s="555"/>
      <c r="I115" s="556">
        <v>0</v>
      </c>
      <c r="J115" s="556">
        <v>5402729</v>
      </c>
      <c r="K115" s="556">
        <v>0</v>
      </c>
      <c r="L115" s="555">
        <v>248783</v>
      </c>
      <c r="M115" s="555"/>
      <c r="N115" s="556">
        <v>880292</v>
      </c>
      <c r="O115" s="556">
        <v>6241534</v>
      </c>
      <c r="P115" s="556">
        <v>0</v>
      </c>
      <c r="Q115" s="555">
        <v>0</v>
      </c>
      <c r="R115" s="555"/>
      <c r="S115" s="556">
        <v>754402</v>
      </c>
      <c r="T115" s="557">
        <v>75525</v>
      </c>
      <c r="U115" s="557">
        <v>829926</v>
      </c>
    </row>
    <row r="116" spans="1:21" x14ac:dyDescent="0.25">
      <c r="A116" s="552">
        <v>32900</v>
      </c>
      <c r="B116" s="553" t="s">
        <v>904</v>
      </c>
      <c r="C116" s="559">
        <v>6.5848E-3</v>
      </c>
      <c r="D116" s="559">
        <v>6.5382000000000001E-3</v>
      </c>
      <c r="E116" s="555">
        <v>8118508</v>
      </c>
      <c r="F116" s="555">
        <f t="shared" si="1"/>
        <v>7665524</v>
      </c>
      <c r="G116" s="555">
        <v>24266292</v>
      </c>
      <c r="H116" s="555"/>
      <c r="I116" s="556">
        <v>0</v>
      </c>
      <c r="J116" s="556">
        <v>16933643</v>
      </c>
      <c r="K116" s="556">
        <v>0</v>
      </c>
      <c r="L116" s="555">
        <v>44719</v>
      </c>
      <c r="M116" s="555"/>
      <c r="N116" s="556">
        <v>2759077</v>
      </c>
      <c r="O116" s="556">
        <v>19562690</v>
      </c>
      <c r="P116" s="556">
        <v>0</v>
      </c>
      <c r="Q116" s="555">
        <v>453654</v>
      </c>
      <c r="R116" s="555"/>
      <c r="S116" s="556">
        <v>2364503</v>
      </c>
      <c r="T116" s="557">
        <v>-150212</v>
      </c>
      <c r="U116" s="557">
        <v>2214290</v>
      </c>
    </row>
    <row r="117" spans="1:21" x14ac:dyDescent="0.25">
      <c r="A117" s="552">
        <v>32901</v>
      </c>
      <c r="B117" s="553" t="s">
        <v>905</v>
      </c>
      <c r="C117" s="559">
        <v>1.707E-4</v>
      </c>
      <c r="D117" s="559">
        <v>1.8300000000000001E-5</v>
      </c>
      <c r="E117" s="555">
        <v>177902.92</v>
      </c>
      <c r="F117" s="555">
        <f t="shared" si="1"/>
        <v>21455</v>
      </c>
      <c r="G117" s="555">
        <v>629063</v>
      </c>
      <c r="H117" s="555"/>
      <c r="I117" s="556">
        <v>0</v>
      </c>
      <c r="J117" s="556">
        <v>438977</v>
      </c>
      <c r="K117" s="556">
        <v>0</v>
      </c>
      <c r="L117" s="555">
        <v>680868</v>
      </c>
      <c r="M117" s="555"/>
      <c r="N117" s="556">
        <v>71524</v>
      </c>
      <c r="O117" s="556">
        <v>507130</v>
      </c>
      <c r="P117" s="556">
        <v>0</v>
      </c>
      <c r="Q117" s="555">
        <v>0</v>
      </c>
      <c r="R117" s="555"/>
      <c r="S117" s="556">
        <v>61296</v>
      </c>
      <c r="T117" s="557">
        <v>193902</v>
      </c>
      <c r="U117" s="557">
        <v>255198</v>
      </c>
    </row>
    <row r="118" spans="1:21" x14ac:dyDescent="0.25">
      <c r="A118" s="552">
        <v>32905</v>
      </c>
      <c r="B118" s="553" t="s">
        <v>906</v>
      </c>
      <c r="C118" s="559">
        <v>9.433E-4</v>
      </c>
      <c r="D118" s="559">
        <v>1.0241E-3</v>
      </c>
      <c r="E118" s="555">
        <v>1247984.42</v>
      </c>
      <c r="F118" s="555">
        <f t="shared" si="1"/>
        <v>1200676</v>
      </c>
      <c r="G118" s="555">
        <v>3476247</v>
      </c>
      <c r="H118" s="555"/>
      <c r="I118" s="556">
        <v>0</v>
      </c>
      <c r="J118" s="556">
        <v>2425815</v>
      </c>
      <c r="K118" s="556">
        <v>0</v>
      </c>
      <c r="L118" s="555">
        <v>0</v>
      </c>
      <c r="M118" s="555"/>
      <c r="N118" s="556">
        <v>395249</v>
      </c>
      <c r="O118" s="556">
        <v>2802437</v>
      </c>
      <c r="P118" s="556">
        <v>0</v>
      </c>
      <c r="Q118" s="555">
        <v>358561</v>
      </c>
      <c r="R118" s="555"/>
      <c r="S118" s="556">
        <v>338725</v>
      </c>
      <c r="T118" s="557">
        <v>-104302</v>
      </c>
      <c r="U118" s="557">
        <v>234423</v>
      </c>
    </row>
    <row r="119" spans="1:21" x14ac:dyDescent="0.25">
      <c r="A119" s="552">
        <v>32910</v>
      </c>
      <c r="B119" s="553" t="s">
        <v>907</v>
      </c>
      <c r="C119" s="559">
        <v>1.2444999999999999E-3</v>
      </c>
      <c r="D119" s="559">
        <v>1.2997E-3</v>
      </c>
      <c r="E119" s="555">
        <v>1586545.07</v>
      </c>
      <c r="F119" s="555">
        <f t="shared" si="1"/>
        <v>1523796</v>
      </c>
      <c r="G119" s="555">
        <v>4586229</v>
      </c>
      <c r="H119" s="555"/>
      <c r="I119" s="556">
        <v>0</v>
      </c>
      <c r="J119" s="556">
        <v>3200389</v>
      </c>
      <c r="K119" s="556">
        <v>0</v>
      </c>
      <c r="L119" s="555">
        <v>0</v>
      </c>
      <c r="M119" s="555"/>
      <c r="N119" s="556">
        <v>521454</v>
      </c>
      <c r="O119" s="556">
        <v>3697268</v>
      </c>
      <c r="P119" s="556">
        <v>0</v>
      </c>
      <c r="Q119" s="555">
        <v>274723</v>
      </c>
      <c r="R119" s="555"/>
      <c r="S119" s="556">
        <v>446881</v>
      </c>
      <c r="T119" s="557">
        <v>-80418</v>
      </c>
      <c r="U119" s="557">
        <v>366464</v>
      </c>
    </row>
    <row r="120" spans="1:21" x14ac:dyDescent="0.25">
      <c r="A120" s="552">
        <v>32920</v>
      </c>
      <c r="B120" s="553" t="s">
        <v>908</v>
      </c>
      <c r="C120" s="559">
        <v>1.0342000000000001E-3</v>
      </c>
      <c r="D120" s="559">
        <v>1.0089000000000001E-3</v>
      </c>
      <c r="E120" s="555">
        <v>1268550.19</v>
      </c>
      <c r="F120" s="555">
        <f t="shared" si="1"/>
        <v>1182856</v>
      </c>
      <c r="G120" s="555">
        <v>3811232</v>
      </c>
      <c r="H120" s="555"/>
      <c r="I120" s="556">
        <v>0</v>
      </c>
      <c r="J120" s="556">
        <v>2659576</v>
      </c>
      <c r="K120" s="556">
        <v>0</v>
      </c>
      <c r="L120" s="555">
        <v>78041</v>
      </c>
      <c r="M120" s="555"/>
      <c r="N120" s="556">
        <v>433337</v>
      </c>
      <c r="O120" s="556">
        <v>3072490</v>
      </c>
      <c r="P120" s="556">
        <v>0</v>
      </c>
      <c r="Q120" s="555">
        <v>203200</v>
      </c>
      <c r="R120" s="555"/>
      <c r="S120" s="556">
        <v>371366</v>
      </c>
      <c r="T120" s="557">
        <v>-51214</v>
      </c>
      <c r="U120" s="557">
        <v>320152</v>
      </c>
    </row>
    <row r="121" spans="1:21" x14ac:dyDescent="0.25">
      <c r="A121" s="552">
        <v>33000</v>
      </c>
      <c r="B121" s="553" t="s">
        <v>909</v>
      </c>
      <c r="C121" s="559">
        <v>2.5566999999999999E-3</v>
      </c>
      <c r="D121" s="559">
        <v>2.5617000000000001E-3</v>
      </c>
      <c r="E121" s="555">
        <v>3073347.31</v>
      </c>
      <c r="F121" s="555">
        <f t="shared" si="1"/>
        <v>3003391</v>
      </c>
      <c r="G121" s="555">
        <v>9421946</v>
      </c>
      <c r="H121" s="555"/>
      <c r="I121" s="556">
        <v>0</v>
      </c>
      <c r="J121" s="556">
        <v>6574876</v>
      </c>
      <c r="K121" s="556">
        <v>0</v>
      </c>
      <c r="L121" s="555">
        <v>0</v>
      </c>
      <c r="M121" s="555"/>
      <c r="N121" s="556">
        <v>1071275</v>
      </c>
      <c r="O121" s="556">
        <v>7595664</v>
      </c>
      <c r="P121" s="556">
        <v>0</v>
      </c>
      <c r="Q121" s="555">
        <v>294449</v>
      </c>
      <c r="R121" s="555"/>
      <c r="S121" s="556">
        <v>918073</v>
      </c>
      <c r="T121" s="557">
        <v>-93963</v>
      </c>
      <c r="U121" s="557">
        <v>824110</v>
      </c>
    </row>
    <row r="122" spans="1:21" x14ac:dyDescent="0.25">
      <c r="A122" s="552">
        <v>33001</v>
      </c>
      <c r="B122" s="553" t="s">
        <v>910</v>
      </c>
      <c r="C122" s="559">
        <v>6.0399999999999998E-5</v>
      </c>
      <c r="D122" s="559">
        <v>4.32E-5</v>
      </c>
      <c r="E122" s="555">
        <v>62216.63</v>
      </c>
      <c r="F122" s="555">
        <f t="shared" si="1"/>
        <v>50649</v>
      </c>
      <c r="G122" s="555">
        <v>222586</v>
      </c>
      <c r="H122" s="555"/>
      <c r="I122" s="556">
        <v>0</v>
      </c>
      <c r="J122" s="556">
        <v>155326</v>
      </c>
      <c r="K122" s="556">
        <v>0</v>
      </c>
      <c r="L122" s="555">
        <v>141109</v>
      </c>
      <c r="M122" s="555"/>
      <c r="N122" s="556">
        <v>25308</v>
      </c>
      <c r="O122" s="556">
        <v>179442</v>
      </c>
      <c r="P122" s="556">
        <v>0</v>
      </c>
      <c r="Q122" s="555">
        <v>0</v>
      </c>
      <c r="R122" s="555"/>
      <c r="S122" s="556">
        <v>21689</v>
      </c>
      <c r="T122" s="557">
        <v>45543</v>
      </c>
      <c r="U122" s="557">
        <v>67231</v>
      </c>
    </row>
    <row r="123" spans="1:21" x14ac:dyDescent="0.25">
      <c r="A123" s="552">
        <v>33027</v>
      </c>
      <c r="B123" s="553" t="s">
        <v>911</v>
      </c>
      <c r="C123" s="559">
        <v>1.9379999999999999E-4</v>
      </c>
      <c r="D123" s="559">
        <v>1.393E-4</v>
      </c>
      <c r="E123" s="555">
        <v>194016.74</v>
      </c>
      <c r="F123" s="555">
        <f t="shared" si="1"/>
        <v>163318</v>
      </c>
      <c r="G123" s="555">
        <v>714191</v>
      </c>
      <c r="H123" s="555"/>
      <c r="I123" s="556">
        <v>0</v>
      </c>
      <c r="J123" s="556">
        <v>498381</v>
      </c>
      <c r="K123" s="556">
        <v>0</v>
      </c>
      <c r="L123" s="555">
        <v>301901</v>
      </c>
      <c r="M123" s="555"/>
      <c r="N123" s="556">
        <v>81204</v>
      </c>
      <c r="O123" s="556">
        <v>575758</v>
      </c>
      <c r="P123" s="556">
        <v>0</v>
      </c>
      <c r="Q123" s="555">
        <v>0</v>
      </c>
      <c r="R123" s="555"/>
      <c r="S123" s="556">
        <v>69591</v>
      </c>
      <c r="T123" s="557">
        <v>92651</v>
      </c>
      <c r="U123" s="557">
        <v>162242</v>
      </c>
    </row>
    <row r="124" spans="1:21" x14ac:dyDescent="0.25">
      <c r="A124" s="552">
        <v>33100</v>
      </c>
      <c r="B124" s="553" t="s">
        <v>912</v>
      </c>
      <c r="C124" s="559">
        <v>3.6050000000000001E-3</v>
      </c>
      <c r="D124" s="559">
        <v>3.4431000000000002E-3</v>
      </c>
      <c r="E124" s="555">
        <v>4501597.08</v>
      </c>
      <c r="F124" s="555">
        <f t="shared" si="1"/>
        <v>4036763</v>
      </c>
      <c r="G124" s="555">
        <v>13285139</v>
      </c>
      <c r="H124" s="555"/>
      <c r="I124" s="556">
        <v>0</v>
      </c>
      <c r="J124" s="556">
        <v>9270712</v>
      </c>
      <c r="K124" s="556">
        <v>0</v>
      </c>
      <c r="L124" s="555">
        <v>1168797</v>
      </c>
      <c r="M124" s="555"/>
      <c r="N124" s="556">
        <v>1510520</v>
      </c>
      <c r="O124" s="556">
        <v>10710044</v>
      </c>
      <c r="P124" s="556">
        <v>0</v>
      </c>
      <c r="Q124" s="555">
        <v>0</v>
      </c>
      <c r="R124" s="555"/>
      <c r="S124" s="556">
        <v>1294501</v>
      </c>
      <c r="T124" s="557">
        <v>366286</v>
      </c>
      <c r="U124" s="557">
        <v>1660788</v>
      </c>
    </row>
    <row r="125" spans="1:21" x14ac:dyDescent="0.25">
      <c r="A125" s="552">
        <v>33105</v>
      </c>
      <c r="B125" s="553" t="s">
        <v>913</v>
      </c>
      <c r="C125" s="559">
        <v>4.281E-4</v>
      </c>
      <c r="D125" s="559">
        <v>4.616E-4</v>
      </c>
      <c r="E125" s="555">
        <v>584918.04</v>
      </c>
      <c r="F125" s="555">
        <f t="shared" si="1"/>
        <v>541190</v>
      </c>
      <c r="G125" s="555">
        <v>1577633</v>
      </c>
      <c r="H125" s="555"/>
      <c r="I125" s="556">
        <v>0</v>
      </c>
      <c r="J125" s="556">
        <v>1100913</v>
      </c>
      <c r="K125" s="556">
        <v>0</v>
      </c>
      <c r="L125" s="555">
        <v>0</v>
      </c>
      <c r="M125" s="555"/>
      <c r="N125" s="556">
        <v>179377</v>
      </c>
      <c r="O125" s="556">
        <v>1271836</v>
      </c>
      <c r="P125" s="556">
        <v>0</v>
      </c>
      <c r="Q125" s="555">
        <v>131062</v>
      </c>
      <c r="R125" s="555"/>
      <c r="S125" s="556">
        <v>153724</v>
      </c>
      <c r="T125" s="557">
        <v>-38261</v>
      </c>
      <c r="U125" s="557">
        <v>115463</v>
      </c>
    </row>
    <row r="126" spans="1:21" x14ac:dyDescent="0.25">
      <c r="A126" s="552">
        <v>33200</v>
      </c>
      <c r="B126" s="553" t="s">
        <v>914</v>
      </c>
      <c r="C126" s="559">
        <v>1.54092E-2</v>
      </c>
      <c r="D126" s="559">
        <v>1.48632E-2</v>
      </c>
      <c r="E126" s="555">
        <v>18774005</v>
      </c>
      <c r="F126" s="555">
        <f t="shared" si="1"/>
        <v>17425929</v>
      </c>
      <c r="G126" s="555">
        <v>56785953</v>
      </c>
      <c r="H126" s="555"/>
      <c r="I126" s="556">
        <v>0</v>
      </c>
      <c r="J126" s="556">
        <v>39626699</v>
      </c>
      <c r="K126" s="556">
        <v>0</v>
      </c>
      <c r="L126" s="555">
        <v>1779102</v>
      </c>
      <c r="M126" s="555"/>
      <c r="N126" s="556">
        <v>6456563</v>
      </c>
      <c r="O126" s="556">
        <v>45778977</v>
      </c>
      <c r="P126" s="556">
        <v>0</v>
      </c>
      <c r="Q126" s="555">
        <v>1064956</v>
      </c>
      <c r="R126" s="555"/>
      <c r="S126" s="556">
        <v>5533213</v>
      </c>
      <c r="T126" s="557">
        <v>111121</v>
      </c>
      <c r="U126" s="557">
        <v>5644334</v>
      </c>
    </row>
    <row r="127" spans="1:21" x14ac:dyDescent="0.25">
      <c r="A127" s="552">
        <v>33202</v>
      </c>
      <c r="B127" s="553" t="s">
        <v>915</v>
      </c>
      <c r="C127" s="559">
        <v>1.5779999999999999E-4</v>
      </c>
      <c r="D127" s="559">
        <v>1.4809999999999999E-4</v>
      </c>
      <c r="E127" s="555">
        <v>173632.84</v>
      </c>
      <c r="F127" s="555">
        <f t="shared" si="1"/>
        <v>173636</v>
      </c>
      <c r="G127" s="555">
        <v>581524</v>
      </c>
      <c r="H127" s="555"/>
      <c r="I127" s="556">
        <v>0</v>
      </c>
      <c r="J127" s="556">
        <v>405803</v>
      </c>
      <c r="K127" s="556">
        <v>0</v>
      </c>
      <c r="L127" s="555">
        <v>62262</v>
      </c>
      <c r="M127" s="555"/>
      <c r="N127" s="556">
        <v>66119</v>
      </c>
      <c r="O127" s="556">
        <v>468806</v>
      </c>
      <c r="P127" s="556">
        <v>0</v>
      </c>
      <c r="Q127" s="555">
        <v>0</v>
      </c>
      <c r="R127" s="555"/>
      <c r="S127" s="556">
        <v>56664</v>
      </c>
      <c r="T127" s="557">
        <v>20604</v>
      </c>
      <c r="U127" s="557">
        <v>77268</v>
      </c>
    </row>
    <row r="128" spans="1:21" x14ac:dyDescent="0.25">
      <c r="A128" s="552">
        <v>33203</v>
      </c>
      <c r="B128" s="553" t="s">
        <v>916</v>
      </c>
      <c r="C128" s="559">
        <v>1.3689999999999999E-4</v>
      </c>
      <c r="D128" s="559">
        <v>1.203E-4</v>
      </c>
      <c r="E128" s="555">
        <v>147123.46</v>
      </c>
      <c r="F128" s="555">
        <f t="shared" si="1"/>
        <v>141042</v>
      </c>
      <c r="G128" s="555">
        <v>504504</v>
      </c>
      <c r="H128" s="555"/>
      <c r="I128" s="556">
        <v>0</v>
      </c>
      <c r="J128" s="556">
        <v>352056</v>
      </c>
      <c r="K128" s="556">
        <v>0</v>
      </c>
      <c r="L128" s="555">
        <v>54077</v>
      </c>
      <c r="M128" s="555"/>
      <c r="N128" s="556">
        <v>57362</v>
      </c>
      <c r="O128" s="556">
        <v>406714</v>
      </c>
      <c r="P128" s="556">
        <v>0</v>
      </c>
      <c r="Q128" s="555">
        <v>0</v>
      </c>
      <c r="R128" s="555"/>
      <c r="S128" s="556">
        <v>49159</v>
      </c>
      <c r="T128" s="557">
        <v>15299</v>
      </c>
      <c r="U128" s="557">
        <v>64458</v>
      </c>
    </row>
    <row r="129" spans="1:21" x14ac:dyDescent="0.25">
      <c r="A129" s="552">
        <v>33204</v>
      </c>
      <c r="B129" s="553" t="s">
        <v>917</v>
      </c>
      <c r="C129" s="559">
        <v>4.1550000000000002E-4</v>
      </c>
      <c r="D129" s="559">
        <v>4.013E-4</v>
      </c>
      <c r="E129" s="555">
        <v>438419.11</v>
      </c>
      <c r="F129" s="555">
        <f t="shared" si="1"/>
        <v>470493</v>
      </c>
      <c r="G129" s="555">
        <v>1531200</v>
      </c>
      <c r="H129" s="555"/>
      <c r="I129" s="556">
        <v>0</v>
      </c>
      <c r="J129" s="556">
        <v>1068511</v>
      </c>
      <c r="K129" s="556">
        <v>0</v>
      </c>
      <c r="L129" s="555">
        <v>0</v>
      </c>
      <c r="M129" s="555"/>
      <c r="N129" s="556">
        <v>174097</v>
      </c>
      <c r="O129" s="556">
        <v>1234403</v>
      </c>
      <c r="P129" s="556">
        <v>0</v>
      </c>
      <c r="Q129" s="555">
        <v>52982</v>
      </c>
      <c r="R129" s="555"/>
      <c r="S129" s="556">
        <v>149200</v>
      </c>
      <c r="T129" s="557">
        <v>-18392</v>
      </c>
      <c r="U129" s="557">
        <v>130808</v>
      </c>
    </row>
    <row r="130" spans="1:21" x14ac:dyDescent="0.25">
      <c r="A130" s="552">
        <v>33205</v>
      </c>
      <c r="B130" s="553" t="s">
        <v>918</v>
      </c>
      <c r="C130" s="559">
        <v>1.2324E-3</v>
      </c>
      <c r="D130" s="559">
        <v>1.2283999999999999E-3</v>
      </c>
      <c r="E130" s="555">
        <v>1619084.14</v>
      </c>
      <c r="F130" s="555">
        <f t="shared" si="1"/>
        <v>1440202</v>
      </c>
      <c r="G130" s="555">
        <v>4541638</v>
      </c>
      <c r="H130" s="555"/>
      <c r="I130" s="556">
        <v>0</v>
      </c>
      <c r="J130" s="556">
        <v>3169272</v>
      </c>
      <c r="K130" s="556">
        <v>0</v>
      </c>
      <c r="L130" s="555">
        <v>94114</v>
      </c>
      <c r="M130" s="555"/>
      <c r="N130" s="556">
        <v>516384</v>
      </c>
      <c r="O130" s="556">
        <v>3661320</v>
      </c>
      <c r="P130" s="556">
        <v>0</v>
      </c>
      <c r="Q130" s="555">
        <v>0</v>
      </c>
      <c r="R130" s="555"/>
      <c r="S130" s="556">
        <v>442536</v>
      </c>
      <c r="T130" s="557">
        <v>28326</v>
      </c>
      <c r="U130" s="557">
        <v>470863</v>
      </c>
    </row>
    <row r="131" spans="1:21" x14ac:dyDescent="0.25">
      <c r="A131" s="552">
        <v>33206</v>
      </c>
      <c r="B131" s="553" t="s">
        <v>919</v>
      </c>
      <c r="C131" s="559">
        <v>1.032E-4</v>
      </c>
      <c r="D131" s="559">
        <v>9.8800000000000003E-5</v>
      </c>
      <c r="E131" s="555">
        <v>120344.65</v>
      </c>
      <c r="F131" s="555">
        <f t="shared" ref="F131:F194" si="2">D131*$F$298</f>
        <v>115835</v>
      </c>
      <c r="G131" s="555">
        <v>380312</v>
      </c>
      <c r="H131" s="555"/>
      <c r="I131" s="556">
        <v>0</v>
      </c>
      <c r="J131" s="556">
        <v>265392</v>
      </c>
      <c r="K131" s="556">
        <v>0</v>
      </c>
      <c r="L131" s="555">
        <v>38984</v>
      </c>
      <c r="M131" s="555"/>
      <c r="N131" s="556">
        <v>43242</v>
      </c>
      <c r="O131" s="556">
        <v>306595</v>
      </c>
      <c r="P131" s="556">
        <v>0</v>
      </c>
      <c r="Q131" s="555">
        <v>0</v>
      </c>
      <c r="R131" s="555"/>
      <c r="S131" s="556">
        <v>37058</v>
      </c>
      <c r="T131" s="557">
        <v>13090</v>
      </c>
      <c r="U131" s="557">
        <v>50148</v>
      </c>
    </row>
    <row r="132" spans="1:21" x14ac:dyDescent="0.25">
      <c r="A132" s="552">
        <v>33207</v>
      </c>
      <c r="B132" s="553" t="s">
        <v>1134</v>
      </c>
      <c r="C132" s="559">
        <v>1.02E-4</v>
      </c>
      <c r="D132" s="559">
        <v>0</v>
      </c>
      <c r="E132" s="555">
        <v>97304.59</v>
      </c>
      <c r="F132" s="555">
        <f t="shared" si="2"/>
        <v>0</v>
      </c>
      <c r="G132" s="555">
        <v>375890</v>
      </c>
      <c r="H132" s="555"/>
      <c r="I132" s="556">
        <v>0</v>
      </c>
      <c r="J132" s="556">
        <v>262306</v>
      </c>
      <c r="K132" s="556">
        <v>0</v>
      </c>
      <c r="L132" s="555">
        <v>407226</v>
      </c>
      <c r="M132" s="555"/>
      <c r="N132" s="556">
        <v>42739</v>
      </c>
      <c r="O132" s="556">
        <v>303030</v>
      </c>
      <c r="P132" s="556">
        <v>0</v>
      </c>
      <c r="Q132" s="555">
        <v>0</v>
      </c>
      <c r="R132" s="555"/>
      <c r="S132" s="556">
        <v>36626.67</v>
      </c>
      <c r="T132" s="557">
        <v>112805</v>
      </c>
      <c r="U132" s="557">
        <v>149432</v>
      </c>
    </row>
    <row r="133" spans="1:21" x14ac:dyDescent="0.25">
      <c r="A133" s="552">
        <v>33208</v>
      </c>
      <c r="B133" s="553" t="s">
        <v>1135</v>
      </c>
      <c r="C133" s="559">
        <v>3.2299999999999999E-5</v>
      </c>
      <c r="D133" s="559">
        <v>0</v>
      </c>
      <c r="E133" s="555">
        <v>32349.87</v>
      </c>
      <c r="F133" s="555">
        <f t="shared" si="2"/>
        <v>0</v>
      </c>
      <c r="G133" s="555">
        <v>119032</v>
      </c>
      <c r="H133" s="555"/>
      <c r="I133" s="556">
        <v>0</v>
      </c>
      <c r="J133" s="556">
        <v>83064</v>
      </c>
      <c r="K133" s="556">
        <v>0</v>
      </c>
      <c r="L133" s="555">
        <v>130158</v>
      </c>
      <c r="M133" s="555"/>
      <c r="N133" s="556">
        <v>13534</v>
      </c>
      <c r="O133" s="556">
        <v>95960</v>
      </c>
      <c r="P133" s="556">
        <v>0</v>
      </c>
      <c r="Q133" s="555">
        <v>0</v>
      </c>
      <c r="R133" s="555"/>
      <c r="S133" s="556">
        <v>11598</v>
      </c>
      <c r="T133" s="557">
        <v>36055</v>
      </c>
      <c r="U133" s="557">
        <v>47653</v>
      </c>
    </row>
    <row r="134" spans="1:21" x14ac:dyDescent="0.25">
      <c r="A134" s="552">
        <v>33209</v>
      </c>
      <c r="B134" s="553" t="s">
        <v>1136</v>
      </c>
      <c r="C134" s="559">
        <v>5.7000000000000003E-5</v>
      </c>
      <c r="D134" s="559">
        <v>0</v>
      </c>
      <c r="E134" s="555">
        <v>55724.23</v>
      </c>
      <c r="F134" s="555">
        <f t="shared" si="2"/>
        <v>0</v>
      </c>
      <c r="G134" s="555">
        <v>210056</v>
      </c>
      <c r="H134" s="555"/>
      <c r="I134" s="556">
        <v>0</v>
      </c>
      <c r="J134" s="556">
        <v>146583</v>
      </c>
      <c r="K134" s="556">
        <v>0</v>
      </c>
      <c r="L134" s="555">
        <v>228623</v>
      </c>
      <c r="M134" s="555"/>
      <c r="N134" s="556">
        <v>23883</v>
      </c>
      <c r="O134" s="556">
        <v>169341</v>
      </c>
      <c r="P134" s="556">
        <v>0</v>
      </c>
      <c r="Q134" s="555">
        <v>0</v>
      </c>
      <c r="R134" s="555"/>
      <c r="S134" s="556">
        <v>20468</v>
      </c>
      <c r="T134" s="557">
        <v>63331</v>
      </c>
      <c r="U134" s="557">
        <v>83798</v>
      </c>
    </row>
    <row r="135" spans="1:21" x14ac:dyDescent="0.25">
      <c r="A135" s="552">
        <v>33300</v>
      </c>
      <c r="B135" s="553" t="s">
        <v>920</v>
      </c>
      <c r="C135" s="559">
        <v>2.2807000000000001E-3</v>
      </c>
      <c r="D135" s="559">
        <v>2.2918999999999999E-3</v>
      </c>
      <c r="E135" s="555">
        <v>2909781.2</v>
      </c>
      <c r="F135" s="555">
        <f t="shared" si="2"/>
        <v>2687072</v>
      </c>
      <c r="G135" s="555">
        <v>8404831</v>
      </c>
      <c r="H135" s="555"/>
      <c r="I135" s="556">
        <v>0</v>
      </c>
      <c r="J135" s="556">
        <v>5865107</v>
      </c>
      <c r="K135" s="556">
        <v>0</v>
      </c>
      <c r="L135" s="555">
        <v>0</v>
      </c>
      <c r="M135" s="555"/>
      <c r="N135" s="556">
        <v>955629</v>
      </c>
      <c r="O135" s="556">
        <v>6775700</v>
      </c>
      <c r="P135" s="556">
        <v>0</v>
      </c>
      <c r="Q135" s="555">
        <v>469350</v>
      </c>
      <c r="R135" s="555"/>
      <c r="S135" s="556">
        <v>818965</v>
      </c>
      <c r="T135" s="557">
        <v>-166302</v>
      </c>
      <c r="U135" s="557">
        <v>652663</v>
      </c>
    </row>
    <row r="136" spans="1:21" x14ac:dyDescent="0.25">
      <c r="A136" s="552">
        <v>33305</v>
      </c>
      <c r="B136" s="553" t="s">
        <v>921</v>
      </c>
      <c r="C136" s="559">
        <v>6.2299999999999996E-4</v>
      </c>
      <c r="D136" s="559">
        <v>6.4959999999999996E-4</v>
      </c>
      <c r="E136" s="555">
        <v>916180.53</v>
      </c>
      <c r="F136" s="555">
        <f t="shared" si="2"/>
        <v>761605</v>
      </c>
      <c r="G136" s="555">
        <v>2295878</v>
      </c>
      <c r="H136" s="555"/>
      <c r="I136" s="556">
        <v>0</v>
      </c>
      <c r="J136" s="556">
        <v>1602123</v>
      </c>
      <c r="K136" s="556">
        <v>0</v>
      </c>
      <c r="L136" s="555">
        <v>0</v>
      </c>
      <c r="M136" s="555"/>
      <c r="N136" s="556">
        <v>261041</v>
      </c>
      <c r="O136" s="556">
        <v>1850862</v>
      </c>
      <c r="P136" s="556">
        <v>0</v>
      </c>
      <c r="Q136" s="555">
        <v>123298</v>
      </c>
      <c r="R136" s="555"/>
      <c r="S136" s="556">
        <v>223710</v>
      </c>
      <c r="T136" s="557">
        <v>-43288</v>
      </c>
      <c r="U136" s="557">
        <v>180422</v>
      </c>
    </row>
    <row r="137" spans="1:21" x14ac:dyDescent="0.25">
      <c r="A137" s="552">
        <v>33400</v>
      </c>
      <c r="B137" s="553" t="s">
        <v>922</v>
      </c>
      <c r="C137" s="559">
        <v>2.0228599999999999E-2</v>
      </c>
      <c r="D137" s="559">
        <v>1.9956600000000001E-2</v>
      </c>
      <c r="E137" s="555">
        <v>25562094</v>
      </c>
      <c r="F137" s="555">
        <f t="shared" si="2"/>
        <v>23397539</v>
      </c>
      <c r="G137" s="555">
        <v>74546396</v>
      </c>
      <c r="H137" s="555"/>
      <c r="I137" s="556">
        <v>0</v>
      </c>
      <c r="J137" s="556">
        <v>52020394</v>
      </c>
      <c r="K137" s="556">
        <v>0</v>
      </c>
      <c r="L137" s="555">
        <v>1953153</v>
      </c>
      <c r="M137" s="555"/>
      <c r="N137" s="556">
        <v>8475925</v>
      </c>
      <c r="O137" s="556">
        <v>60096865</v>
      </c>
      <c r="P137" s="556">
        <v>0</v>
      </c>
      <c r="Q137" s="555">
        <v>0</v>
      </c>
      <c r="R137" s="555"/>
      <c r="S137" s="556">
        <v>7263787</v>
      </c>
      <c r="T137" s="557">
        <v>604806</v>
      </c>
      <c r="U137" s="557">
        <v>7868593</v>
      </c>
    </row>
    <row r="138" spans="1:21" x14ac:dyDescent="0.25">
      <c r="A138" s="552">
        <v>33402</v>
      </c>
      <c r="B138" s="553" t="s">
        <v>923</v>
      </c>
      <c r="C138" s="559">
        <v>1.459E-4</v>
      </c>
      <c r="D138" s="559">
        <v>1.3980000000000001E-4</v>
      </c>
      <c r="E138" s="555">
        <v>145679.1</v>
      </c>
      <c r="F138" s="555">
        <f t="shared" si="2"/>
        <v>163904</v>
      </c>
      <c r="G138" s="555">
        <v>537670</v>
      </c>
      <c r="H138" s="555"/>
      <c r="I138" s="556">
        <v>0</v>
      </c>
      <c r="J138" s="556">
        <v>375200</v>
      </c>
      <c r="K138" s="556">
        <v>0</v>
      </c>
      <c r="L138" s="555">
        <v>41152</v>
      </c>
      <c r="M138" s="555"/>
      <c r="N138" s="556">
        <v>61133</v>
      </c>
      <c r="O138" s="556">
        <v>433452</v>
      </c>
      <c r="P138" s="556">
        <v>0</v>
      </c>
      <c r="Q138" s="555">
        <v>4337</v>
      </c>
      <c r="R138" s="555"/>
      <c r="S138" s="556">
        <v>52391</v>
      </c>
      <c r="T138" s="557">
        <v>13548</v>
      </c>
      <c r="U138" s="557">
        <v>65939</v>
      </c>
    </row>
    <row r="139" spans="1:21" x14ac:dyDescent="0.25">
      <c r="A139" s="552">
        <v>33403</v>
      </c>
      <c r="B139" s="553" t="s">
        <v>924</v>
      </c>
      <c r="C139" s="559">
        <v>0</v>
      </c>
      <c r="D139" s="559">
        <v>0</v>
      </c>
      <c r="E139" s="555"/>
      <c r="F139" s="555">
        <f t="shared" si="2"/>
        <v>0</v>
      </c>
      <c r="G139" s="555">
        <v>0</v>
      </c>
      <c r="H139" s="555"/>
      <c r="I139" s="556">
        <v>0</v>
      </c>
      <c r="J139" s="556">
        <v>0</v>
      </c>
      <c r="K139" s="556">
        <v>0</v>
      </c>
      <c r="L139" s="555">
        <v>0</v>
      </c>
      <c r="M139" s="555"/>
      <c r="N139" s="556">
        <v>0</v>
      </c>
      <c r="O139" s="556">
        <v>0</v>
      </c>
      <c r="P139" s="556">
        <v>0</v>
      </c>
      <c r="Q139" s="555">
        <v>141446</v>
      </c>
      <c r="R139" s="555"/>
      <c r="S139" s="556">
        <v>0</v>
      </c>
      <c r="T139" s="557">
        <v>-50697</v>
      </c>
      <c r="U139" s="557">
        <v>-50697</v>
      </c>
    </row>
    <row r="140" spans="1:21" x14ac:dyDescent="0.25">
      <c r="A140" s="552">
        <v>33405</v>
      </c>
      <c r="B140" s="553" t="s">
        <v>925</v>
      </c>
      <c r="C140" s="559">
        <v>2.0105000000000001E-3</v>
      </c>
      <c r="D140" s="559">
        <v>2.0503000000000001E-3</v>
      </c>
      <c r="E140" s="555">
        <v>2702853.31</v>
      </c>
      <c r="F140" s="555">
        <f t="shared" si="2"/>
        <v>2403815</v>
      </c>
      <c r="G140" s="555">
        <v>7409091</v>
      </c>
      <c r="H140" s="555"/>
      <c r="I140" s="556">
        <v>0</v>
      </c>
      <c r="J140" s="556">
        <v>5170254</v>
      </c>
      <c r="K140" s="556">
        <v>0</v>
      </c>
      <c r="L140" s="555">
        <v>619209</v>
      </c>
      <c r="M140" s="555"/>
      <c r="N140" s="556">
        <v>842414</v>
      </c>
      <c r="O140" s="556">
        <v>5972966</v>
      </c>
      <c r="P140" s="556">
        <v>0</v>
      </c>
      <c r="Q140" s="555">
        <v>39634</v>
      </c>
      <c r="R140" s="555"/>
      <c r="S140" s="556">
        <v>721940</v>
      </c>
      <c r="T140" s="557">
        <v>210960</v>
      </c>
      <c r="U140" s="557">
        <v>932900</v>
      </c>
    </row>
    <row r="141" spans="1:21" x14ac:dyDescent="0.25">
      <c r="A141" s="560">
        <v>33500</v>
      </c>
      <c r="B141" s="553" t="s">
        <v>926</v>
      </c>
      <c r="C141" s="559">
        <v>3.3027E-3</v>
      </c>
      <c r="D141" s="559">
        <v>3.2431000000000001E-3</v>
      </c>
      <c r="E141" s="555">
        <v>4096526.61</v>
      </c>
      <c r="F141" s="555">
        <f t="shared" si="2"/>
        <v>3802279</v>
      </c>
      <c r="G141" s="555">
        <v>12171103</v>
      </c>
      <c r="H141" s="555"/>
      <c r="I141" s="556">
        <v>0</v>
      </c>
      <c r="J141" s="556">
        <v>8493309</v>
      </c>
      <c r="K141" s="556">
        <v>0</v>
      </c>
      <c r="L141" s="555">
        <v>533766</v>
      </c>
      <c r="M141" s="555"/>
      <c r="N141" s="556">
        <v>1383854</v>
      </c>
      <c r="O141" s="556">
        <v>9811945</v>
      </c>
      <c r="P141" s="556">
        <v>0</v>
      </c>
      <c r="Q141" s="555">
        <v>0</v>
      </c>
      <c r="R141" s="555"/>
      <c r="S141" s="556">
        <v>1185950</v>
      </c>
      <c r="T141" s="557">
        <v>175433</v>
      </c>
      <c r="U141" s="557">
        <v>1361383</v>
      </c>
    </row>
    <row r="142" spans="1:21" x14ac:dyDescent="0.25">
      <c r="A142" s="560">
        <v>33501</v>
      </c>
      <c r="B142" s="553" t="s">
        <v>927</v>
      </c>
      <c r="C142" s="559">
        <v>6.86E-5</v>
      </c>
      <c r="D142" s="559">
        <v>6.1099999999999994E-5</v>
      </c>
      <c r="E142" s="555">
        <v>72825.36</v>
      </c>
      <c r="F142" s="555">
        <f t="shared" si="2"/>
        <v>71635</v>
      </c>
      <c r="G142" s="555">
        <v>252805</v>
      </c>
      <c r="H142" s="555"/>
      <c r="I142" s="556">
        <v>0</v>
      </c>
      <c r="J142" s="556">
        <v>176414</v>
      </c>
      <c r="K142" s="556">
        <v>0</v>
      </c>
      <c r="L142" s="555">
        <v>20962</v>
      </c>
      <c r="M142" s="555"/>
      <c r="N142" s="556">
        <v>28744</v>
      </c>
      <c r="O142" s="556">
        <v>203803</v>
      </c>
      <c r="P142" s="556">
        <v>0</v>
      </c>
      <c r="Q142" s="555">
        <v>16475</v>
      </c>
      <c r="R142" s="555"/>
      <c r="S142" s="556">
        <v>24633</v>
      </c>
      <c r="T142" s="557">
        <v>-98</v>
      </c>
      <c r="U142" s="557">
        <v>24535</v>
      </c>
    </row>
    <row r="143" spans="1:21" x14ac:dyDescent="0.25">
      <c r="A143" s="560">
        <v>33600</v>
      </c>
      <c r="B143" s="553" t="s">
        <v>928</v>
      </c>
      <c r="C143" s="559">
        <v>1.0561299999999999E-2</v>
      </c>
      <c r="D143" s="559">
        <v>1.03304E-2</v>
      </c>
      <c r="E143" s="555">
        <v>12906117</v>
      </c>
      <c r="F143" s="555">
        <f t="shared" si="2"/>
        <v>12111579</v>
      </c>
      <c r="G143" s="555">
        <v>38920482</v>
      </c>
      <c r="H143" s="555"/>
      <c r="I143" s="556">
        <v>0</v>
      </c>
      <c r="J143" s="556">
        <v>27159714</v>
      </c>
      <c r="K143" s="556">
        <v>0</v>
      </c>
      <c r="L143" s="555">
        <v>642785</v>
      </c>
      <c r="M143" s="555"/>
      <c r="N143" s="556">
        <v>4425259</v>
      </c>
      <c r="O143" s="556">
        <v>31376418</v>
      </c>
      <c r="P143" s="556">
        <v>0</v>
      </c>
      <c r="Q143" s="555">
        <v>604712</v>
      </c>
      <c r="R143" s="555"/>
      <c r="S143" s="556">
        <v>3792404</v>
      </c>
      <c r="T143" s="557">
        <v>-38686</v>
      </c>
      <c r="U143" s="557">
        <v>3753718</v>
      </c>
    </row>
    <row r="144" spans="1:21" x14ac:dyDescent="0.25">
      <c r="A144" s="552">
        <v>33605</v>
      </c>
      <c r="B144" s="553" t="s">
        <v>929</v>
      </c>
      <c r="C144" s="559">
        <v>1.4997000000000001E-3</v>
      </c>
      <c r="D144" s="559">
        <v>1.5096E-3</v>
      </c>
      <c r="E144" s="555">
        <v>2044222.08</v>
      </c>
      <c r="F144" s="555">
        <f t="shared" si="2"/>
        <v>1769887</v>
      </c>
      <c r="G144" s="555">
        <v>5526691</v>
      </c>
      <c r="H144" s="555"/>
      <c r="I144" s="556">
        <v>0</v>
      </c>
      <c r="J144" s="556">
        <v>3856668</v>
      </c>
      <c r="K144" s="556">
        <v>0</v>
      </c>
      <c r="L144" s="555">
        <v>130303</v>
      </c>
      <c r="M144" s="555"/>
      <c r="N144" s="556">
        <v>628385</v>
      </c>
      <c r="O144" s="556">
        <v>4455438</v>
      </c>
      <c r="P144" s="556">
        <v>0</v>
      </c>
      <c r="Q144" s="555">
        <v>0</v>
      </c>
      <c r="R144" s="555"/>
      <c r="S144" s="556">
        <v>538520</v>
      </c>
      <c r="T144" s="557">
        <v>40500</v>
      </c>
      <c r="U144" s="557">
        <v>579019</v>
      </c>
    </row>
    <row r="145" spans="1:21" x14ac:dyDescent="0.25">
      <c r="A145" s="552">
        <v>33700</v>
      </c>
      <c r="B145" s="553" t="s">
        <v>930</v>
      </c>
      <c r="C145" s="559">
        <v>8.1840000000000005E-4</v>
      </c>
      <c r="D145" s="559">
        <v>8.1209999999999995E-4</v>
      </c>
      <c r="E145" s="555">
        <v>1017503.02</v>
      </c>
      <c r="F145" s="555">
        <f t="shared" si="2"/>
        <v>952123</v>
      </c>
      <c r="G145" s="555">
        <v>3015966</v>
      </c>
      <c r="H145" s="555"/>
      <c r="I145" s="556">
        <v>0</v>
      </c>
      <c r="J145" s="556">
        <v>2104619</v>
      </c>
      <c r="K145" s="556">
        <v>0</v>
      </c>
      <c r="L145" s="555">
        <v>42779</v>
      </c>
      <c r="M145" s="555"/>
      <c r="N145" s="556">
        <v>342915</v>
      </c>
      <c r="O145" s="556">
        <v>2431373</v>
      </c>
      <c r="P145" s="556">
        <v>0</v>
      </c>
      <c r="Q145" s="555">
        <v>0</v>
      </c>
      <c r="R145" s="555"/>
      <c r="S145" s="556">
        <v>293875</v>
      </c>
      <c r="T145" s="557">
        <v>14164</v>
      </c>
      <c r="U145" s="557">
        <v>308040</v>
      </c>
    </row>
    <row r="146" spans="1:21" x14ac:dyDescent="0.25">
      <c r="A146" s="552">
        <v>33800</v>
      </c>
      <c r="B146" s="553" t="s">
        <v>931</v>
      </c>
      <c r="C146" s="559">
        <v>5.754E-4</v>
      </c>
      <c r="D146" s="559">
        <v>5.5900000000000004E-4</v>
      </c>
      <c r="E146" s="555">
        <v>728512.41</v>
      </c>
      <c r="F146" s="555">
        <f t="shared" si="2"/>
        <v>655383</v>
      </c>
      <c r="G146" s="555">
        <v>2120463</v>
      </c>
      <c r="H146" s="555"/>
      <c r="I146" s="556">
        <v>0</v>
      </c>
      <c r="J146" s="556">
        <v>1479714</v>
      </c>
      <c r="K146" s="556">
        <v>0</v>
      </c>
      <c r="L146" s="555">
        <v>71055</v>
      </c>
      <c r="M146" s="555"/>
      <c r="N146" s="556">
        <v>241097</v>
      </c>
      <c r="O146" s="556">
        <v>1709448</v>
      </c>
      <c r="P146" s="556">
        <v>0</v>
      </c>
      <c r="Q146" s="555">
        <v>28755</v>
      </c>
      <c r="R146" s="555"/>
      <c r="S146" s="556">
        <v>206618</v>
      </c>
      <c r="T146" s="557">
        <v>9377</v>
      </c>
      <c r="U146" s="557">
        <v>215994</v>
      </c>
    </row>
    <row r="147" spans="1:21" x14ac:dyDescent="0.25">
      <c r="A147" s="552">
        <v>33900</v>
      </c>
      <c r="B147" s="553" t="s">
        <v>932</v>
      </c>
      <c r="C147" s="559">
        <v>2.9675999999999999E-3</v>
      </c>
      <c r="D147" s="559">
        <v>3.0404E-3</v>
      </c>
      <c r="E147" s="555">
        <v>3731731.74</v>
      </c>
      <c r="F147" s="555">
        <f t="shared" si="2"/>
        <v>3564629</v>
      </c>
      <c r="G147" s="555">
        <v>10936194</v>
      </c>
      <c r="H147" s="555"/>
      <c r="I147" s="556">
        <v>0</v>
      </c>
      <c r="J147" s="556">
        <v>7631557</v>
      </c>
      <c r="K147" s="556">
        <v>0</v>
      </c>
      <c r="L147" s="555">
        <v>0</v>
      </c>
      <c r="M147" s="555"/>
      <c r="N147" s="556">
        <v>1243445</v>
      </c>
      <c r="O147" s="556">
        <v>8816401</v>
      </c>
      <c r="P147" s="556">
        <v>0</v>
      </c>
      <c r="Q147" s="555">
        <v>487731</v>
      </c>
      <c r="R147" s="555"/>
      <c r="S147" s="556">
        <v>1065621</v>
      </c>
      <c r="T147" s="557">
        <v>-148770</v>
      </c>
      <c r="U147" s="557">
        <v>916851</v>
      </c>
    </row>
    <row r="148" spans="1:21" x14ac:dyDescent="0.25">
      <c r="A148" s="552">
        <v>34000</v>
      </c>
      <c r="B148" s="553" t="s">
        <v>933</v>
      </c>
      <c r="C148" s="559">
        <v>1.3382999999999999E-3</v>
      </c>
      <c r="D148" s="559">
        <v>1.3651E-3</v>
      </c>
      <c r="E148" s="555">
        <v>1574249.23</v>
      </c>
      <c r="F148" s="555">
        <f t="shared" si="2"/>
        <v>1600472</v>
      </c>
      <c r="G148" s="555">
        <v>4931900</v>
      </c>
      <c r="H148" s="555"/>
      <c r="I148" s="556">
        <v>0</v>
      </c>
      <c r="J148" s="556">
        <v>3441607</v>
      </c>
      <c r="K148" s="556">
        <v>0</v>
      </c>
      <c r="L148" s="555">
        <v>0</v>
      </c>
      <c r="M148" s="555"/>
      <c r="N148" s="556">
        <v>560757</v>
      </c>
      <c r="O148" s="556">
        <v>3975937</v>
      </c>
      <c r="P148" s="556">
        <v>0</v>
      </c>
      <c r="Q148" s="555">
        <v>382178</v>
      </c>
      <c r="R148" s="555"/>
      <c r="S148" s="556">
        <v>480563</v>
      </c>
      <c r="T148" s="557">
        <v>-120388</v>
      </c>
      <c r="U148" s="557">
        <v>360175</v>
      </c>
    </row>
    <row r="149" spans="1:21" x14ac:dyDescent="0.25">
      <c r="A149" s="552">
        <v>34100</v>
      </c>
      <c r="B149" s="553" t="s">
        <v>934</v>
      </c>
      <c r="C149" s="559">
        <v>3.0440399999999999E-2</v>
      </c>
      <c r="D149" s="559">
        <v>3.0515500000000001E-2</v>
      </c>
      <c r="E149" s="555">
        <v>36382921</v>
      </c>
      <c r="F149" s="555">
        <f t="shared" si="2"/>
        <v>35777016</v>
      </c>
      <c r="G149" s="555">
        <v>112178901</v>
      </c>
      <c r="H149" s="555"/>
      <c r="I149" s="556">
        <v>0</v>
      </c>
      <c r="J149" s="556">
        <v>78281324</v>
      </c>
      <c r="K149" s="556">
        <v>0</v>
      </c>
      <c r="L149" s="555">
        <v>538259</v>
      </c>
      <c r="M149" s="555"/>
      <c r="N149" s="556">
        <v>12754741</v>
      </c>
      <c r="O149" s="556">
        <v>90434958</v>
      </c>
      <c r="P149" s="556">
        <v>0</v>
      </c>
      <c r="Q149" s="555">
        <v>1921980</v>
      </c>
      <c r="R149" s="555"/>
      <c r="S149" s="556">
        <v>10930691</v>
      </c>
      <c r="T149" s="557">
        <v>-339480</v>
      </c>
      <c r="U149" s="557">
        <v>10591211</v>
      </c>
    </row>
    <row r="150" spans="1:21" x14ac:dyDescent="0.25">
      <c r="A150" s="552">
        <v>34105</v>
      </c>
      <c r="B150" s="553" t="s">
        <v>935</v>
      </c>
      <c r="C150" s="559">
        <v>2.6684E-3</v>
      </c>
      <c r="D150" s="559">
        <v>2.6936E-3</v>
      </c>
      <c r="E150" s="555">
        <v>3420790.86</v>
      </c>
      <c r="F150" s="555">
        <f t="shared" si="2"/>
        <v>3158033</v>
      </c>
      <c r="G150" s="555">
        <v>9833582</v>
      </c>
      <c r="H150" s="555"/>
      <c r="I150" s="556">
        <v>0</v>
      </c>
      <c r="J150" s="556">
        <v>6862127</v>
      </c>
      <c r="K150" s="556">
        <v>0</v>
      </c>
      <c r="L150" s="555">
        <v>0</v>
      </c>
      <c r="M150" s="555"/>
      <c r="N150" s="556">
        <v>1118078</v>
      </c>
      <c r="O150" s="556">
        <v>7927512</v>
      </c>
      <c r="P150" s="556">
        <v>0</v>
      </c>
      <c r="Q150" s="555">
        <v>134124</v>
      </c>
      <c r="R150" s="555"/>
      <c r="S150" s="556">
        <v>958182</v>
      </c>
      <c r="T150" s="557">
        <v>-42696</v>
      </c>
      <c r="U150" s="557">
        <v>915486</v>
      </c>
    </row>
    <row r="151" spans="1:21" x14ac:dyDescent="0.25">
      <c r="A151" s="552">
        <v>34200</v>
      </c>
      <c r="B151" s="553" t="s">
        <v>936</v>
      </c>
      <c r="C151" s="559">
        <v>1.3571E-3</v>
      </c>
      <c r="D151" s="559">
        <v>1.4737999999999999E-3</v>
      </c>
      <c r="E151" s="555">
        <v>1792150.78</v>
      </c>
      <c r="F151" s="555">
        <f t="shared" si="2"/>
        <v>1727914</v>
      </c>
      <c r="G151" s="555">
        <v>5001182</v>
      </c>
      <c r="H151" s="555"/>
      <c r="I151" s="556">
        <v>0</v>
      </c>
      <c r="J151" s="556">
        <v>3489954</v>
      </c>
      <c r="K151" s="556">
        <v>0</v>
      </c>
      <c r="L151" s="555">
        <v>0</v>
      </c>
      <c r="M151" s="555"/>
      <c r="N151" s="556">
        <v>568634</v>
      </c>
      <c r="O151" s="556">
        <v>4031789</v>
      </c>
      <c r="P151" s="556">
        <v>0</v>
      </c>
      <c r="Q151" s="555">
        <v>773223</v>
      </c>
      <c r="R151" s="555"/>
      <c r="S151" s="556">
        <v>487314</v>
      </c>
      <c r="T151" s="557">
        <v>-241937</v>
      </c>
      <c r="U151" s="557">
        <v>245377</v>
      </c>
    </row>
    <row r="152" spans="1:21" x14ac:dyDescent="0.25">
      <c r="A152" s="552">
        <v>34205</v>
      </c>
      <c r="B152" s="553" t="s">
        <v>937</v>
      </c>
      <c r="C152" s="559">
        <v>4.8720000000000002E-4</v>
      </c>
      <c r="D152" s="559">
        <v>5.1329999999999995E-4</v>
      </c>
      <c r="E152" s="555">
        <v>693867.12</v>
      </c>
      <c r="F152" s="555">
        <f t="shared" si="2"/>
        <v>601804</v>
      </c>
      <c r="G152" s="555">
        <v>1795428</v>
      </c>
      <c r="H152" s="555"/>
      <c r="I152" s="556">
        <v>0</v>
      </c>
      <c r="J152" s="556">
        <v>1252896</v>
      </c>
      <c r="K152" s="556">
        <v>0</v>
      </c>
      <c r="L152" s="555">
        <v>0</v>
      </c>
      <c r="M152" s="555"/>
      <c r="N152" s="556">
        <v>204140</v>
      </c>
      <c r="O152" s="556">
        <v>1447416</v>
      </c>
      <c r="P152" s="556">
        <v>0</v>
      </c>
      <c r="Q152" s="555">
        <v>58985</v>
      </c>
      <c r="R152" s="555"/>
      <c r="S152" s="556">
        <v>174946</v>
      </c>
      <c r="T152" s="557">
        <v>-17167</v>
      </c>
      <c r="U152" s="557">
        <v>157779</v>
      </c>
    </row>
    <row r="153" spans="1:21" x14ac:dyDescent="0.25">
      <c r="A153" s="552">
        <v>34220</v>
      </c>
      <c r="B153" s="553" t="s">
        <v>938</v>
      </c>
      <c r="C153" s="559">
        <v>1.0639E-3</v>
      </c>
      <c r="D153" s="559">
        <v>1.0799E-3</v>
      </c>
      <c r="E153" s="555">
        <v>1457514.37</v>
      </c>
      <c r="F153" s="555">
        <f t="shared" si="2"/>
        <v>1266098</v>
      </c>
      <c r="G153" s="555">
        <v>3920682</v>
      </c>
      <c r="H153" s="555"/>
      <c r="I153" s="556">
        <v>0</v>
      </c>
      <c r="J153" s="556">
        <v>2735953</v>
      </c>
      <c r="K153" s="556">
        <v>0</v>
      </c>
      <c r="L153" s="555">
        <v>21787</v>
      </c>
      <c r="M153" s="555"/>
      <c r="N153" s="556">
        <v>445782</v>
      </c>
      <c r="O153" s="556">
        <v>3160726</v>
      </c>
      <c r="P153" s="556">
        <v>0</v>
      </c>
      <c r="Q153" s="555">
        <v>19129</v>
      </c>
      <c r="R153" s="555"/>
      <c r="S153" s="556">
        <v>382031</v>
      </c>
      <c r="T153" s="557">
        <v>-821</v>
      </c>
      <c r="U153" s="557">
        <v>381209</v>
      </c>
    </row>
    <row r="154" spans="1:21" x14ac:dyDescent="0.25">
      <c r="A154" s="552">
        <v>34230</v>
      </c>
      <c r="B154" s="553" t="s">
        <v>939</v>
      </c>
      <c r="C154" s="559">
        <v>4.9819999999999997E-4</v>
      </c>
      <c r="D154" s="559">
        <v>5.0379999999999999E-4</v>
      </c>
      <c r="E154" s="555">
        <v>644112</v>
      </c>
      <c r="F154" s="555">
        <f t="shared" si="2"/>
        <v>590666</v>
      </c>
      <c r="G154" s="555">
        <v>1835966</v>
      </c>
      <c r="H154" s="555"/>
      <c r="I154" s="556">
        <v>0</v>
      </c>
      <c r="J154" s="556">
        <v>1281184</v>
      </c>
      <c r="K154" s="556">
        <v>0</v>
      </c>
      <c r="L154" s="555">
        <v>1854</v>
      </c>
      <c r="M154" s="555"/>
      <c r="N154" s="556">
        <v>208749</v>
      </c>
      <c r="O154" s="556">
        <v>1480095</v>
      </c>
      <c r="P154" s="556">
        <v>0</v>
      </c>
      <c r="Q154" s="555">
        <v>11862</v>
      </c>
      <c r="R154" s="555"/>
      <c r="S154" s="556">
        <v>178896</v>
      </c>
      <c r="T154" s="557">
        <v>-2621</v>
      </c>
      <c r="U154" s="557">
        <v>176275</v>
      </c>
    </row>
    <row r="155" spans="1:21" x14ac:dyDescent="0.25">
      <c r="A155" s="552">
        <v>34300</v>
      </c>
      <c r="B155" s="553" t="s">
        <v>940</v>
      </c>
      <c r="C155" s="559">
        <v>7.0587000000000002E-3</v>
      </c>
      <c r="D155" s="559">
        <v>7.3239999999999998E-3</v>
      </c>
      <c r="E155" s="555">
        <v>8337589</v>
      </c>
      <c r="F155" s="555">
        <f t="shared" si="2"/>
        <v>8586812</v>
      </c>
      <c r="G155" s="555">
        <v>26012707</v>
      </c>
      <c r="H155" s="555"/>
      <c r="I155" s="556">
        <v>0</v>
      </c>
      <c r="J155" s="556">
        <v>18152336</v>
      </c>
      <c r="K155" s="556">
        <v>0</v>
      </c>
      <c r="L155" s="555">
        <v>1199977</v>
      </c>
      <c r="M155" s="555"/>
      <c r="N155" s="556">
        <v>2957645</v>
      </c>
      <c r="O155" s="556">
        <v>20970593</v>
      </c>
      <c r="P155" s="556">
        <v>0</v>
      </c>
      <c r="Q155" s="555">
        <v>1572835</v>
      </c>
      <c r="R155" s="555"/>
      <c r="S155" s="556">
        <v>2534673</v>
      </c>
      <c r="T155" s="557">
        <v>-5589</v>
      </c>
      <c r="U155" s="557">
        <v>2529084</v>
      </c>
    </row>
    <row r="156" spans="1:21" x14ac:dyDescent="0.25">
      <c r="A156" s="552">
        <v>34400</v>
      </c>
      <c r="B156" s="553" t="s">
        <v>941</v>
      </c>
      <c r="C156" s="559">
        <v>2.9892E-3</v>
      </c>
      <c r="D156" s="559">
        <v>2.9393000000000002E-3</v>
      </c>
      <c r="E156" s="555">
        <v>3653683.44</v>
      </c>
      <c r="F156" s="555">
        <f t="shared" si="2"/>
        <v>3446097</v>
      </c>
      <c r="G156" s="555">
        <v>11015794</v>
      </c>
      <c r="H156" s="555"/>
      <c r="I156" s="556">
        <v>0</v>
      </c>
      <c r="J156" s="556">
        <v>7687104</v>
      </c>
      <c r="K156" s="556">
        <v>0</v>
      </c>
      <c r="L156" s="555">
        <v>117147</v>
      </c>
      <c r="M156" s="555"/>
      <c r="N156" s="556">
        <v>1252496</v>
      </c>
      <c r="O156" s="556">
        <v>8880572</v>
      </c>
      <c r="P156" s="556">
        <v>0</v>
      </c>
      <c r="Q156" s="555">
        <v>151027</v>
      </c>
      <c r="R156" s="555"/>
      <c r="S156" s="556">
        <v>1073377</v>
      </c>
      <c r="T156" s="557">
        <v>-21681</v>
      </c>
      <c r="U156" s="557">
        <v>1051696</v>
      </c>
    </row>
    <row r="157" spans="1:21" x14ac:dyDescent="0.25">
      <c r="A157" s="552">
        <v>34405</v>
      </c>
      <c r="B157" s="553" t="s">
        <v>942</v>
      </c>
      <c r="C157" s="559">
        <v>6.3489999999999998E-4</v>
      </c>
      <c r="D157" s="559">
        <v>6.2859999999999999E-4</v>
      </c>
      <c r="E157" s="555">
        <v>778436.5</v>
      </c>
      <c r="F157" s="555">
        <f t="shared" si="2"/>
        <v>736984</v>
      </c>
      <c r="G157" s="555">
        <v>2339732</v>
      </c>
      <c r="H157" s="555"/>
      <c r="I157" s="556">
        <v>0</v>
      </c>
      <c r="J157" s="556">
        <v>1632725</v>
      </c>
      <c r="K157" s="556">
        <v>0</v>
      </c>
      <c r="L157" s="555">
        <v>8562</v>
      </c>
      <c r="M157" s="555"/>
      <c r="N157" s="556">
        <v>266028</v>
      </c>
      <c r="O157" s="556">
        <v>1886216</v>
      </c>
      <c r="P157" s="556">
        <v>0</v>
      </c>
      <c r="Q157" s="555">
        <v>38616</v>
      </c>
      <c r="R157" s="555"/>
      <c r="S157" s="556">
        <v>227983</v>
      </c>
      <c r="T157" s="557">
        <v>-11469</v>
      </c>
      <c r="U157" s="557">
        <v>216514</v>
      </c>
    </row>
    <row r="158" spans="1:21" x14ac:dyDescent="0.25">
      <c r="A158" s="552">
        <v>34500</v>
      </c>
      <c r="B158" s="553" t="s">
        <v>943</v>
      </c>
      <c r="C158" s="559">
        <v>5.0030999999999999E-3</v>
      </c>
      <c r="D158" s="559">
        <v>4.9475999999999999E-3</v>
      </c>
      <c r="E158" s="555">
        <v>6273096</v>
      </c>
      <c r="F158" s="555">
        <f t="shared" si="2"/>
        <v>5800671</v>
      </c>
      <c r="G158" s="555">
        <v>18437414</v>
      </c>
      <c r="H158" s="555"/>
      <c r="I158" s="556">
        <v>0</v>
      </c>
      <c r="J158" s="556">
        <v>12866102</v>
      </c>
      <c r="K158" s="556">
        <v>0</v>
      </c>
      <c r="L158" s="555">
        <v>201036</v>
      </c>
      <c r="M158" s="555"/>
      <c r="N158" s="556">
        <v>2096334</v>
      </c>
      <c r="O158" s="556">
        <v>14863640</v>
      </c>
      <c r="P158" s="556">
        <v>0</v>
      </c>
      <c r="Q158" s="555">
        <v>162991</v>
      </c>
      <c r="R158" s="555"/>
      <c r="S158" s="556">
        <v>1796538</v>
      </c>
      <c r="T158" s="557">
        <v>-2731</v>
      </c>
      <c r="U158" s="557">
        <v>1793807</v>
      </c>
    </row>
    <row r="159" spans="1:21" x14ac:dyDescent="0.25">
      <c r="A159" s="552">
        <v>34501</v>
      </c>
      <c r="B159" s="553" t="s">
        <v>944</v>
      </c>
      <c r="C159" s="559">
        <v>6.2399999999999999E-5</v>
      </c>
      <c r="D159" s="559">
        <v>5.6799999999999998E-5</v>
      </c>
      <c r="E159" s="555">
        <v>70213.41</v>
      </c>
      <c r="F159" s="555">
        <f t="shared" si="2"/>
        <v>66594</v>
      </c>
      <c r="G159" s="555">
        <v>229956</v>
      </c>
      <c r="H159" s="555"/>
      <c r="I159" s="556">
        <v>0</v>
      </c>
      <c r="J159" s="556">
        <v>160469</v>
      </c>
      <c r="K159" s="556">
        <v>0</v>
      </c>
      <c r="L159" s="555">
        <v>17052</v>
      </c>
      <c r="M159" s="555"/>
      <c r="N159" s="556">
        <v>26146</v>
      </c>
      <c r="O159" s="556">
        <v>185383</v>
      </c>
      <c r="P159" s="556">
        <v>0</v>
      </c>
      <c r="Q159" s="555">
        <v>0</v>
      </c>
      <c r="R159" s="555"/>
      <c r="S159" s="556">
        <v>22407</v>
      </c>
      <c r="T159" s="557">
        <v>4728</v>
      </c>
      <c r="U159" s="557">
        <v>27135</v>
      </c>
    </row>
    <row r="160" spans="1:21" x14ac:dyDescent="0.25">
      <c r="A160" s="552">
        <v>34505</v>
      </c>
      <c r="B160" s="553" t="s">
        <v>945</v>
      </c>
      <c r="C160" s="559">
        <v>6.1439999999999997E-4</v>
      </c>
      <c r="D160" s="559">
        <v>6.3920000000000003E-4</v>
      </c>
      <c r="E160" s="555">
        <v>868346.32</v>
      </c>
      <c r="F160" s="555">
        <f t="shared" si="2"/>
        <v>749412</v>
      </c>
      <c r="G160" s="555">
        <v>2264186</v>
      </c>
      <c r="H160" s="555"/>
      <c r="I160" s="556">
        <v>0</v>
      </c>
      <c r="J160" s="556">
        <v>1580007</v>
      </c>
      <c r="K160" s="556">
        <v>0</v>
      </c>
      <c r="L160" s="555">
        <v>128321</v>
      </c>
      <c r="M160" s="555"/>
      <c r="N160" s="556">
        <v>257438</v>
      </c>
      <c r="O160" s="556">
        <v>1825312</v>
      </c>
      <c r="P160" s="556">
        <v>0</v>
      </c>
      <c r="Q160" s="555">
        <v>32443</v>
      </c>
      <c r="R160" s="555"/>
      <c r="S160" s="556">
        <v>220622</v>
      </c>
      <c r="T160" s="557">
        <v>37006</v>
      </c>
      <c r="U160" s="557">
        <v>257628</v>
      </c>
    </row>
    <row r="161" spans="1:21" x14ac:dyDescent="0.25">
      <c r="A161" s="552">
        <v>34600</v>
      </c>
      <c r="B161" s="553" t="s">
        <v>946</v>
      </c>
      <c r="C161" s="559">
        <v>1.2436000000000001E-3</v>
      </c>
      <c r="D161" s="559">
        <v>1.2791E-3</v>
      </c>
      <c r="E161" s="555">
        <v>1615408.69</v>
      </c>
      <c r="F161" s="555">
        <f t="shared" si="2"/>
        <v>1499644</v>
      </c>
      <c r="G161" s="555">
        <v>4582912</v>
      </c>
      <c r="H161" s="555"/>
      <c r="I161" s="556">
        <v>0</v>
      </c>
      <c r="J161" s="556">
        <v>3198074</v>
      </c>
      <c r="K161" s="556">
        <v>0</v>
      </c>
      <c r="L161" s="555">
        <v>0</v>
      </c>
      <c r="M161" s="555"/>
      <c r="N161" s="556">
        <v>521077</v>
      </c>
      <c r="O161" s="556">
        <v>3694594</v>
      </c>
      <c r="P161" s="556">
        <v>0</v>
      </c>
      <c r="Q161" s="555">
        <v>266780</v>
      </c>
      <c r="R161" s="555"/>
      <c r="S161" s="556">
        <v>446558</v>
      </c>
      <c r="T161" s="557">
        <v>-86274</v>
      </c>
      <c r="U161" s="557">
        <v>360284</v>
      </c>
    </row>
    <row r="162" spans="1:21" x14ac:dyDescent="0.25">
      <c r="A162" s="552">
        <v>34605</v>
      </c>
      <c r="B162" s="553" t="s">
        <v>947</v>
      </c>
      <c r="C162" s="559">
        <v>2.7379999999999999E-4</v>
      </c>
      <c r="D162" s="559">
        <v>2.8800000000000001E-4</v>
      </c>
      <c r="E162" s="555">
        <v>379420.12</v>
      </c>
      <c r="F162" s="555">
        <f t="shared" si="2"/>
        <v>337657</v>
      </c>
      <c r="G162" s="555">
        <v>1009007</v>
      </c>
      <c r="H162" s="555"/>
      <c r="I162" s="556">
        <v>0</v>
      </c>
      <c r="J162" s="556">
        <v>704111</v>
      </c>
      <c r="K162" s="556">
        <v>0</v>
      </c>
      <c r="L162" s="555">
        <v>16514</v>
      </c>
      <c r="M162" s="555"/>
      <c r="N162" s="556">
        <v>114724</v>
      </c>
      <c r="O162" s="556">
        <v>813429</v>
      </c>
      <c r="P162" s="556">
        <v>0</v>
      </c>
      <c r="Q162" s="555">
        <v>33698</v>
      </c>
      <c r="R162" s="555"/>
      <c r="S162" s="556">
        <v>98317</v>
      </c>
      <c r="T162" s="557">
        <v>-3416</v>
      </c>
      <c r="U162" s="557">
        <v>94902</v>
      </c>
    </row>
    <row r="163" spans="1:21" x14ac:dyDescent="0.25">
      <c r="A163" s="552">
        <v>34700</v>
      </c>
      <c r="B163" s="553" t="s">
        <v>948</v>
      </c>
      <c r="C163" s="559">
        <v>3.3221000000000001E-3</v>
      </c>
      <c r="D163" s="559">
        <v>3.1803999999999999E-3</v>
      </c>
      <c r="E163" s="555">
        <v>3685532.41</v>
      </c>
      <c r="F163" s="555">
        <f t="shared" si="2"/>
        <v>3728768</v>
      </c>
      <c r="G163" s="555">
        <v>12242596</v>
      </c>
      <c r="H163" s="555"/>
      <c r="I163" s="556">
        <v>0</v>
      </c>
      <c r="J163" s="556">
        <v>8543199</v>
      </c>
      <c r="K163" s="556">
        <v>0</v>
      </c>
      <c r="L163" s="555">
        <v>308122</v>
      </c>
      <c r="M163" s="555"/>
      <c r="N163" s="556">
        <v>1391983</v>
      </c>
      <c r="O163" s="556">
        <v>9869580</v>
      </c>
      <c r="P163" s="556">
        <v>0</v>
      </c>
      <c r="Q163" s="555">
        <v>0</v>
      </c>
      <c r="R163" s="555"/>
      <c r="S163" s="556">
        <v>1192916</v>
      </c>
      <c r="T163" s="557">
        <v>94021</v>
      </c>
      <c r="U163" s="557">
        <v>1286937</v>
      </c>
    </row>
    <row r="164" spans="1:21" x14ac:dyDescent="0.25">
      <c r="A164" s="552">
        <v>34800</v>
      </c>
      <c r="B164" s="553" t="s">
        <v>949</v>
      </c>
      <c r="C164" s="559">
        <v>3.2420000000000002E-4</v>
      </c>
      <c r="D164" s="559">
        <v>3.4600000000000001E-4</v>
      </c>
      <c r="E164" s="555">
        <v>481973.59</v>
      </c>
      <c r="F164" s="555">
        <f t="shared" si="2"/>
        <v>405658</v>
      </c>
      <c r="G164" s="555">
        <v>1194741</v>
      </c>
      <c r="H164" s="555"/>
      <c r="I164" s="556">
        <v>0</v>
      </c>
      <c r="J164" s="556">
        <v>833721</v>
      </c>
      <c r="K164" s="556">
        <v>0</v>
      </c>
      <c r="L164" s="555">
        <v>45910</v>
      </c>
      <c r="M164" s="555"/>
      <c r="N164" s="556">
        <v>135842</v>
      </c>
      <c r="O164" s="556">
        <v>963161</v>
      </c>
      <c r="P164" s="556">
        <v>0</v>
      </c>
      <c r="Q164" s="555">
        <v>35397</v>
      </c>
      <c r="R164" s="555"/>
      <c r="S164" s="556">
        <v>116415</v>
      </c>
      <c r="T164" s="557">
        <v>6650</v>
      </c>
      <c r="U164" s="557">
        <v>123065</v>
      </c>
    </row>
    <row r="165" spans="1:21" x14ac:dyDescent="0.25">
      <c r="A165" s="552">
        <v>34900</v>
      </c>
      <c r="B165" s="553" t="s">
        <v>950</v>
      </c>
      <c r="C165" s="559">
        <v>7.5664E-3</v>
      </c>
      <c r="D165" s="559">
        <v>7.5374999999999999E-3</v>
      </c>
      <c r="E165" s="555">
        <v>9208221</v>
      </c>
      <c r="F165" s="555">
        <f t="shared" si="2"/>
        <v>8837124</v>
      </c>
      <c r="G165" s="555">
        <v>27883682</v>
      </c>
      <c r="H165" s="555"/>
      <c r="I165" s="556">
        <v>0</v>
      </c>
      <c r="J165" s="556">
        <v>19457951</v>
      </c>
      <c r="K165" s="556">
        <v>0</v>
      </c>
      <c r="L165" s="555">
        <v>0</v>
      </c>
      <c r="M165" s="555"/>
      <c r="N165" s="556">
        <v>3170375</v>
      </c>
      <c r="O165" s="556">
        <v>22478912</v>
      </c>
      <c r="P165" s="556">
        <v>0</v>
      </c>
      <c r="Q165" s="555">
        <v>1120403</v>
      </c>
      <c r="R165" s="555"/>
      <c r="S165" s="556">
        <v>2716981</v>
      </c>
      <c r="T165" s="557">
        <v>-389582</v>
      </c>
      <c r="U165" s="557">
        <v>2327399</v>
      </c>
    </row>
    <row r="166" spans="1:21" x14ac:dyDescent="0.25">
      <c r="A166" s="552">
        <v>34901</v>
      </c>
      <c r="B166" s="553" t="s">
        <v>951</v>
      </c>
      <c r="C166" s="559">
        <v>1.8100000000000001E-4</v>
      </c>
      <c r="D166" s="559">
        <v>1.94E-4</v>
      </c>
      <c r="E166" s="555">
        <v>197728.97</v>
      </c>
      <c r="F166" s="555">
        <f t="shared" si="2"/>
        <v>227450</v>
      </c>
      <c r="G166" s="555">
        <v>667021</v>
      </c>
      <c r="H166" s="555"/>
      <c r="I166" s="556">
        <v>0</v>
      </c>
      <c r="J166" s="556">
        <v>465464</v>
      </c>
      <c r="K166" s="556">
        <v>0</v>
      </c>
      <c r="L166" s="555">
        <v>15942</v>
      </c>
      <c r="M166" s="555"/>
      <c r="N166" s="556">
        <v>75840</v>
      </c>
      <c r="O166" s="556">
        <v>537730</v>
      </c>
      <c r="P166" s="556">
        <v>0</v>
      </c>
      <c r="Q166" s="555">
        <v>79149</v>
      </c>
      <c r="R166" s="555"/>
      <c r="S166" s="556">
        <v>64994</v>
      </c>
      <c r="T166" s="557">
        <v>-16211</v>
      </c>
      <c r="U166" s="557">
        <v>48783</v>
      </c>
    </row>
    <row r="167" spans="1:21" x14ac:dyDescent="0.25">
      <c r="A167" s="552">
        <v>34903</v>
      </c>
      <c r="B167" s="553" t="s">
        <v>952</v>
      </c>
      <c r="C167" s="559">
        <v>2.02E-5</v>
      </c>
      <c r="D167" s="559">
        <v>2.1100000000000001E-5</v>
      </c>
      <c r="E167" s="555">
        <v>27776.1</v>
      </c>
      <c r="F167" s="555">
        <f t="shared" si="2"/>
        <v>24738</v>
      </c>
      <c r="G167" s="555">
        <v>74441</v>
      </c>
      <c r="H167" s="555"/>
      <c r="I167" s="556">
        <v>0</v>
      </c>
      <c r="J167" s="556">
        <v>51947</v>
      </c>
      <c r="K167" s="556">
        <v>0</v>
      </c>
      <c r="L167" s="555">
        <v>0</v>
      </c>
      <c r="M167" s="555"/>
      <c r="N167" s="556">
        <v>8464</v>
      </c>
      <c r="O167" s="556">
        <v>60012</v>
      </c>
      <c r="P167" s="556">
        <v>0</v>
      </c>
      <c r="Q167" s="555">
        <v>5190</v>
      </c>
      <c r="R167" s="555"/>
      <c r="S167" s="556">
        <v>7254</v>
      </c>
      <c r="T167" s="557">
        <v>-1695</v>
      </c>
      <c r="U167" s="557">
        <v>5559</v>
      </c>
    </row>
    <row r="168" spans="1:21" x14ac:dyDescent="0.25">
      <c r="A168" s="552">
        <v>34905</v>
      </c>
      <c r="B168" s="553" t="s">
        <v>953</v>
      </c>
      <c r="C168" s="559">
        <v>7.8080000000000001E-4</v>
      </c>
      <c r="D168" s="559">
        <v>7.7410000000000001E-4</v>
      </c>
      <c r="E168" s="555">
        <v>1006022.46</v>
      </c>
      <c r="F168" s="555">
        <f t="shared" si="2"/>
        <v>907571</v>
      </c>
      <c r="G168" s="555">
        <v>2877403</v>
      </c>
      <c r="H168" s="555"/>
      <c r="I168" s="556">
        <v>0</v>
      </c>
      <c r="J168" s="556">
        <v>2007926</v>
      </c>
      <c r="K168" s="556">
        <v>0</v>
      </c>
      <c r="L168" s="555">
        <v>44230</v>
      </c>
      <c r="M168" s="555"/>
      <c r="N168" s="556">
        <v>327161</v>
      </c>
      <c r="O168" s="556">
        <v>2319668</v>
      </c>
      <c r="P168" s="556">
        <v>0</v>
      </c>
      <c r="Q168" s="555">
        <v>11118</v>
      </c>
      <c r="R168" s="555"/>
      <c r="S168" s="556">
        <v>280374</v>
      </c>
      <c r="T168" s="557">
        <v>8267</v>
      </c>
      <c r="U168" s="557">
        <v>288641</v>
      </c>
    </row>
    <row r="169" spans="1:21" x14ac:dyDescent="0.25">
      <c r="A169" s="552">
        <v>34910</v>
      </c>
      <c r="B169" s="553" t="s">
        <v>954</v>
      </c>
      <c r="C169" s="559">
        <v>2.2087999999999999E-3</v>
      </c>
      <c r="D169" s="559">
        <v>2.1080999999999999E-3</v>
      </c>
      <c r="E169" s="555">
        <v>2645614.48</v>
      </c>
      <c r="F169" s="555">
        <f t="shared" si="2"/>
        <v>2471581</v>
      </c>
      <c r="G169" s="555">
        <v>8139865</v>
      </c>
      <c r="H169" s="555"/>
      <c r="I169" s="556">
        <v>0</v>
      </c>
      <c r="J169" s="556">
        <v>5680208</v>
      </c>
      <c r="K169" s="556">
        <v>0</v>
      </c>
      <c r="L169" s="555">
        <v>396744</v>
      </c>
      <c r="M169" s="555"/>
      <c r="N169" s="556">
        <v>925503</v>
      </c>
      <c r="O169" s="556">
        <v>6562093</v>
      </c>
      <c r="P169" s="556">
        <v>0</v>
      </c>
      <c r="Q169" s="555">
        <v>0</v>
      </c>
      <c r="R169" s="555"/>
      <c r="S169" s="556">
        <v>793147</v>
      </c>
      <c r="T169" s="557">
        <v>116607</v>
      </c>
      <c r="U169" s="557">
        <v>909754</v>
      </c>
    </row>
    <row r="170" spans="1:21" x14ac:dyDescent="0.25">
      <c r="A170" s="552">
        <v>35000</v>
      </c>
      <c r="B170" s="553" t="s">
        <v>955</v>
      </c>
      <c r="C170" s="559">
        <v>1.5065E-3</v>
      </c>
      <c r="D170" s="559">
        <v>1.4383E-3</v>
      </c>
      <c r="E170" s="555">
        <v>1827848.07</v>
      </c>
      <c r="F170" s="555">
        <f t="shared" si="2"/>
        <v>1686293</v>
      </c>
      <c r="G170" s="555">
        <v>5551751</v>
      </c>
      <c r="H170" s="555"/>
      <c r="I170" s="556">
        <v>0</v>
      </c>
      <c r="J170" s="556">
        <v>3874155</v>
      </c>
      <c r="K170" s="556">
        <v>0</v>
      </c>
      <c r="L170" s="555">
        <v>232786</v>
      </c>
      <c r="M170" s="555"/>
      <c r="N170" s="556">
        <v>631234</v>
      </c>
      <c r="O170" s="556">
        <v>4475640</v>
      </c>
      <c r="P170" s="556">
        <v>0</v>
      </c>
      <c r="Q170" s="555">
        <v>0</v>
      </c>
      <c r="R170" s="555"/>
      <c r="S170" s="556">
        <v>540962</v>
      </c>
      <c r="T170" s="557">
        <v>64652</v>
      </c>
      <c r="U170" s="557">
        <v>605613</v>
      </c>
    </row>
    <row r="171" spans="1:21" x14ac:dyDescent="0.25">
      <c r="A171" s="552">
        <v>35005</v>
      </c>
      <c r="B171" s="553" t="s">
        <v>956</v>
      </c>
      <c r="C171" s="559">
        <v>7.2009999999999999E-4</v>
      </c>
      <c r="D171" s="559">
        <v>7.0680000000000005E-4</v>
      </c>
      <c r="E171" s="555">
        <v>887702</v>
      </c>
      <c r="F171" s="555">
        <f t="shared" si="2"/>
        <v>828667</v>
      </c>
      <c r="G171" s="555">
        <v>2653711</v>
      </c>
      <c r="H171" s="555"/>
      <c r="I171" s="556">
        <v>0</v>
      </c>
      <c r="J171" s="556">
        <v>1851828</v>
      </c>
      <c r="K171" s="556">
        <v>0</v>
      </c>
      <c r="L171" s="555">
        <v>172497</v>
      </c>
      <c r="M171" s="555"/>
      <c r="N171" s="556">
        <v>301727</v>
      </c>
      <c r="O171" s="556">
        <v>2139335</v>
      </c>
      <c r="P171" s="556">
        <v>0</v>
      </c>
      <c r="Q171" s="555">
        <v>0</v>
      </c>
      <c r="R171" s="555"/>
      <c r="S171" s="556">
        <v>258577</v>
      </c>
      <c r="T171" s="557">
        <v>58608</v>
      </c>
      <c r="U171" s="557">
        <v>317186</v>
      </c>
    </row>
    <row r="172" spans="1:21" x14ac:dyDescent="0.25">
      <c r="A172" s="552">
        <v>35100</v>
      </c>
      <c r="B172" s="553" t="s">
        <v>957</v>
      </c>
      <c r="C172" s="559">
        <v>1.2978699999999999E-2</v>
      </c>
      <c r="D172" s="559">
        <v>1.2519300000000001E-2</v>
      </c>
      <c r="E172" s="555">
        <v>15078278</v>
      </c>
      <c r="F172" s="555">
        <f t="shared" si="2"/>
        <v>14677892</v>
      </c>
      <c r="G172" s="555">
        <v>47829079</v>
      </c>
      <c r="H172" s="555"/>
      <c r="I172" s="556">
        <v>0</v>
      </c>
      <c r="J172" s="556">
        <v>33376362</v>
      </c>
      <c r="K172" s="556">
        <v>0</v>
      </c>
      <c r="L172" s="555">
        <v>921286</v>
      </c>
      <c r="M172" s="555"/>
      <c r="N172" s="556">
        <v>5438166</v>
      </c>
      <c r="O172" s="556">
        <v>38558238</v>
      </c>
      <c r="P172" s="556">
        <v>0</v>
      </c>
      <c r="Q172" s="555">
        <v>2355396</v>
      </c>
      <c r="R172" s="555"/>
      <c r="S172" s="556">
        <v>4660456</v>
      </c>
      <c r="T172" s="557">
        <v>-589024</v>
      </c>
      <c r="U172" s="557">
        <v>4071432</v>
      </c>
    </row>
    <row r="173" spans="1:21" x14ac:dyDescent="0.25">
      <c r="A173" s="552">
        <v>35105</v>
      </c>
      <c r="B173" s="553" t="s">
        <v>958</v>
      </c>
      <c r="C173" s="559">
        <v>1.2034000000000001E-3</v>
      </c>
      <c r="D173" s="559">
        <v>1.2099000000000001E-3</v>
      </c>
      <c r="E173" s="555">
        <v>1445577.22</v>
      </c>
      <c r="F173" s="555">
        <f t="shared" si="2"/>
        <v>1418512</v>
      </c>
      <c r="G173" s="555">
        <v>4434767</v>
      </c>
      <c r="H173" s="555"/>
      <c r="I173" s="556">
        <v>0</v>
      </c>
      <c r="J173" s="556">
        <v>3094695</v>
      </c>
      <c r="K173" s="556">
        <v>0</v>
      </c>
      <c r="L173" s="555">
        <v>147158</v>
      </c>
      <c r="M173" s="555"/>
      <c r="N173" s="556">
        <v>504233</v>
      </c>
      <c r="O173" s="556">
        <v>3575164</v>
      </c>
      <c r="P173" s="556">
        <v>0</v>
      </c>
      <c r="Q173" s="555">
        <v>85254</v>
      </c>
      <c r="R173" s="555"/>
      <c r="S173" s="556">
        <v>432123</v>
      </c>
      <c r="T173" s="557">
        <v>29129</v>
      </c>
      <c r="U173" s="557">
        <v>461252</v>
      </c>
    </row>
    <row r="174" spans="1:21" x14ac:dyDescent="0.25">
      <c r="A174" s="552">
        <v>35106</v>
      </c>
      <c r="B174" s="553" t="s">
        <v>959</v>
      </c>
      <c r="C174" s="559">
        <v>2.6420000000000003E-4</v>
      </c>
      <c r="D174" s="559">
        <v>2.253E-4</v>
      </c>
      <c r="E174" s="555">
        <v>276283.87</v>
      </c>
      <c r="F174" s="555">
        <f t="shared" si="2"/>
        <v>264146</v>
      </c>
      <c r="G174" s="555">
        <v>973629</v>
      </c>
      <c r="H174" s="555"/>
      <c r="I174" s="556">
        <v>0</v>
      </c>
      <c r="J174" s="556">
        <v>679424</v>
      </c>
      <c r="K174" s="556">
        <v>0</v>
      </c>
      <c r="L174" s="555">
        <v>224115</v>
      </c>
      <c r="M174" s="555"/>
      <c r="N174" s="556">
        <v>110702</v>
      </c>
      <c r="O174" s="556">
        <v>784908</v>
      </c>
      <c r="P174" s="556">
        <v>0</v>
      </c>
      <c r="Q174" s="555">
        <v>0</v>
      </c>
      <c r="R174" s="555"/>
      <c r="S174" s="556">
        <v>94870</v>
      </c>
      <c r="T174" s="557">
        <v>70570</v>
      </c>
      <c r="U174" s="557">
        <v>165440</v>
      </c>
    </row>
    <row r="175" spans="1:21" x14ac:dyDescent="0.25">
      <c r="A175" s="552">
        <v>35200</v>
      </c>
      <c r="B175" s="553" t="s">
        <v>960</v>
      </c>
      <c r="C175" s="559">
        <v>5.6170000000000005E-4</v>
      </c>
      <c r="D175" s="559">
        <v>5.5780000000000001E-4</v>
      </c>
      <c r="E175" s="555">
        <v>769336.43</v>
      </c>
      <c r="F175" s="555">
        <f t="shared" si="2"/>
        <v>653976</v>
      </c>
      <c r="G175" s="555">
        <v>2069976</v>
      </c>
      <c r="H175" s="555"/>
      <c r="I175" s="556">
        <v>0</v>
      </c>
      <c r="J175" s="556">
        <v>1444482</v>
      </c>
      <c r="K175" s="556">
        <v>0</v>
      </c>
      <c r="L175" s="555">
        <v>154551</v>
      </c>
      <c r="M175" s="555"/>
      <c r="N175" s="556">
        <v>235356</v>
      </c>
      <c r="O175" s="556">
        <v>1668747</v>
      </c>
      <c r="P175" s="556">
        <v>0</v>
      </c>
      <c r="Q175" s="555">
        <v>0</v>
      </c>
      <c r="R175" s="555"/>
      <c r="S175" s="556">
        <v>201698</v>
      </c>
      <c r="T175" s="557">
        <v>50213</v>
      </c>
      <c r="U175" s="557">
        <v>251911</v>
      </c>
    </row>
    <row r="176" spans="1:21" x14ac:dyDescent="0.25">
      <c r="A176" s="552">
        <v>35300</v>
      </c>
      <c r="B176" s="553" t="s">
        <v>961</v>
      </c>
      <c r="C176" s="559">
        <v>3.6911000000000001E-3</v>
      </c>
      <c r="D176" s="559">
        <v>3.5834E-3</v>
      </c>
      <c r="E176" s="555">
        <v>4437134</v>
      </c>
      <c r="F176" s="555">
        <f t="shared" si="2"/>
        <v>4201254</v>
      </c>
      <c r="G176" s="555">
        <v>13602434</v>
      </c>
      <c r="H176" s="555"/>
      <c r="I176" s="556">
        <v>0</v>
      </c>
      <c r="J176" s="556">
        <v>9492129</v>
      </c>
      <c r="K176" s="556">
        <v>0</v>
      </c>
      <c r="L176" s="555">
        <v>281449</v>
      </c>
      <c r="M176" s="555"/>
      <c r="N176" s="556">
        <v>1546597</v>
      </c>
      <c r="O176" s="556">
        <v>10965837</v>
      </c>
      <c r="P176" s="556">
        <v>0</v>
      </c>
      <c r="Q176" s="555">
        <v>383892</v>
      </c>
      <c r="R176" s="555"/>
      <c r="S176" s="556">
        <v>1325419</v>
      </c>
      <c r="T176" s="557">
        <v>-59632</v>
      </c>
      <c r="U176" s="557">
        <v>1265787</v>
      </c>
    </row>
    <row r="177" spans="1:21" x14ac:dyDescent="0.25">
      <c r="A177" s="552">
        <v>35305</v>
      </c>
      <c r="B177" s="553" t="s">
        <v>962</v>
      </c>
      <c r="C177" s="559">
        <v>1.3343999999999999E-3</v>
      </c>
      <c r="D177" s="559">
        <v>1.2343E-3</v>
      </c>
      <c r="E177" s="555">
        <v>1740433.06</v>
      </c>
      <c r="F177" s="555">
        <f t="shared" si="2"/>
        <v>1447119</v>
      </c>
      <c r="G177" s="555">
        <v>4917528</v>
      </c>
      <c r="H177" s="555"/>
      <c r="I177" s="556">
        <v>0</v>
      </c>
      <c r="J177" s="556">
        <v>3431578</v>
      </c>
      <c r="K177" s="556">
        <v>0</v>
      </c>
      <c r="L177" s="555">
        <v>581596</v>
      </c>
      <c r="M177" s="555"/>
      <c r="N177" s="556">
        <v>559123</v>
      </c>
      <c r="O177" s="556">
        <v>3964350</v>
      </c>
      <c r="P177" s="556">
        <v>0</v>
      </c>
      <c r="Q177" s="555">
        <v>0</v>
      </c>
      <c r="R177" s="555"/>
      <c r="S177" s="556">
        <v>479163</v>
      </c>
      <c r="T177" s="557">
        <v>170398</v>
      </c>
      <c r="U177" s="557">
        <v>649561</v>
      </c>
    </row>
    <row r="178" spans="1:21" x14ac:dyDescent="0.25">
      <c r="A178" s="552">
        <v>35400</v>
      </c>
      <c r="B178" s="553" t="s">
        <v>963</v>
      </c>
      <c r="C178" s="559">
        <v>3.1616999999999999E-3</v>
      </c>
      <c r="D178" s="559">
        <v>3.1524999999999999E-3</v>
      </c>
      <c r="E178" s="555">
        <v>3993070.81</v>
      </c>
      <c r="F178" s="555">
        <f t="shared" si="2"/>
        <v>3696058</v>
      </c>
      <c r="G178" s="555">
        <v>11651491</v>
      </c>
      <c r="H178" s="555"/>
      <c r="I178" s="556">
        <v>0</v>
      </c>
      <c r="J178" s="556">
        <v>8130710</v>
      </c>
      <c r="K178" s="556">
        <v>0</v>
      </c>
      <c r="L178" s="555">
        <v>40049</v>
      </c>
      <c r="M178" s="555"/>
      <c r="N178" s="556">
        <v>1324774</v>
      </c>
      <c r="O178" s="556">
        <v>9393050</v>
      </c>
      <c r="P178" s="556">
        <v>0</v>
      </c>
      <c r="Q178" s="555">
        <v>61107</v>
      </c>
      <c r="R178" s="555"/>
      <c r="S178" s="556">
        <v>1135319</v>
      </c>
      <c r="T178" s="557">
        <v>-10808</v>
      </c>
      <c r="U178" s="557">
        <v>1124511</v>
      </c>
    </row>
    <row r="179" spans="1:21" x14ac:dyDescent="0.25">
      <c r="A179" s="552">
        <v>35401</v>
      </c>
      <c r="B179" s="553" t="s">
        <v>964</v>
      </c>
      <c r="C179" s="559">
        <v>3.29E-5</v>
      </c>
      <c r="D179" s="559">
        <v>2.3099999999999999E-5</v>
      </c>
      <c r="E179" s="555">
        <v>36606.06</v>
      </c>
      <c r="F179" s="555">
        <f t="shared" si="2"/>
        <v>27083</v>
      </c>
      <c r="G179" s="555">
        <v>121243</v>
      </c>
      <c r="H179" s="555"/>
      <c r="I179" s="556">
        <v>0</v>
      </c>
      <c r="J179" s="556">
        <v>84606</v>
      </c>
      <c r="K179" s="556">
        <v>0</v>
      </c>
      <c r="L179" s="555">
        <v>37633</v>
      </c>
      <c r="M179" s="555"/>
      <c r="N179" s="556">
        <v>13785</v>
      </c>
      <c r="O179" s="556">
        <v>97742</v>
      </c>
      <c r="P179" s="556">
        <v>0</v>
      </c>
      <c r="Q179" s="555">
        <v>29847</v>
      </c>
      <c r="R179" s="555"/>
      <c r="S179" s="556">
        <v>11814</v>
      </c>
      <c r="T179" s="557">
        <v>-273</v>
      </c>
      <c r="U179" s="557">
        <v>11540</v>
      </c>
    </row>
    <row r="180" spans="1:21" x14ac:dyDescent="0.25">
      <c r="A180" s="552">
        <v>35402</v>
      </c>
      <c r="B180" s="553" t="s">
        <v>965</v>
      </c>
      <c r="C180" s="559">
        <v>0</v>
      </c>
      <c r="D180" s="559">
        <v>0</v>
      </c>
      <c r="E180" s="555">
        <v>0</v>
      </c>
      <c r="F180" s="555">
        <f t="shared" si="2"/>
        <v>0</v>
      </c>
      <c r="G180" s="555">
        <v>0</v>
      </c>
      <c r="H180" s="555"/>
      <c r="I180" s="556">
        <v>0</v>
      </c>
      <c r="J180" s="556">
        <v>0</v>
      </c>
      <c r="K180" s="556">
        <v>0</v>
      </c>
      <c r="L180" s="555">
        <v>0</v>
      </c>
      <c r="M180" s="555"/>
      <c r="N180" s="556">
        <v>0</v>
      </c>
      <c r="O180" s="556">
        <v>0</v>
      </c>
      <c r="P180" s="556">
        <v>0</v>
      </c>
      <c r="Q180" s="555">
        <v>350079</v>
      </c>
      <c r="R180" s="555"/>
      <c r="S180" s="556">
        <v>0</v>
      </c>
      <c r="T180" s="557">
        <v>-125476</v>
      </c>
      <c r="U180" s="557">
        <v>-125476</v>
      </c>
    </row>
    <row r="181" spans="1:21" x14ac:dyDescent="0.25">
      <c r="A181" s="552">
        <v>35405</v>
      </c>
      <c r="B181" s="553" t="s">
        <v>966</v>
      </c>
      <c r="C181" s="559">
        <v>1.0586E-3</v>
      </c>
      <c r="D181" s="559">
        <v>1.0824999999999999E-3</v>
      </c>
      <c r="E181" s="555">
        <v>1316983</v>
      </c>
      <c r="F181" s="555">
        <f t="shared" si="2"/>
        <v>1269146</v>
      </c>
      <c r="G181" s="555">
        <v>3901151</v>
      </c>
      <c r="H181" s="555"/>
      <c r="I181" s="556">
        <v>0</v>
      </c>
      <c r="J181" s="556">
        <v>2722323</v>
      </c>
      <c r="K181" s="556">
        <v>0</v>
      </c>
      <c r="L181" s="555">
        <v>34812</v>
      </c>
      <c r="M181" s="555"/>
      <c r="N181" s="556">
        <v>443561</v>
      </c>
      <c r="O181" s="556">
        <v>3144980</v>
      </c>
      <c r="P181" s="556">
        <v>0</v>
      </c>
      <c r="Q181" s="555">
        <v>116470</v>
      </c>
      <c r="R181" s="555"/>
      <c r="S181" s="556">
        <v>380127</v>
      </c>
      <c r="T181" s="557">
        <v>-19786</v>
      </c>
      <c r="U181" s="557">
        <v>360342</v>
      </c>
    </row>
    <row r="182" spans="1:21" x14ac:dyDescent="0.25">
      <c r="A182" s="552">
        <v>35500</v>
      </c>
      <c r="B182" s="553" t="s">
        <v>967</v>
      </c>
      <c r="C182" s="559">
        <v>4.3539E-3</v>
      </c>
      <c r="D182" s="559">
        <v>4.2193999999999999E-3</v>
      </c>
      <c r="E182" s="555">
        <v>5196638.03</v>
      </c>
      <c r="F182" s="555">
        <f t="shared" si="2"/>
        <v>4946914</v>
      </c>
      <c r="G182" s="555">
        <v>16044984</v>
      </c>
      <c r="H182" s="555"/>
      <c r="I182" s="556">
        <v>0</v>
      </c>
      <c r="J182" s="556">
        <v>11196602</v>
      </c>
      <c r="K182" s="556">
        <v>0</v>
      </c>
      <c r="L182" s="555">
        <v>334399</v>
      </c>
      <c r="M182" s="555"/>
      <c r="N182" s="556">
        <v>1824315</v>
      </c>
      <c r="O182" s="556">
        <v>12934941</v>
      </c>
      <c r="P182" s="556">
        <v>0</v>
      </c>
      <c r="Q182" s="555">
        <v>350209</v>
      </c>
      <c r="R182" s="555"/>
      <c r="S182" s="556">
        <v>1563420</v>
      </c>
      <c r="T182" s="557">
        <v>-32892</v>
      </c>
      <c r="U182" s="557">
        <v>1530529</v>
      </c>
    </row>
    <row r="183" spans="1:21" x14ac:dyDescent="0.25">
      <c r="A183" s="552">
        <v>35600</v>
      </c>
      <c r="B183" s="553" t="s">
        <v>968</v>
      </c>
      <c r="C183" s="559">
        <v>1.6930999999999999E-3</v>
      </c>
      <c r="D183" s="559">
        <v>1.7045999999999999E-3</v>
      </c>
      <c r="E183" s="555">
        <v>2104870.38</v>
      </c>
      <c r="F183" s="555">
        <f t="shared" si="2"/>
        <v>1998509</v>
      </c>
      <c r="G183" s="555">
        <v>6239409</v>
      </c>
      <c r="H183" s="555"/>
      <c r="I183" s="556">
        <v>0</v>
      </c>
      <c r="J183" s="556">
        <v>4354020</v>
      </c>
      <c r="K183" s="556">
        <v>0</v>
      </c>
      <c r="L183" s="555">
        <v>0</v>
      </c>
      <c r="M183" s="555"/>
      <c r="N183" s="556">
        <v>709421</v>
      </c>
      <c r="O183" s="556">
        <v>5030007</v>
      </c>
      <c r="P183" s="556">
        <v>0</v>
      </c>
      <c r="Q183" s="555">
        <v>263576</v>
      </c>
      <c r="R183" s="555"/>
      <c r="S183" s="556">
        <v>607967</v>
      </c>
      <c r="T183" s="557">
        <v>-88424</v>
      </c>
      <c r="U183" s="557">
        <v>519543</v>
      </c>
    </row>
    <row r="184" spans="1:21" x14ac:dyDescent="0.25">
      <c r="A184" s="552">
        <v>35700</v>
      </c>
      <c r="B184" s="553" t="s">
        <v>969</v>
      </c>
      <c r="C184" s="559">
        <v>1.0131000000000001E-3</v>
      </c>
      <c r="D184" s="559">
        <v>9.9299999999999996E-4</v>
      </c>
      <c r="E184" s="555">
        <v>1228275</v>
      </c>
      <c r="F184" s="555">
        <f t="shared" si="2"/>
        <v>1164214</v>
      </c>
      <c r="G184" s="555">
        <v>3733474</v>
      </c>
      <c r="H184" s="555"/>
      <c r="I184" s="556">
        <v>0</v>
      </c>
      <c r="J184" s="556">
        <v>2605314</v>
      </c>
      <c r="K184" s="556">
        <v>0</v>
      </c>
      <c r="L184" s="555">
        <v>45346</v>
      </c>
      <c r="M184" s="555"/>
      <c r="N184" s="556">
        <v>424496</v>
      </c>
      <c r="O184" s="556">
        <v>3009805</v>
      </c>
      <c r="P184" s="556">
        <v>0</v>
      </c>
      <c r="Q184" s="555">
        <v>91061</v>
      </c>
      <c r="R184" s="555"/>
      <c r="S184" s="556">
        <v>363789</v>
      </c>
      <c r="T184" s="557">
        <v>-20077</v>
      </c>
      <c r="U184" s="557">
        <v>343712</v>
      </c>
    </row>
    <row r="185" spans="1:21" x14ac:dyDescent="0.25">
      <c r="A185" s="552">
        <v>35800</v>
      </c>
      <c r="B185" s="553" t="s">
        <v>970</v>
      </c>
      <c r="C185" s="559">
        <v>1.4509E-3</v>
      </c>
      <c r="D185" s="559">
        <v>1.4760999999999999E-3</v>
      </c>
      <c r="E185" s="555">
        <v>1917302.98</v>
      </c>
      <c r="F185" s="555">
        <f t="shared" si="2"/>
        <v>1730611</v>
      </c>
      <c r="G185" s="555">
        <v>5346854</v>
      </c>
      <c r="H185" s="555"/>
      <c r="I185" s="556">
        <v>0</v>
      </c>
      <c r="J185" s="556">
        <v>3731172</v>
      </c>
      <c r="K185" s="556">
        <v>0</v>
      </c>
      <c r="L185" s="555">
        <v>0</v>
      </c>
      <c r="M185" s="555"/>
      <c r="N185" s="556">
        <v>607937</v>
      </c>
      <c r="O185" s="556">
        <v>4310458</v>
      </c>
      <c r="P185" s="556">
        <v>0</v>
      </c>
      <c r="Q185" s="555">
        <v>122391</v>
      </c>
      <c r="R185" s="555"/>
      <c r="S185" s="556">
        <v>520996</v>
      </c>
      <c r="T185" s="557">
        <v>-40634</v>
      </c>
      <c r="U185" s="557">
        <v>480362</v>
      </c>
    </row>
    <row r="186" spans="1:21" x14ac:dyDescent="0.25">
      <c r="A186" s="552">
        <v>35805</v>
      </c>
      <c r="B186" s="553" t="s">
        <v>971</v>
      </c>
      <c r="C186" s="559">
        <v>1.796E-4</v>
      </c>
      <c r="D186" s="559">
        <v>2.028E-4</v>
      </c>
      <c r="E186" s="555">
        <v>289392.39</v>
      </c>
      <c r="F186" s="555">
        <f t="shared" si="2"/>
        <v>237767</v>
      </c>
      <c r="G186" s="555">
        <v>661862</v>
      </c>
      <c r="H186" s="555"/>
      <c r="I186" s="556">
        <v>0</v>
      </c>
      <c r="J186" s="556">
        <v>461864</v>
      </c>
      <c r="K186" s="556">
        <v>0</v>
      </c>
      <c r="L186" s="555">
        <v>0</v>
      </c>
      <c r="M186" s="555"/>
      <c r="N186" s="556">
        <v>75254</v>
      </c>
      <c r="O186" s="556">
        <v>533571</v>
      </c>
      <c r="P186" s="556">
        <v>0</v>
      </c>
      <c r="Q186" s="555">
        <v>67663</v>
      </c>
      <c r="R186" s="555"/>
      <c r="S186" s="556">
        <v>64492</v>
      </c>
      <c r="T186" s="557">
        <v>-20249</v>
      </c>
      <c r="U186" s="557">
        <v>44243</v>
      </c>
    </row>
    <row r="187" spans="1:21" x14ac:dyDescent="0.25">
      <c r="A187" s="552">
        <v>35900</v>
      </c>
      <c r="B187" s="553" t="s">
        <v>972</v>
      </c>
      <c r="C187" s="559">
        <v>2.5831999999999999E-3</v>
      </c>
      <c r="D187" s="559">
        <v>2.5674999999999999E-3</v>
      </c>
      <c r="E187" s="555">
        <v>3097391.03</v>
      </c>
      <c r="F187" s="555">
        <f t="shared" si="2"/>
        <v>3010191</v>
      </c>
      <c r="G187" s="555">
        <v>9519603</v>
      </c>
      <c r="H187" s="555"/>
      <c r="I187" s="556">
        <v>0</v>
      </c>
      <c r="J187" s="556">
        <v>6643024</v>
      </c>
      <c r="K187" s="556">
        <v>0</v>
      </c>
      <c r="L187" s="555">
        <v>0</v>
      </c>
      <c r="M187" s="555"/>
      <c r="N187" s="556">
        <v>1082379</v>
      </c>
      <c r="O187" s="556">
        <v>7674393</v>
      </c>
      <c r="P187" s="556">
        <v>0</v>
      </c>
      <c r="Q187" s="555">
        <v>468139</v>
      </c>
      <c r="R187" s="555"/>
      <c r="S187" s="556">
        <v>927588</v>
      </c>
      <c r="T187" s="557">
        <v>-162753</v>
      </c>
      <c r="U187" s="557">
        <v>764835</v>
      </c>
    </row>
    <row r="188" spans="1:21" x14ac:dyDescent="0.25">
      <c r="A188" s="552">
        <v>35905</v>
      </c>
      <c r="B188" s="553" t="s">
        <v>973</v>
      </c>
      <c r="C188" s="559">
        <v>3.6640000000000002E-4</v>
      </c>
      <c r="D188" s="559">
        <v>3.7520000000000001E-4</v>
      </c>
      <c r="E188" s="555">
        <v>523530.19</v>
      </c>
      <c r="F188" s="555">
        <f t="shared" si="2"/>
        <v>439892</v>
      </c>
      <c r="G188" s="555">
        <v>1350257</v>
      </c>
      <c r="H188" s="555"/>
      <c r="I188" s="556">
        <v>0</v>
      </c>
      <c r="J188" s="556">
        <v>942244</v>
      </c>
      <c r="K188" s="556">
        <v>0</v>
      </c>
      <c r="L188" s="555">
        <v>25106</v>
      </c>
      <c r="M188" s="555"/>
      <c r="N188" s="556">
        <v>153524</v>
      </c>
      <c r="O188" s="556">
        <v>1088533</v>
      </c>
      <c r="P188" s="556">
        <v>0</v>
      </c>
      <c r="Q188" s="555">
        <v>0</v>
      </c>
      <c r="R188" s="555"/>
      <c r="S188" s="556">
        <v>131569</v>
      </c>
      <c r="T188" s="557">
        <v>8147</v>
      </c>
      <c r="U188" s="557">
        <v>139715</v>
      </c>
    </row>
    <row r="189" spans="1:21" x14ac:dyDescent="0.25">
      <c r="A189" s="552">
        <v>36000</v>
      </c>
      <c r="B189" s="553" t="s">
        <v>974</v>
      </c>
      <c r="C189" s="559">
        <v>5.6787200000000003E-2</v>
      </c>
      <c r="D189" s="559">
        <v>5.6976400000000003E-2</v>
      </c>
      <c r="E189" s="555">
        <v>65859709</v>
      </c>
      <c r="F189" s="555">
        <f t="shared" si="2"/>
        <v>66800334</v>
      </c>
      <c r="G189" s="555">
        <v>209272076</v>
      </c>
      <c r="H189" s="555"/>
      <c r="I189" s="556">
        <v>0</v>
      </c>
      <c r="J189" s="556">
        <v>146035440</v>
      </c>
      <c r="K189" s="556">
        <v>0</v>
      </c>
      <c r="L189" s="555">
        <v>0</v>
      </c>
      <c r="M189" s="555"/>
      <c r="N189" s="556">
        <v>23794234</v>
      </c>
      <c r="O189" s="556">
        <v>168708297</v>
      </c>
      <c r="P189" s="556">
        <v>0</v>
      </c>
      <c r="Q189" s="555">
        <v>7912438</v>
      </c>
      <c r="R189" s="555"/>
      <c r="S189" s="556">
        <v>20391432</v>
      </c>
      <c r="T189" s="557">
        <v>-2398800</v>
      </c>
      <c r="U189" s="557">
        <v>17992631</v>
      </c>
    </row>
    <row r="190" spans="1:21" x14ac:dyDescent="0.25">
      <c r="A190" s="552">
        <v>36001</v>
      </c>
      <c r="B190" s="553" t="s">
        <v>975</v>
      </c>
      <c r="C190" s="559">
        <v>3.4600000000000001E-5</v>
      </c>
      <c r="D190" s="559">
        <v>5.2599999999999998E-5</v>
      </c>
      <c r="E190" s="555">
        <v>40955.89</v>
      </c>
      <c r="F190" s="555">
        <f t="shared" si="2"/>
        <v>61669</v>
      </c>
      <c r="G190" s="555">
        <v>127508</v>
      </c>
      <c r="H190" s="555"/>
      <c r="I190" s="556">
        <v>0</v>
      </c>
      <c r="J190" s="556">
        <v>88978</v>
      </c>
      <c r="K190" s="556">
        <v>0</v>
      </c>
      <c r="L190" s="555">
        <v>0</v>
      </c>
      <c r="M190" s="555"/>
      <c r="N190" s="556">
        <v>14498</v>
      </c>
      <c r="O190" s="556">
        <v>102793</v>
      </c>
      <c r="P190" s="556">
        <v>0</v>
      </c>
      <c r="Q190" s="555">
        <v>110740</v>
      </c>
      <c r="R190" s="555"/>
      <c r="S190" s="556">
        <v>12424</v>
      </c>
      <c r="T190" s="557">
        <v>-33313</v>
      </c>
      <c r="U190" s="557">
        <v>-20889</v>
      </c>
    </row>
    <row r="191" spans="1:21" x14ac:dyDescent="0.25">
      <c r="A191" s="552">
        <v>36002</v>
      </c>
      <c r="B191" s="553" t="s">
        <v>976</v>
      </c>
      <c r="C191" s="559">
        <v>2.019E-4</v>
      </c>
      <c r="D191" s="559">
        <v>2.0680000000000001E-4</v>
      </c>
      <c r="E191" s="555">
        <v>223910.35</v>
      </c>
      <c r="F191" s="555">
        <f t="shared" si="2"/>
        <v>242457</v>
      </c>
      <c r="G191" s="555">
        <v>744041</v>
      </c>
      <c r="H191" s="555"/>
      <c r="I191" s="556">
        <v>0</v>
      </c>
      <c r="J191" s="556">
        <v>519211</v>
      </c>
      <c r="K191" s="556">
        <v>0</v>
      </c>
      <c r="L191" s="555">
        <v>95536</v>
      </c>
      <c r="M191" s="555"/>
      <c r="N191" s="556">
        <v>84598</v>
      </c>
      <c r="O191" s="556">
        <v>599822</v>
      </c>
      <c r="P191" s="556">
        <v>0</v>
      </c>
      <c r="Q191" s="555">
        <v>45014</v>
      </c>
      <c r="R191" s="555"/>
      <c r="S191" s="556">
        <v>72499</v>
      </c>
      <c r="T191" s="557">
        <v>21773</v>
      </c>
      <c r="U191" s="557">
        <v>94272</v>
      </c>
    </row>
    <row r="192" spans="1:21" x14ac:dyDescent="0.25">
      <c r="A192" s="552">
        <v>36003</v>
      </c>
      <c r="B192" s="553" t="s">
        <v>977</v>
      </c>
      <c r="C192" s="559">
        <v>4.4470000000000002E-4</v>
      </c>
      <c r="D192" s="559">
        <v>4.3379999999999997E-4</v>
      </c>
      <c r="E192" s="555">
        <v>437160.13</v>
      </c>
      <c r="F192" s="555">
        <f t="shared" si="2"/>
        <v>508596</v>
      </c>
      <c r="G192" s="555">
        <v>1638808</v>
      </c>
      <c r="H192" s="555"/>
      <c r="I192" s="556">
        <v>0</v>
      </c>
      <c r="J192" s="556">
        <v>1143602</v>
      </c>
      <c r="K192" s="556">
        <v>0</v>
      </c>
      <c r="L192" s="555">
        <v>11062</v>
      </c>
      <c r="M192" s="555"/>
      <c r="N192" s="556">
        <v>186332</v>
      </c>
      <c r="O192" s="556">
        <v>1321153</v>
      </c>
      <c r="P192" s="556">
        <v>0</v>
      </c>
      <c r="Q192" s="555">
        <v>51168</v>
      </c>
      <c r="R192" s="555"/>
      <c r="S192" s="556">
        <v>159685</v>
      </c>
      <c r="T192" s="557">
        <v>-10209</v>
      </c>
      <c r="U192" s="557">
        <v>149476</v>
      </c>
    </row>
    <row r="193" spans="1:21" x14ac:dyDescent="0.25">
      <c r="A193" s="552">
        <v>36004</v>
      </c>
      <c r="B193" s="553" t="s">
        <v>978</v>
      </c>
      <c r="C193" s="559">
        <v>1.662E-4</v>
      </c>
      <c r="D193" s="559">
        <v>8.6299999999999997E-5</v>
      </c>
      <c r="E193" s="555">
        <v>177554.39</v>
      </c>
      <c r="F193" s="555">
        <f t="shared" si="2"/>
        <v>101180</v>
      </c>
      <c r="G193" s="555">
        <v>612480</v>
      </c>
      <c r="H193" s="555"/>
      <c r="I193" s="556">
        <v>0</v>
      </c>
      <c r="J193" s="556">
        <v>427404</v>
      </c>
      <c r="K193" s="556">
        <v>0</v>
      </c>
      <c r="L193" s="555">
        <v>619317</v>
      </c>
      <c r="M193" s="555"/>
      <c r="N193" s="556">
        <v>69639</v>
      </c>
      <c r="O193" s="556">
        <v>493761</v>
      </c>
      <c r="P193" s="556">
        <v>0</v>
      </c>
      <c r="Q193" s="555">
        <v>0</v>
      </c>
      <c r="R193" s="555"/>
      <c r="S193" s="556">
        <v>59680</v>
      </c>
      <c r="T193" s="557">
        <v>196493</v>
      </c>
      <c r="U193" s="557">
        <v>256172</v>
      </c>
    </row>
    <row r="194" spans="1:21" x14ac:dyDescent="0.25">
      <c r="A194" s="552">
        <v>36005</v>
      </c>
      <c r="B194" s="553" t="s">
        <v>979</v>
      </c>
      <c r="C194" s="559">
        <v>4.8573000000000002E-3</v>
      </c>
      <c r="D194" s="559">
        <v>4.6411000000000004E-3</v>
      </c>
      <c r="E194" s="555">
        <v>6352556</v>
      </c>
      <c r="F194" s="555">
        <f t="shared" si="2"/>
        <v>5441324</v>
      </c>
      <c r="G194" s="555">
        <v>17900112</v>
      </c>
      <c r="H194" s="555"/>
      <c r="I194" s="556">
        <v>0</v>
      </c>
      <c r="J194" s="556">
        <v>12491159</v>
      </c>
      <c r="K194" s="556">
        <v>0</v>
      </c>
      <c r="L194" s="555">
        <v>1993866</v>
      </c>
      <c r="M194" s="555"/>
      <c r="N194" s="556">
        <v>2035243</v>
      </c>
      <c r="O194" s="556">
        <v>14430485</v>
      </c>
      <c r="P194" s="556">
        <v>0</v>
      </c>
      <c r="Q194" s="555">
        <v>0</v>
      </c>
      <c r="R194" s="555"/>
      <c r="S194" s="556">
        <v>1744184</v>
      </c>
      <c r="T194" s="557">
        <v>626083</v>
      </c>
      <c r="U194" s="557">
        <v>2370267</v>
      </c>
    </row>
    <row r="195" spans="1:21" x14ac:dyDescent="0.25">
      <c r="A195" s="552">
        <v>36006</v>
      </c>
      <c r="B195" s="553" t="s">
        <v>980</v>
      </c>
      <c r="C195" s="559">
        <v>5.419E-4</v>
      </c>
      <c r="D195" s="559">
        <v>5.329E-4</v>
      </c>
      <c r="E195" s="555">
        <v>542304.34</v>
      </c>
      <c r="F195" s="555">
        <f t="shared" ref="F195:F258" si="3">D195*$F$298</f>
        <v>624783</v>
      </c>
      <c r="G195" s="555">
        <v>1997009</v>
      </c>
      <c r="H195" s="555"/>
      <c r="I195" s="556">
        <v>0</v>
      </c>
      <c r="J195" s="556">
        <v>1393564</v>
      </c>
      <c r="K195" s="556">
        <v>0</v>
      </c>
      <c r="L195" s="555">
        <v>46611</v>
      </c>
      <c r="M195" s="555"/>
      <c r="N195" s="556">
        <v>227060</v>
      </c>
      <c r="O195" s="556">
        <v>1609923</v>
      </c>
      <c r="P195" s="556">
        <v>0</v>
      </c>
      <c r="Q195" s="555">
        <v>72973</v>
      </c>
      <c r="R195" s="555"/>
      <c r="S195" s="556">
        <v>194588</v>
      </c>
      <c r="T195" s="557">
        <v>-3508</v>
      </c>
      <c r="U195" s="557">
        <v>191080</v>
      </c>
    </row>
    <row r="196" spans="1:21" x14ac:dyDescent="0.25">
      <c r="A196" s="552">
        <v>36007</v>
      </c>
      <c r="B196" s="553" t="s">
        <v>981</v>
      </c>
      <c r="C196" s="559">
        <v>1.8760000000000001E-4</v>
      </c>
      <c r="D196" s="559">
        <v>1.8110000000000001E-4</v>
      </c>
      <c r="E196" s="555">
        <v>191931.41</v>
      </c>
      <c r="F196" s="555">
        <f t="shared" si="3"/>
        <v>212325</v>
      </c>
      <c r="G196" s="555">
        <v>691343</v>
      </c>
      <c r="H196" s="555"/>
      <c r="I196" s="556">
        <v>0</v>
      </c>
      <c r="J196" s="556">
        <v>482437</v>
      </c>
      <c r="K196" s="556">
        <v>0</v>
      </c>
      <c r="L196" s="555">
        <v>29856</v>
      </c>
      <c r="M196" s="555"/>
      <c r="N196" s="556">
        <v>78606</v>
      </c>
      <c r="O196" s="556">
        <v>557338</v>
      </c>
      <c r="P196" s="556">
        <v>0</v>
      </c>
      <c r="Q196" s="555">
        <v>7651</v>
      </c>
      <c r="R196" s="555"/>
      <c r="S196" s="556">
        <v>67364</v>
      </c>
      <c r="T196" s="557">
        <v>8582</v>
      </c>
      <c r="U196" s="557">
        <v>75946</v>
      </c>
    </row>
    <row r="197" spans="1:21" x14ac:dyDescent="0.25">
      <c r="A197" s="552">
        <v>36008</v>
      </c>
      <c r="B197" s="553" t="s">
        <v>982</v>
      </c>
      <c r="C197" s="559">
        <v>5.4699999999999996E-4</v>
      </c>
      <c r="D197" s="559">
        <v>5.1360000000000002E-4</v>
      </c>
      <c r="E197" s="555">
        <v>512983.56</v>
      </c>
      <c r="F197" s="555">
        <f t="shared" si="3"/>
        <v>602155</v>
      </c>
      <c r="G197" s="555">
        <v>2015803</v>
      </c>
      <c r="H197" s="555"/>
      <c r="I197" s="556">
        <v>0</v>
      </c>
      <c r="J197" s="556">
        <v>1406679</v>
      </c>
      <c r="K197" s="556">
        <v>0</v>
      </c>
      <c r="L197" s="555">
        <v>47574</v>
      </c>
      <c r="M197" s="555"/>
      <c r="N197" s="556">
        <v>229197</v>
      </c>
      <c r="O197" s="556">
        <v>1625075</v>
      </c>
      <c r="P197" s="556">
        <v>0</v>
      </c>
      <c r="Q197" s="555">
        <v>0</v>
      </c>
      <c r="R197" s="555"/>
      <c r="S197" s="556">
        <v>196419</v>
      </c>
      <c r="T197" s="557">
        <v>16861</v>
      </c>
      <c r="U197" s="557">
        <v>213281</v>
      </c>
    </row>
    <row r="198" spans="1:21" x14ac:dyDescent="0.25">
      <c r="A198" s="552">
        <v>36009</v>
      </c>
      <c r="B198" s="553" t="s">
        <v>983</v>
      </c>
      <c r="C198" s="559">
        <v>1.551E-4</v>
      </c>
      <c r="D198" s="559">
        <v>1.0119999999999999E-4</v>
      </c>
      <c r="E198" s="555">
        <v>147380</v>
      </c>
      <c r="F198" s="555">
        <f t="shared" si="3"/>
        <v>118649</v>
      </c>
      <c r="G198" s="555">
        <v>571574</v>
      </c>
      <c r="H198" s="555"/>
      <c r="I198" s="556">
        <v>0</v>
      </c>
      <c r="J198" s="556">
        <v>398859</v>
      </c>
      <c r="K198" s="556">
        <v>0</v>
      </c>
      <c r="L198" s="555">
        <v>248771</v>
      </c>
      <c r="M198" s="555"/>
      <c r="N198" s="556">
        <v>64988</v>
      </c>
      <c r="O198" s="556">
        <v>460784</v>
      </c>
      <c r="P198" s="556">
        <v>0</v>
      </c>
      <c r="Q198" s="555">
        <v>0</v>
      </c>
      <c r="R198" s="555"/>
      <c r="S198" s="556">
        <v>55694</v>
      </c>
      <c r="T198" s="557">
        <v>73673</v>
      </c>
      <c r="U198" s="557">
        <v>129367</v>
      </c>
    </row>
    <row r="199" spans="1:21" x14ac:dyDescent="0.25">
      <c r="A199" s="552">
        <v>36100</v>
      </c>
      <c r="B199" s="553" t="s">
        <v>984</v>
      </c>
      <c r="C199" s="559">
        <v>7.8470000000000005E-4</v>
      </c>
      <c r="D199" s="559">
        <v>7.9100000000000004E-4</v>
      </c>
      <c r="E199" s="555">
        <v>1040408.45</v>
      </c>
      <c r="F199" s="555">
        <f t="shared" si="3"/>
        <v>927385</v>
      </c>
      <c r="G199" s="555">
        <v>2891775</v>
      </c>
      <c r="H199" s="555"/>
      <c r="I199" s="556">
        <v>0</v>
      </c>
      <c r="J199" s="556">
        <v>2017955</v>
      </c>
      <c r="K199" s="556">
        <v>0</v>
      </c>
      <c r="L199" s="555">
        <v>12259</v>
      </c>
      <c r="M199" s="555"/>
      <c r="N199" s="556">
        <v>328795</v>
      </c>
      <c r="O199" s="556">
        <v>2331254</v>
      </c>
      <c r="P199" s="556">
        <v>0</v>
      </c>
      <c r="Q199" s="555">
        <v>118035</v>
      </c>
      <c r="R199" s="555"/>
      <c r="S199" s="556">
        <v>281774</v>
      </c>
      <c r="T199" s="557">
        <v>-38911</v>
      </c>
      <c r="U199" s="557">
        <v>242863</v>
      </c>
    </row>
    <row r="200" spans="1:21" x14ac:dyDescent="0.25">
      <c r="A200" s="552">
        <v>36102</v>
      </c>
      <c r="B200" s="553" t="s">
        <v>985</v>
      </c>
      <c r="C200" s="559">
        <v>1.21E-4</v>
      </c>
      <c r="D200" s="559">
        <v>1.6550000000000001E-4</v>
      </c>
      <c r="E200" s="555">
        <v>132141.56</v>
      </c>
      <c r="F200" s="555">
        <f t="shared" si="3"/>
        <v>194036</v>
      </c>
      <c r="G200" s="555">
        <v>445909</v>
      </c>
      <c r="H200" s="555"/>
      <c r="I200" s="556">
        <v>0</v>
      </c>
      <c r="J200" s="556">
        <v>311167</v>
      </c>
      <c r="K200" s="556">
        <v>0</v>
      </c>
      <c r="L200" s="555">
        <v>0</v>
      </c>
      <c r="M200" s="555"/>
      <c r="N200" s="556">
        <v>50700</v>
      </c>
      <c r="O200" s="556">
        <v>359477</v>
      </c>
      <c r="P200" s="556">
        <v>0</v>
      </c>
      <c r="Q200" s="555">
        <v>229769</v>
      </c>
      <c r="R200" s="555"/>
      <c r="S200" s="556">
        <v>43449</v>
      </c>
      <c r="T200" s="557">
        <v>-65700</v>
      </c>
      <c r="U200" s="557">
        <v>-22251</v>
      </c>
    </row>
    <row r="201" spans="1:21" x14ac:dyDescent="0.25">
      <c r="A201" s="552">
        <v>36105</v>
      </c>
      <c r="B201" s="553" t="s">
        <v>986</v>
      </c>
      <c r="C201" s="559">
        <v>4.0910000000000002E-4</v>
      </c>
      <c r="D201" s="559">
        <v>4.2010000000000002E-4</v>
      </c>
      <c r="E201" s="555">
        <v>572234</v>
      </c>
      <c r="F201" s="555">
        <f t="shared" si="3"/>
        <v>492534</v>
      </c>
      <c r="G201" s="555">
        <v>1507615</v>
      </c>
      <c r="H201" s="555"/>
      <c r="I201" s="556">
        <v>0</v>
      </c>
      <c r="J201" s="556">
        <v>1052052</v>
      </c>
      <c r="K201" s="556">
        <v>0</v>
      </c>
      <c r="L201" s="555">
        <v>0</v>
      </c>
      <c r="M201" s="555"/>
      <c r="N201" s="556">
        <v>171416</v>
      </c>
      <c r="O201" s="556">
        <v>1215389</v>
      </c>
      <c r="P201" s="556">
        <v>0</v>
      </c>
      <c r="Q201" s="555">
        <v>42804</v>
      </c>
      <c r="R201" s="555"/>
      <c r="S201" s="556">
        <v>146902</v>
      </c>
      <c r="T201" s="557">
        <v>-15104</v>
      </c>
      <c r="U201" s="557">
        <v>131798</v>
      </c>
    </row>
    <row r="202" spans="1:21" x14ac:dyDescent="0.25">
      <c r="A202" s="552">
        <v>36200</v>
      </c>
      <c r="B202" s="553" t="s">
        <v>987</v>
      </c>
      <c r="C202" s="559">
        <v>1.5869E-3</v>
      </c>
      <c r="D202" s="559">
        <v>1.5994E-3</v>
      </c>
      <c r="E202" s="555">
        <v>2128217.44</v>
      </c>
      <c r="F202" s="555">
        <f t="shared" si="3"/>
        <v>1875170</v>
      </c>
      <c r="G202" s="555">
        <v>5848041</v>
      </c>
      <c r="H202" s="555"/>
      <c r="I202" s="556">
        <v>0</v>
      </c>
      <c r="J202" s="556">
        <v>4080913</v>
      </c>
      <c r="K202" s="556">
        <v>0</v>
      </c>
      <c r="L202" s="555">
        <v>44759</v>
      </c>
      <c r="M202" s="555"/>
      <c r="N202" s="556">
        <v>664922</v>
      </c>
      <c r="O202" s="556">
        <v>4714499</v>
      </c>
      <c r="P202" s="556">
        <v>0</v>
      </c>
      <c r="Q202" s="555">
        <v>49210</v>
      </c>
      <c r="R202" s="555"/>
      <c r="S202" s="556">
        <v>569832</v>
      </c>
      <c r="T202" s="557">
        <v>-5239</v>
      </c>
      <c r="U202" s="557">
        <v>564593</v>
      </c>
    </row>
    <row r="203" spans="1:21" x14ac:dyDescent="0.25">
      <c r="A203" s="552">
        <v>36205</v>
      </c>
      <c r="B203" s="553" t="s">
        <v>988</v>
      </c>
      <c r="C203" s="559">
        <v>2.611E-4</v>
      </c>
      <c r="D203" s="559">
        <v>2.5460000000000001E-4</v>
      </c>
      <c r="E203" s="555">
        <v>347739.85</v>
      </c>
      <c r="F203" s="555">
        <f t="shared" si="3"/>
        <v>298498</v>
      </c>
      <c r="G203" s="555">
        <v>962205</v>
      </c>
      <c r="H203" s="555"/>
      <c r="I203" s="556">
        <v>0</v>
      </c>
      <c r="J203" s="556">
        <v>671452</v>
      </c>
      <c r="K203" s="556">
        <v>0</v>
      </c>
      <c r="L203" s="555">
        <v>72344</v>
      </c>
      <c r="M203" s="555"/>
      <c r="N203" s="556">
        <v>109403</v>
      </c>
      <c r="O203" s="556">
        <v>775698</v>
      </c>
      <c r="P203" s="556">
        <v>0</v>
      </c>
      <c r="Q203" s="555">
        <v>0</v>
      </c>
      <c r="R203" s="555"/>
      <c r="S203" s="556">
        <v>93757</v>
      </c>
      <c r="T203" s="557">
        <v>22535</v>
      </c>
      <c r="U203" s="557">
        <v>116292</v>
      </c>
    </row>
    <row r="204" spans="1:21" x14ac:dyDescent="0.25">
      <c r="A204" s="552">
        <v>36300</v>
      </c>
      <c r="B204" s="553" t="s">
        <v>989</v>
      </c>
      <c r="C204" s="559">
        <v>4.8706000000000001E-3</v>
      </c>
      <c r="D204" s="559">
        <v>4.8456000000000003E-3</v>
      </c>
      <c r="E204" s="555">
        <v>6125652</v>
      </c>
      <c r="F204" s="555">
        <f t="shared" si="3"/>
        <v>5681084</v>
      </c>
      <c r="G204" s="555">
        <v>17949125</v>
      </c>
      <c r="H204" s="555"/>
      <c r="I204" s="556">
        <v>0</v>
      </c>
      <c r="J204" s="556">
        <v>12525362</v>
      </c>
      <c r="K204" s="556">
        <v>0</v>
      </c>
      <c r="L204" s="555">
        <v>87433</v>
      </c>
      <c r="M204" s="555"/>
      <c r="N204" s="556">
        <v>2040815</v>
      </c>
      <c r="O204" s="556">
        <v>14469997</v>
      </c>
      <c r="P204" s="556">
        <v>0</v>
      </c>
      <c r="Q204" s="555">
        <v>175398</v>
      </c>
      <c r="R204" s="555"/>
      <c r="S204" s="556">
        <v>1748959</v>
      </c>
      <c r="T204" s="557">
        <v>-38647</v>
      </c>
      <c r="U204" s="557">
        <v>1710312</v>
      </c>
    </row>
    <row r="205" spans="1:21" x14ac:dyDescent="0.25">
      <c r="A205" s="552">
        <v>36301</v>
      </c>
      <c r="B205" s="553" t="s">
        <v>990</v>
      </c>
      <c r="C205" s="559">
        <v>5.0699999999999999E-5</v>
      </c>
      <c r="D205" s="559">
        <v>4.9700000000000002E-5</v>
      </c>
      <c r="E205" s="555">
        <v>59635.96</v>
      </c>
      <c r="F205" s="555">
        <f t="shared" si="3"/>
        <v>58269</v>
      </c>
      <c r="G205" s="555">
        <v>186840</v>
      </c>
      <c r="H205" s="555"/>
      <c r="I205" s="556">
        <v>0</v>
      </c>
      <c r="J205" s="556">
        <v>130381</v>
      </c>
      <c r="K205" s="556">
        <v>0</v>
      </c>
      <c r="L205" s="555">
        <v>9034</v>
      </c>
      <c r="M205" s="555"/>
      <c r="N205" s="556">
        <v>21244</v>
      </c>
      <c r="O205" s="556">
        <v>150624</v>
      </c>
      <c r="P205" s="556">
        <v>0</v>
      </c>
      <c r="Q205" s="555">
        <v>0</v>
      </c>
      <c r="R205" s="555"/>
      <c r="S205" s="556">
        <v>18206</v>
      </c>
      <c r="T205" s="557">
        <v>3172</v>
      </c>
      <c r="U205" s="557">
        <v>21378</v>
      </c>
    </row>
    <row r="206" spans="1:21" x14ac:dyDescent="0.25">
      <c r="A206" s="552">
        <v>36302</v>
      </c>
      <c r="B206" s="553" t="s">
        <v>991</v>
      </c>
      <c r="C206" s="559">
        <v>1.2669999999999999E-4</v>
      </c>
      <c r="D206" s="559">
        <v>1.053E-4</v>
      </c>
      <c r="E206" s="555">
        <v>130920.73</v>
      </c>
      <c r="F206" s="555">
        <f t="shared" si="3"/>
        <v>123456</v>
      </c>
      <c r="G206" s="555">
        <v>466915</v>
      </c>
      <c r="H206" s="555"/>
      <c r="I206" s="556">
        <v>0</v>
      </c>
      <c r="J206" s="556">
        <v>325825</v>
      </c>
      <c r="K206" s="556">
        <v>0</v>
      </c>
      <c r="L206" s="555">
        <v>96482</v>
      </c>
      <c r="M206" s="555"/>
      <c r="N206" s="556">
        <v>53088</v>
      </c>
      <c r="O206" s="556">
        <v>376411</v>
      </c>
      <c r="P206" s="556">
        <v>0</v>
      </c>
      <c r="Q206" s="555">
        <v>0</v>
      </c>
      <c r="R206" s="555"/>
      <c r="S206" s="556">
        <v>45496</v>
      </c>
      <c r="T206" s="557">
        <v>29056</v>
      </c>
      <c r="U206" s="557">
        <v>74552</v>
      </c>
    </row>
    <row r="207" spans="1:21" x14ac:dyDescent="0.25">
      <c r="A207" s="552">
        <v>36305</v>
      </c>
      <c r="B207" s="553" t="s">
        <v>992</v>
      </c>
      <c r="C207" s="559">
        <v>9.7300000000000002E-4</v>
      </c>
      <c r="D207" s="559">
        <v>9.6610000000000001E-4</v>
      </c>
      <c r="E207" s="555">
        <v>1363671.54</v>
      </c>
      <c r="F207" s="555">
        <f t="shared" si="3"/>
        <v>1132676</v>
      </c>
      <c r="G207" s="555">
        <v>3585698</v>
      </c>
      <c r="H207" s="555"/>
      <c r="I207" s="556">
        <v>0</v>
      </c>
      <c r="J207" s="556">
        <v>2502192</v>
      </c>
      <c r="K207" s="556">
        <v>0</v>
      </c>
      <c r="L207" s="555">
        <v>135127</v>
      </c>
      <c r="M207" s="555"/>
      <c r="N207" s="556">
        <v>407694</v>
      </c>
      <c r="O207" s="556">
        <v>2890672</v>
      </c>
      <c r="P207" s="556">
        <v>0</v>
      </c>
      <c r="Q207" s="555">
        <v>90712</v>
      </c>
      <c r="R207" s="555"/>
      <c r="S207" s="556">
        <v>349390</v>
      </c>
      <c r="T207" s="557">
        <v>4918</v>
      </c>
      <c r="U207" s="557">
        <v>354308</v>
      </c>
    </row>
    <row r="208" spans="1:21" x14ac:dyDescent="0.25">
      <c r="A208" s="552">
        <v>36400</v>
      </c>
      <c r="B208" s="553" t="s">
        <v>993</v>
      </c>
      <c r="C208" s="559">
        <v>5.4408E-3</v>
      </c>
      <c r="D208" s="559">
        <v>5.5255E-3</v>
      </c>
      <c r="E208" s="555">
        <v>6982923</v>
      </c>
      <c r="F208" s="555">
        <f t="shared" si="3"/>
        <v>6478213</v>
      </c>
      <c r="G208" s="555">
        <v>20050425</v>
      </c>
      <c r="H208" s="555"/>
      <c r="I208" s="556">
        <v>0</v>
      </c>
      <c r="J208" s="556">
        <v>13991703</v>
      </c>
      <c r="K208" s="556">
        <v>0</v>
      </c>
      <c r="L208" s="555">
        <v>0</v>
      </c>
      <c r="M208" s="555"/>
      <c r="N208" s="556">
        <v>2279733</v>
      </c>
      <c r="O208" s="556">
        <v>16163997</v>
      </c>
      <c r="P208" s="556">
        <v>0</v>
      </c>
      <c r="Q208" s="555">
        <v>2018521</v>
      </c>
      <c r="R208" s="555"/>
      <c r="S208" s="556">
        <v>1953710</v>
      </c>
      <c r="T208" s="557">
        <v>-701547</v>
      </c>
      <c r="U208" s="557">
        <v>1252163</v>
      </c>
    </row>
    <row r="209" spans="1:21" x14ac:dyDescent="0.25">
      <c r="A209" s="552">
        <v>36405</v>
      </c>
      <c r="B209" s="553" t="s">
        <v>994</v>
      </c>
      <c r="C209" s="559">
        <v>9.0160000000000001E-4</v>
      </c>
      <c r="D209" s="559">
        <v>8.9459999999999995E-4</v>
      </c>
      <c r="E209" s="555">
        <v>1151559.53</v>
      </c>
      <c r="F209" s="555">
        <f t="shared" si="3"/>
        <v>1048848</v>
      </c>
      <c r="G209" s="555">
        <v>3322575</v>
      </c>
      <c r="H209" s="555"/>
      <c r="I209" s="556">
        <v>0</v>
      </c>
      <c r="J209" s="556">
        <v>2318578</v>
      </c>
      <c r="K209" s="556">
        <v>0</v>
      </c>
      <c r="L209" s="555">
        <v>283463</v>
      </c>
      <c r="M209" s="555"/>
      <c r="N209" s="556">
        <v>377777</v>
      </c>
      <c r="O209" s="556">
        <v>2678551</v>
      </c>
      <c r="P209" s="556">
        <v>0</v>
      </c>
      <c r="Q209" s="555">
        <v>0</v>
      </c>
      <c r="R209" s="555"/>
      <c r="S209" s="556">
        <v>323751</v>
      </c>
      <c r="T209" s="557">
        <v>98340</v>
      </c>
      <c r="U209" s="557">
        <v>422091</v>
      </c>
    </row>
    <row r="210" spans="1:21" x14ac:dyDescent="0.25">
      <c r="A210" s="552">
        <v>36500</v>
      </c>
      <c r="B210" s="553" t="s">
        <v>995</v>
      </c>
      <c r="C210" s="559">
        <v>1.0474600000000001E-2</v>
      </c>
      <c r="D210" s="559">
        <v>1.0248200000000001E-2</v>
      </c>
      <c r="E210" s="555">
        <v>12949033</v>
      </c>
      <c r="F210" s="555">
        <f t="shared" si="3"/>
        <v>12015206</v>
      </c>
      <c r="G210" s="555">
        <v>38600975</v>
      </c>
      <c r="H210" s="555"/>
      <c r="I210" s="556">
        <v>0</v>
      </c>
      <c r="J210" s="556">
        <v>26936754</v>
      </c>
      <c r="K210" s="556">
        <v>0</v>
      </c>
      <c r="L210" s="555">
        <v>1618650</v>
      </c>
      <c r="M210" s="555"/>
      <c r="N210" s="556">
        <v>4388931</v>
      </c>
      <c r="O210" s="556">
        <v>31118842</v>
      </c>
      <c r="P210" s="556">
        <v>0</v>
      </c>
      <c r="Q210" s="555">
        <v>0</v>
      </c>
      <c r="R210" s="555"/>
      <c r="S210" s="556">
        <v>3761272</v>
      </c>
      <c r="T210" s="557">
        <v>519666</v>
      </c>
      <c r="U210" s="557">
        <v>4280937</v>
      </c>
    </row>
    <row r="211" spans="1:21" x14ac:dyDescent="0.25">
      <c r="A211" s="552">
        <v>36501</v>
      </c>
      <c r="B211" s="553" t="s">
        <v>996</v>
      </c>
      <c r="C211" s="559">
        <v>1.187E-4</v>
      </c>
      <c r="D211" s="559">
        <v>1.104E-4</v>
      </c>
      <c r="E211" s="555">
        <v>142200</v>
      </c>
      <c r="F211" s="555">
        <f t="shared" si="3"/>
        <v>129435</v>
      </c>
      <c r="G211" s="555">
        <v>437433</v>
      </c>
      <c r="H211" s="555"/>
      <c r="I211" s="556">
        <v>0</v>
      </c>
      <c r="J211" s="556">
        <v>305252</v>
      </c>
      <c r="K211" s="556">
        <v>0</v>
      </c>
      <c r="L211" s="555">
        <v>33040</v>
      </c>
      <c r="M211" s="555"/>
      <c r="N211" s="556">
        <v>49736</v>
      </c>
      <c r="O211" s="556">
        <v>352644</v>
      </c>
      <c r="P211" s="556">
        <v>0</v>
      </c>
      <c r="Q211" s="555">
        <v>0</v>
      </c>
      <c r="R211" s="555"/>
      <c r="S211" s="556">
        <v>42623</v>
      </c>
      <c r="T211" s="557">
        <v>9470</v>
      </c>
      <c r="U211" s="557">
        <v>52093</v>
      </c>
    </row>
    <row r="212" spans="1:21" x14ac:dyDescent="0.25">
      <c r="A212" s="552">
        <v>36502</v>
      </c>
      <c r="B212" s="553" t="s">
        <v>997</v>
      </c>
      <c r="C212" s="559">
        <v>4.3699999999999998E-5</v>
      </c>
      <c r="D212" s="559">
        <v>4.5300000000000003E-5</v>
      </c>
      <c r="E212" s="555">
        <v>48373.86</v>
      </c>
      <c r="F212" s="555">
        <f t="shared" si="3"/>
        <v>53111</v>
      </c>
      <c r="G212" s="555">
        <v>161043</v>
      </c>
      <c r="H212" s="555"/>
      <c r="I212" s="556">
        <v>0</v>
      </c>
      <c r="J212" s="556">
        <v>112380</v>
      </c>
      <c r="K212" s="556">
        <v>0</v>
      </c>
      <c r="L212" s="555">
        <v>18304</v>
      </c>
      <c r="M212" s="555"/>
      <c r="N212" s="556">
        <v>18311</v>
      </c>
      <c r="O212" s="556">
        <v>129828</v>
      </c>
      <c r="P212" s="556">
        <v>0</v>
      </c>
      <c r="Q212" s="555">
        <v>12098</v>
      </c>
      <c r="R212" s="555"/>
      <c r="S212" s="556">
        <v>15692</v>
      </c>
      <c r="T212" s="557">
        <v>3209</v>
      </c>
      <c r="U212" s="557">
        <v>18901</v>
      </c>
    </row>
    <row r="213" spans="1:21" x14ac:dyDescent="0.25">
      <c r="A213" s="552">
        <v>36505</v>
      </c>
      <c r="B213" s="553" t="s">
        <v>998</v>
      </c>
      <c r="C213" s="559">
        <v>2.0844000000000001E-3</v>
      </c>
      <c r="D213" s="559">
        <v>2.153E-3</v>
      </c>
      <c r="E213" s="555">
        <v>2664081.1</v>
      </c>
      <c r="F213" s="555">
        <f t="shared" si="3"/>
        <v>2524223</v>
      </c>
      <c r="G213" s="555">
        <v>7681427</v>
      </c>
      <c r="H213" s="555"/>
      <c r="I213" s="556">
        <v>0</v>
      </c>
      <c r="J213" s="556">
        <v>5360297</v>
      </c>
      <c r="K213" s="556">
        <v>0</v>
      </c>
      <c r="L213" s="555">
        <v>362787</v>
      </c>
      <c r="M213" s="555"/>
      <c r="N213" s="556">
        <v>873378</v>
      </c>
      <c r="O213" s="556">
        <v>6192515</v>
      </c>
      <c r="P213" s="556">
        <v>0</v>
      </c>
      <c r="Q213" s="555">
        <v>264997</v>
      </c>
      <c r="R213" s="555"/>
      <c r="S213" s="556">
        <v>748477</v>
      </c>
      <c r="T213" s="557">
        <v>56625</v>
      </c>
      <c r="U213" s="557">
        <v>805102</v>
      </c>
    </row>
    <row r="214" spans="1:21" x14ac:dyDescent="0.25">
      <c r="A214" s="552">
        <v>36600</v>
      </c>
      <c r="B214" s="553" t="s">
        <v>999</v>
      </c>
      <c r="C214" s="559">
        <v>8.3319999999999998E-4</v>
      </c>
      <c r="D214" s="559">
        <v>8.7779999999999998E-4</v>
      </c>
      <c r="E214" s="555">
        <v>1121005</v>
      </c>
      <c r="F214" s="555">
        <f t="shared" si="3"/>
        <v>1029151</v>
      </c>
      <c r="G214" s="555">
        <v>3070507</v>
      </c>
      <c r="H214" s="555"/>
      <c r="I214" s="556">
        <v>0</v>
      </c>
      <c r="J214" s="556">
        <v>2142679</v>
      </c>
      <c r="K214" s="556">
        <v>0</v>
      </c>
      <c r="L214" s="555">
        <v>0</v>
      </c>
      <c r="M214" s="555"/>
      <c r="N214" s="556">
        <v>349117</v>
      </c>
      <c r="O214" s="556">
        <v>2475342</v>
      </c>
      <c r="P214" s="556">
        <v>0</v>
      </c>
      <c r="Q214" s="555">
        <v>242134</v>
      </c>
      <c r="R214" s="555"/>
      <c r="S214" s="556">
        <v>299190</v>
      </c>
      <c r="T214" s="557">
        <v>-75816</v>
      </c>
      <c r="U214" s="557">
        <v>223373</v>
      </c>
    </row>
    <row r="215" spans="1:21" x14ac:dyDescent="0.25">
      <c r="A215" s="552">
        <v>36601</v>
      </c>
      <c r="B215" s="553" t="s">
        <v>1000</v>
      </c>
      <c r="C215" s="559">
        <v>3.6059999999999998E-4</v>
      </c>
      <c r="D215" s="559">
        <v>3.0600000000000001E-4</v>
      </c>
      <c r="E215" s="555">
        <v>372506</v>
      </c>
      <c r="F215" s="555">
        <f t="shared" si="3"/>
        <v>358761</v>
      </c>
      <c r="G215" s="555">
        <v>1328882</v>
      </c>
      <c r="H215" s="555"/>
      <c r="I215" s="556">
        <v>0</v>
      </c>
      <c r="J215" s="556">
        <v>927328</v>
      </c>
      <c r="K215" s="556">
        <v>0</v>
      </c>
      <c r="L215" s="555">
        <v>239521</v>
      </c>
      <c r="M215" s="555"/>
      <c r="N215" s="556">
        <v>151094</v>
      </c>
      <c r="O215" s="556">
        <v>1071301</v>
      </c>
      <c r="P215" s="556">
        <v>0</v>
      </c>
      <c r="Q215" s="555">
        <v>0</v>
      </c>
      <c r="R215" s="555"/>
      <c r="S215" s="556">
        <v>129486</v>
      </c>
      <c r="T215" s="557">
        <v>72305</v>
      </c>
      <c r="U215" s="557">
        <v>201791</v>
      </c>
    </row>
    <row r="216" spans="1:21" x14ac:dyDescent="0.25">
      <c r="A216" s="552">
        <v>36700</v>
      </c>
      <c r="B216" s="553" t="s">
        <v>1001</v>
      </c>
      <c r="C216" s="559">
        <v>9.4318000000000006E-3</v>
      </c>
      <c r="D216" s="559">
        <v>9.0202000000000008E-3</v>
      </c>
      <c r="E216" s="555">
        <v>11135403</v>
      </c>
      <c r="F216" s="555">
        <f t="shared" si="3"/>
        <v>10575473</v>
      </c>
      <c r="G216" s="555">
        <v>34758050</v>
      </c>
      <c r="H216" s="555"/>
      <c r="I216" s="556">
        <v>0</v>
      </c>
      <c r="J216" s="556">
        <v>24255062</v>
      </c>
      <c r="K216" s="556">
        <v>0</v>
      </c>
      <c r="L216" s="555">
        <v>1612728</v>
      </c>
      <c r="M216" s="555"/>
      <c r="N216" s="556">
        <v>3951990</v>
      </c>
      <c r="O216" s="556">
        <v>28020803</v>
      </c>
      <c r="P216" s="556">
        <v>0</v>
      </c>
      <c r="Q216" s="555">
        <v>0</v>
      </c>
      <c r="R216" s="555"/>
      <c r="S216" s="556">
        <v>3386818</v>
      </c>
      <c r="T216" s="557">
        <v>485394</v>
      </c>
      <c r="U216" s="557">
        <v>3872212</v>
      </c>
    </row>
    <row r="217" spans="1:21" x14ac:dyDescent="0.25">
      <c r="A217" s="552">
        <v>36701</v>
      </c>
      <c r="B217" s="553" t="s">
        <v>1002</v>
      </c>
      <c r="C217" s="559">
        <v>3.3599999999999997E-5</v>
      </c>
      <c r="D217" s="559">
        <v>2.19E-5</v>
      </c>
      <c r="E217" s="555">
        <v>35643.360000000001</v>
      </c>
      <c r="F217" s="555">
        <f t="shared" si="3"/>
        <v>25676</v>
      </c>
      <c r="G217" s="555">
        <v>123823</v>
      </c>
      <c r="H217" s="555"/>
      <c r="I217" s="556">
        <v>0</v>
      </c>
      <c r="J217" s="556">
        <v>86407</v>
      </c>
      <c r="K217" s="556">
        <v>0</v>
      </c>
      <c r="L217" s="555">
        <v>121942</v>
      </c>
      <c r="M217" s="555"/>
      <c r="N217" s="556">
        <v>14079</v>
      </c>
      <c r="O217" s="556">
        <v>99822</v>
      </c>
      <c r="P217" s="556">
        <v>0</v>
      </c>
      <c r="Q217" s="555">
        <v>0</v>
      </c>
      <c r="R217" s="555"/>
      <c r="S217" s="556">
        <v>12065</v>
      </c>
      <c r="T217" s="557">
        <v>40106</v>
      </c>
      <c r="U217" s="557">
        <v>52171</v>
      </c>
    </row>
    <row r="218" spans="1:21" x14ac:dyDescent="0.25">
      <c r="A218" s="552">
        <v>36705</v>
      </c>
      <c r="B218" s="553" t="s">
        <v>1003</v>
      </c>
      <c r="C218" s="559">
        <v>1.0287E-3</v>
      </c>
      <c r="D218" s="559">
        <v>1.0179E-3</v>
      </c>
      <c r="E218" s="555">
        <v>1300406</v>
      </c>
      <c r="F218" s="555">
        <f t="shared" si="3"/>
        <v>1193407</v>
      </c>
      <c r="G218" s="555">
        <v>3790963</v>
      </c>
      <c r="H218" s="555"/>
      <c r="I218" s="556">
        <v>0</v>
      </c>
      <c r="J218" s="556">
        <v>2645432</v>
      </c>
      <c r="K218" s="556">
        <v>0</v>
      </c>
      <c r="L218" s="555">
        <v>47031</v>
      </c>
      <c r="M218" s="555"/>
      <c r="N218" s="556">
        <v>431033</v>
      </c>
      <c r="O218" s="556">
        <v>3056150</v>
      </c>
      <c r="P218" s="556">
        <v>0</v>
      </c>
      <c r="Q218" s="555">
        <v>87966</v>
      </c>
      <c r="R218" s="555"/>
      <c r="S218" s="556">
        <v>369391</v>
      </c>
      <c r="T218" s="557">
        <v>-18501</v>
      </c>
      <c r="U218" s="557">
        <v>350890</v>
      </c>
    </row>
    <row r="219" spans="1:21" x14ac:dyDescent="0.25">
      <c r="A219" s="552">
        <v>36800</v>
      </c>
      <c r="B219" s="553" t="s">
        <v>1004</v>
      </c>
      <c r="C219" s="559">
        <v>3.3264000000000002E-3</v>
      </c>
      <c r="D219" s="559">
        <v>3.2799000000000001E-3</v>
      </c>
      <c r="E219" s="555">
        <v>4228424</v>
      </c>
      <c r="F219" s="555">
        <f t="shared" si="3"/>
        <v>3845424</v>
      </c>
      <c r="G219" s="555">
        <v>12258443</v>
      </c>
      <c r="H219" s="555"/>
      <c r="I219" s="556">
        <v>0</v>
      </c>
      <c r="J219" s="556">
        <v>8554257</v>
      </c>
      <c r="K219" s="556">
        <v>0</v>
      </c>
      <c r="L219" s="555">
        <v>219448</v>
      </c>
      <c r="M219" s="555"/>
      <c r="N219" s="556">
        <v>1393785</v>
      </c>
      <c r="O219" s="556">
        <v>9882355</v>
      </c>
      <c r="P219" s="556">
        <v>0</v>
      </c>
      <c r="Q219" s="555">
        <v>107871</v>
      </c>
      <c r="R219" s="555"/>
      <c r="S219" s="556">
        <v>1194460</v>
      </c>
      <c r="T219" s="557">
        <v>22125</v>
      </c>
      <c r="U219" s="557">
        <v>1216586</v>
      </c>
    </row>
    <row r="220" spans="1:21" x14ac:dyDescent="0.25">
      <c r="A220" s="552">
        <v>36801</v>
      </c>
      <c r="B220" s="553" t="s">
        <v>1005</v>
      </c>
      <c r="C220" s="559">
        <v>5.8400000000000003E-5</v>
      </c>
      <c r="D220" s="559">
        <v>6.2199999999999994E-5</v>
      </c>
      <c r="E220" s="555">
        <v>53525.04</v>
      </c>
      <c r="F220" s="555">
        <f t="shared" si="3"/>
        <v>72925</v>
      </c>
      <c r="G220" s="555">
        <v>215216</v>
      </c>
      <c r="H220" s="555"/>
      <c r="I220" s="556">
        <v>0</v>
      </c>
      <c r="J220" s="556">
        <v>150183</v>
      </c>
      <c r="K220" s="556">
        <v>0</v>
      </c>
      <c r="L220" s="555">
        <v>0</v>
      </c>
      <c r="M220" s="555"/>
      <c r="N220" s="556">
        <v>24470</v>
      </c>
      <c r="O220" s="556">
        <v>173500</v>
      </c>
      <c r="P220" s="556">
        <v>0</v>
      </c>
      <c r="Q220" s="555">
        <v>41012</v>
      </c>
      <c r="R220" s="555"/>
      <c r="S220" s="556">
        <v>20971</v>
      </c>
      <c r="T220" s="557">
        <v>-12102</v>
      </c>
      <c r="U220" s="557">
        <v>8869</v>
      </c>
    </row>
    <row r="221" spans="1:21" x14ac:dyDescent="0.25">
      <c r="A221" s="552">
        <v>36802</v>
      </c>
      <c r="B221" s="553" t="s">
        <v>1006</v>
      </c>
      <c r="C221" s="559">
        <v>8.42E-5</v>
      </c>
      <c r="D221" s="559">
        <v>8.6799999999999996E-5</v>
      </c>
      <c r="E221" s="555">
        <v>86043.53</v>
      </c>
      <c r="F221" s="555">
        <f t="shared" si="3"/>
        <v>101766</v>
      </c>
      <c r="G221" s="555">
        <v>310294</v>
      </c>
      <c r="H221" s="555"/>
      <c r="I221" s="556">
        <v>0</v>
      </c>
      <c r="J221" s="556">
        <v>216531</v>
      </c>
      <c r="K221" s="556">
        <v>0</v>
      </c>
      <c r="L221" s="555">
        <v>0</v>
      </c>
      <c r="M221" s="555"/>
      <c r="N221" s="556">
        <v>35280</v>
      </c>
      <c r="O221" s="556">
        <v>250149</v>
      </c>
      <c r="P221" s="556">
        <v>0</v>
      </c>
      <c r="Q221" s="555">
        <v>65012</v>
      </c>
      <c r="R221" s="555"/>
      <c r="S221" s="556">
        <v>30235</v>
      </c>
      <c r="T221" s="557">
        <v>-21114</v>
      </c>
      <c r="U221" s="557">
        <v>9121</v>
      </c>
    </row>
    <row r="222" spans="1:21" x14ac:dyDescent="0.25">
      <c r="A222" s="552">
        <v>36810</v>
      </c>
      <c r="B222" s="553" t="s">
        <v>1007</v>
      </c>
      <c r="C222" s="559">
        <v>6.4930999999999999E-3</v>
      </c>
      <c r="D222" s="559">
        <v>6.2889E-3</v>
      </c>
      <c r="E222" s="555">
        <v>7826561</v>
      </c>
      <c r="F222" s="555">
        <f t="shared" si="3"/>
        <v>7373239</v>
      </c>
      <c r="G222" s="555">
        <v>23928359</v>
      </c>
      <c r="H222" s="555"/>
      <c r="I222" s="556">
        <v>0</v>
      </c>
      <c r="J222" s="556">
        <v>16697825</v>
      </c>
      <c r="K222" s="556">
        <v>0</v>
      </c>
      <c r="L222" s="555">
        <v>601866</v>
      </c>
      <c r="M222" s="555"/>
      <c r="N222" s="556">
        <v>2720654</v>
      </c>
      <c r="O222" s="556">
        <v>19290260</v>
      </c>
      <c r="P222" s="556">
        <v>0</v>
      </c>
      <c r="Q222" s="555">
        <v>0</v>
      </c>
      <c r="R222" s="555"/>
      <c r="S222" s="556">
        <v>2331575</v>
      </c>
      <c r="T222" s="557">
        <v>168987</v>
      </c>
      <c r="U222" s="557">
        <v>2500562</v>
      </c>
    </row>
    <row r="223" spans="1:21" x14ac:dyDescent="0.25">
      <c r="A223" s="552">
        <v>36900</v>
      </c>
      <c r="B223" s="553" t="s">
        <v>1008</v>
      </c>
      <c r="C223" s="559">
        <v>6.3560000000000005E-4</v>
      </c>
      <c r="D223" s="559">
        <v>6.3590000000000001E-4</v>
      </c>
      <c r="E223" s="555">
        <v>808708.63</v>
      </c>
      <c r="F223" s="555">
        <f t="shared" si="3"/>
        <v>745543</v>
      </c>
      <c r="G223" s="555">
        <v>2342312</v>
      </c>
      <c r="H223" s="555"/>
      <c r="I223" s="556">
        <v>0</v>
      </c>
      <c r="J223" s="556">
        <v>1634525</v>
      </c>
      <c r="K223" s="556">
        <v>0</v>
      </c>
      <c r="L223" s="555">
        <v>14372</v>
      </c>
      <c r="M223" s="555"/>
      <c r="N223" s="556">
        <v>266321</v>
      </c>
      <c r="O223" s="556">
        <v>1888295</v>
      </c>
      <c r="P223" s="556">
        <v>0</v>
      </c>
      <c r="Q223" s="555">
        <v>0</v>
      </c>
      <c r="R223" s="555"/>
      <c r="S223" s="556">
        <v>228234</v>
      </c>
      <c r="T223" s="557">
        <v>4856</v>
      </c>
      <c r="U223" s="557">
        <v>233090</v>
      </c>
    </row>
    <row r="224" spans="1:21" x14ac:dyDescent="0.25">
      <c r="A224" s="552">
        <v>36901</v>
      </c>
      <c r="B224" s="553" t="s">
        <v>1009</v>
      </c>
      <c r="C224" s="559">
        <v>1.983E-4</v>
      </c>
      <c r="D224" s="559">
        <v>1.84E-4</v>
      </c>
      <c r="E224" s="555">
        <v>231342.2</v>
      </c>
      <c r="F224" s="555">
        <f t="shared" si="3"/>
        <v>215725</v>
      </c>
      <c r="G224" s="555">
        <v>730775</v>
      </c>
      <c r="H224" s="555"/>
      <c r="I224" s="556">
        <v>0</v>
      </c>
      <c r="J224" s="556">
        <v>509953</v>
      </c>
      <c r="K224" s="556">
        <v>0</v>
      </c>
      <c r="L224" s="555">
        <v>45658</v>
      </c>
      <c r="M224" s="555"/>
      <c r="N224" s="556">
        <v>83089</v>
      </c>
      <c r="O224" s="556">
        <v>589127</v>
      </c>
      <c r="P224" s="556">
        <v>0</v>
      </c>
      <c r="Q224" s="555">
        <v>1380</v>
      </c>
      <c r="R224" s="555"/>
      <c r="S224" s="556">
        <v>71207</v>
      </c>
      <c r="T224" s="557">
        <v>12153</v>
      </c>
      <c r="U224" s="557">
        <v>83360</v>
      </c>
    </row>
    <row r="225" spans="1:21" x14ac:dyDescent="0.25">
      <c r="A225" s="552">
        <v>36905</v>
      </c>
      <c r="B225" s="553" t="s">
        <v>1010</v>
      </c>
      <c r="C225" s="559">
        <v>1.9870000000000001E-4</v>
      </c>
      <c r="D225" s="559">
        <v>2.0880000000000001E-4</v>
      </c>
      <c r="E225" s="555">
        <v>304477.94</v>
      </c>
      <c r="F225" s="555">
        <f t="shared" si="3"/>
        <v>244802</v>
      </c>
      <c r="G225" s="555">
        <v>732249</v>
      </c>
      <c r="H225" s="555"/>
      <c r="I225" s="556">
        <v>0</v>
      </c>
      <c r="J225" s="556">
        <v>510982</v>
      </c>
      <c r="K225" s="556">
        <v>0</v>
      </c>
      <c r="L225" s="555">
        <v>29645</v>
      </c>
      <c r="M225" s="555"/>
      <c r="N225" s="556">
        <v>83257</v>
      </c>
      <c r="O225" s="556">
        <v>590315</v>
      </c>
      <c r="P225" s="556">
        <v>0</v>
      </c>
      <c r="Q225" s="555">
        <v>777</v>
      </c>
      <c r="R225" s="555"/>
      <c r="S225" s="556">
        <v>71350</v>
      </c>
      <c r="T225" s="557">
        <v>10410</v>
      </c>
      <c r="U225" s="557">
        <v>81760</v>
      </c>
    </row>
    <row r="226" spans="1:21" x14ac:dyDescent="0.25">
      <c r="A226" s="552">
        <v>37000</v>
      </c>
      <c r="B226" s="553" t="s">
        <v>1011</v>
      </c>
      <c r="C226" s="559">
        <v>2.1697000000000001E-3</v>
      </c>
      <c r="D226" s="559">
        <v>2.1253000000000001E-3</v>
      </c>
      <c r="E226" s="555">
        <v>2768233.77</v>
      </c>
      <c r="F226" s="555">
        <f t="shared" si="3"/>
        <v>2491747</v>
      </c>
      <c r="G226" s="555">
        <v>7995774</v>
      </c>
      <c r="H226" s="555"/>
      <c r="I226" s="556">
        <v>0</v>
      </c>
      <c r="J226" s="556">
        <v>5579657</v>
      </c>
      <c r="K226" s="556">
        <v>0</v>
      </c>
      <c r="L226" s="555">
        <v>210677</v>
      </c>
      <c r="M226" s="555"/>
      <c r="N226" s="556">
        <v>909119</v>
      </c>
      <c r="O226" s="556">
        <v>6445931</v>
      </c>
      <c r="P226" s="556">
        <v>0</v>
      </c>
      <c r="Q226" s="555">
        <v>276411</v>
      </c>
      <c r="R226" s="555"/>
      <c r="S226" s="556">
        <v>779107</v>
      </c>
      <c r="T226" s="557">
        <v>-40713</v>
      </c>
      <c r="U226" s="557">
        <v>738394</v>
      </c>
    </row>
    <row r="227" spans="1:21" x14ac:dyDescent="0.25">
      <c r="A227" s="552">
        <v>37005</v>
      </c>
      <c r="B227" s="553" t="s">
        <v>1012</v>
      </c>
      <c r="C227" s="559">
        <v>5.4609999999999999E-4</v>
      </c>
      <c r="D227" s="559">
        <v>5.4750000000000003E-4</v>
      </c>
      <c r="E227" s="555">
        <v>745783.57</v>
      </c>
      <c r="F227" s="555">
        <f t="shared" si="3"/>
        <v>641901</v>
      </c>
      <c r="G227" s="555">
        <v>2012487</v>
      </c>
      <c r="H227" s="555"/>
      <c r="I227" s="556">
        <v>0</v>
      </c>
      <c r="J227" s="556">
        <v>1404365</v>
      </c>
      <c r="K227" s="556">
        <v>0</v>
      </c>
      <c r="L227" s="555">
        <v>58958</v>
      </c>
      <c r="M227" s="555"/>
      <c r="N227" s="556">
        <v>228820</v>
      </c>
      <c r="O227" s="556">
        <v>1622401</v>
      </c>
      <c r="P227" s="556">
        <v>0</v>
      </c>
      <c r="Q227" s="555">
        <v>0</v>
      </c>
      <c r="R227" s="555"/>
      <c r="S227" s="556">
        <v>196096</v>
      </c>
      <c r="T227" s="557">
        <v>18023</v>
      </c>
      <c r="U227" s="557">
        <v>214120</v>
      </c>
    </row>
    <row r="228" spans="1:21" x14ac:dyDescent="0.25">
      <c r="A228" s="552">
        <v>37100</v>
      </c>
      <c r="B228" s="553" t="s">
        <v>1013</v>
      </c>
      <c r="C228" s="559">
        <v>3.0909000000000002E-3</v>
      </c>
      <c r="D228" s="559">
        <v>2.9372000000000001E-3</v>
      </c>
      <c r="E228" s="555">
        <v>3686656.29</v>
      </c>
      <c r="F228" s="555">
        <f t="shared" si="3"/>
        <v>3443635</v>
      </c>
      <c r="G228" s="555">
        <v>11390578</v>
      </c>
      <c r="H228" s="555"/>
      <c r="I228" s="556">
        <v>0</v>
      </c>
      <c r="J228" s="556">
        <v>7948639</v>
      </c>
      <c r="K228" s="556">
        <v>0</v>
      </c>
      <c r="L228" s="555">
        <v>481915</v>
      </c>
      <c r="M228" s="555"/>
      <c r="N228" s="556">
        <v>1295109</v>
      </c>
      <c r="O228" s="556">
        <v>9182712</v>
      </c>
      <c r="P228" s="556">
        <v>0</v>
      </c>
      <c r="Q228" s="555">
        <v>525611</v>
      </c>
      <c r="R228" s="555"/>
      <c r="S228" s="556">
        <v>1109896</v>
      </c>
      <c r="T228" s="557">
        <v>-54897</v>
      </c>
      <c r="U228" s="557">
        <v>1054999</v>
      </c>
    </row>
    <row r="229" spans="1:21" x14ac:dyDescent="0.25">
      <c r="A229" s="552">
        <v>37200</v>
      </c>
      <c r="B229" s="553" t="s">
        <v>1014</v>
      </c>
      <c r="C229" s="559">
        <v>7.4390000000000003E-4</v>
      </c>
      <c r="D229" s="559">
        <v>7.1929999999999997E-4</v>
      </c>
      <c r="E229" s="555">
        <v>939897.55</v>
      </c>
      <c r="F229" s="555">
        <f t="shared" si="3"/>
        <v>843323</v>
      </c>
      <c r="G229" s="555">
        <v>2741419</v>
      </c>
      <c r="H229" s="555"/>
      <c r="I229" s="556">
        <v>0</v>
      </c>
      <c r="J229" s="556">
        <v>1913033</v>
      </c>
      <c r="K229" s="556">
        <v>0</v>
      </c>
      <c r="L229" s="555">
        <v>104719</v>
      </c>
      <c r="M229" s="555"/>
      <c r="N229" s="556">
        <v>311699</v>
      </c>
      <c r="O229" s="556">
        <v>2210042</v>
      </c>
      <c r="P229" s="556">
        <v>0</v>
      </c>
      <c r="Q229" s="555">
        <v>76957</v>
      </c>
      <c r="R229" s="555"/>
      <c r="S229" s="556">
        <v>267123</v>
      </c>
      <c r="T229" s="557">
        <v>1425</v>
      </c>
      <c r="U229" s="557">
        <v>268548</v>
      </c>
    </row>
    <row r="230" spans="1:21" x14ac:dyDescent="0.25">
      <c r="A230" s="552">
        <v>37300</v>
      </c>
      <c r="B230" s="553" t="s">
        <v>1015</v>
      </c>
      <c r="C230" s="559">
        <v>1.8423000000000001E-3</v>
      </c>
      <c r="D230" s="559">
        <v>1.8791999999999999E-3</v>
      </c>
      <c r="E230" s="555">
        <v>2304784.6</v>
      </c>
      <c r="F230" s="555">
        <f t="shared" si="3"/>
        <v>2203214</v>
      </c>
      <c r="G230" s="555">
        <v>6789240</v>
      </c>
      <c r="H230" s="555"/>
      <c r="I230" s="556">
        <v>0</v>
      </c>
      <c r="J230" s="556">
        <v>4737707</v>
      </c>
      <c r="K230" s="556">
        <v>0</v>
      </c>
      <c r="L230" s="555">
        <v>0</v>
      </c>
      <c r="M230" s="555"/>
      <c r="N230" s="556">
        <v>771937</v>
      </c>
      <c r="O230" s="556">
        <v>5473263</v>
      </c>
      <c r="P230" s="556">
        <v>0</v>
      </c>
      <c r="Q230" s="555">
        <v>537733</v>
      </c>
      <c r="R230" s="555"/>
      <c r="S230" s="556">
        <v>661542</v>
      </c>
      <c r="T230" s="557">
        <v>-178669</v>
      </c>
      <c r="U230" s="557">
        <v>482874</v>
      </c>
    </row>
    <row r="231" spans="1:21" x14ac:dyDescent="0.25">
      <c r="A231" s="552">
        <v>37301</v>
      </c>
      <c r="B231" s="553" t="s">
        <v>1016</v>
      </c>
      <c r="C231" s="559">
        <v>1.941E-4</v>
      </c>
      <c r="D231" s="559">
        <v>1.6890000000000001E-4</v>
      </c>
      <c r="E231" s="555">
        <v>229923.37</v>
      </c>
      <c r="F231" s="555">
        <f t="shared" si="3"/>
        <v>198022</v>
      </c>
      <c r="G231" s="555">
        <v>715297</v>
      </c>
      <c r="H231" s="555"/>
      <c r="I231" s="556">
        <v>0</v>
      </c>
      <c r="J231" s="556">
        <v>499153</v>
      </c>
      <c r="K231" s="556">
        <v>0</v>
      </c>
      <c r="L231" s="555">
        <v>115962</v>
      </c>
      <c r="M231" s="555"/>
      <c r="N231" s="556">
        <v>81329</v>
      </c>
      <c r="O231" s="556">
        <v>576649</v>
      </c>
      <c r="P231" s="556">
        <v>0</v>
      </c>
      <c r="Q231" s="555">
        <v>0</v>
      </c>
      <c r="R231" s="555"/>
      <c r="S231" s="556">
        <v>69698</v>
      </c>
      <c r="T231" s="557">
        <v>33841</v>
      </c>
      <c r="U231" s="557">
        <v>103540</v>
      </c>
    </row>
    <row r="232" spans="1:21" x14ac:dyDescent="0.25">
      <c r="A232" s="552">
        <v>37305</v>
      </c>
      <c r="B232" s="553" t="s">
        <v>1017</v>
      </c>
      <c r="C232" s="559">
        <v>6.1359999999999995E-4</v>
      </c>
      <c r="D232" s="559">
        <v>7.136E-4</v>
      </c>
      <c r="E232" s="555">
        <v>871189.01</v>
      </c>
      <c r="F232" s="555">
        <f t="shared" si="3"/>
        <v>836640</v>
      </c>
      <c r="G232" s="555">
        <v>2261237</v>
      </c>
      <c r="H232" s="555"/>
      <c r="I232" s="556">
        <v>0</v>
      </c>
      <c r="J232" s="556">
        <v>1577950</v>
      </c>
      <c r="K232" s="556">
        <v>0</v>
      </c>
      <c r="L232" s="555">
        <v>0</v>
      </c>
      <c r="M232" s="555"/>
      <c r="N232" s="556">
        <v>257103</v>
      </c>
      <c r="O232" s="556">
        <v>1822936</v>
      </c>
      <c r="P232" s="556">
        <v>0</v>
      </c>
      <c r="Q232" s="555">
        <v>412112</v>
      </c>
      <c r="R232" s="555"/>
      <c r="S232" s="556">
        <v>220335</v>
      </c>
      <c r="T232" s="557">
        <v>-119393</v>
      </c>
      <c r="U232" s="557">
        <v>100942</v>
      </c>
    </row>
    <row r="233" spans="1:21" x14ac:dyDescent="0.25">
      <c r="A233" s="552">
        <v>37400</v>
      </c>
      <c r="B233" s="553" t="s">
        <v>1018</v>
      </c>
      <c r="C233" s="559">
        <v>9.2087999999999996E-3</v>
      </c>
      <c r="D233" s="559">
        <v>9.0300999999999992E-3</v>
      </c>
      <c r="E233" s="555">
        <v>10840698</v>
      </c>
      <c r="F233" s="555">
        <f t="shared" si="3"/>
        <v>10587080</v>
      </c>
      <c r="G233" s="555">
        <v>33936251</v>
      </c>
      <c r="H233" s="555"/>
      <c r="I233" s="556">
        <v>0</v>
      </c>
      <c r="J233" s="556">
        <v>23681590</v>
      </c>
      <c r="K233" s="556">
        <v>0</v>
      </c>
      <c r="L233" s="555">
        <v>141522</v>
      </c>
      <c r="M233" s="555"/>
      <c r="N233" s="556">
        <v>3858552</v>
      </c>
      <c r="O233" s="556">
        <v>27358295</v>
      </c>
      <c r="P233" s="556">
        <v>0</v>
      </c>
      <c r="Q233" s="555">
        <v>504876</v>
      </c>
      <c r="R233" s="555"/>
      <c r="S233" s="556">
        <v>3306742</v>
      </c>
      <c r="T233" s="557">
        <v>-141756</v>
      </c>
      <c r="U233" s="557">
        <v>3164985</v>
      </c>
    </row>
    <row r="234" spans="1:21" x14ac:dyDescent="0.25">
      <c r="A234" s="552">
        <v>37405</v>
      </c>
      <c r="B234" s="553" t="s">
        <v>1019</v>
      </c>
      <c r="C234" s="559">
        <v>1.9784E-3</v>
      </c>
      <c r="D234" s="559">
        <v>1.885E-3</v>
      </c>
      <c r="E234" s="555">
        <v>2393501.91</v>
      </c>
      <c r="F234" s="555">
        <f t="shared" si="3"/>
        <v>2210014</v>
      </c>
      <c r="G234" s="555">
        <v>7290796</v>
      </c>
      <c r="H234" s="555"/>
      <c r="I234" s="556">
        <v>0</v>
      </c>
      <c r="J234" s="556">
        <v>5087705</v>
      </c>
      <c r="K234" s="556">
        <v>0</v>
      </c>
      <c r="L234" s="555">
        <v>502686</v>
      </c>
      <c r="M234" s="555"/>
      <c r="N234" s="556">
        <v>828963</v>
      </c>
      <c r="O234" s="556">
        <v>5877601</v>
      </c>
      <c r="P234" s="556">
        <v>0</v>
      </c>
      <c r="Q234" s="555">
        <v>0</v>
      </c>
      <c r="R234" s="555"/>
      <c r="S234" s="556">
        <v>710414</v>
      </c>
      <c r="T234" s="557">
        <v>154624</v>
      </c>
      <c r="U234" s="557">
        <v>865038</v>
      </c>
    </row>
    <row r="235" spans="1:21" x14ac:dyDescent="0.25">
      <c r="A235" s="552">
        <v>37500</v>
      </c>
      <c r="B235" s="553" t="s">
        <v>1020</v>
      </c>
      <c r="C235" s="559">
        <v>1.0656000000000001E-3</v>
      </c>
      <c r="D235" s="559">
        <v>1.0281999999999999E-3</v>
      </c>
      <c r="E235" s="555">
        <v>1408022.18</v>
      </c>
      <c r="F235" s="555">
        <f t="shared" si="3"/>
        <v>1205483</v>
      </c>
      <c r="G235" s="555">
        <v>3926947</v>
      </c>
      <c r="H235" s="555"/>
      <c r="I235" s="556">
        <v>0</v>
      </c>
      <c r="J235" s="556">
        <v>2740325</v>
      </c>
      <c r="K235" s="556">
        <v>0</v>
      </c>
      <c r="L235" s="555">
        <v>333403</v>
      </c>
      <c r="M235" s="555"/>
      <c r="N235" s="556">
        <v>446494</v>
      </c>
      <c r="O235" s="556">
        <v>3165776</v>
      </c>
      <c r="P235" s="556">
        <v>0</v>
      </c>
      <c r="Q235" s="555">
        <v>0</v>
      </c>
      <c r="R235" s="555"/>
      <c r="S235" s="556">
        <v>382641</v>
      </c>
      <c r="T235" s="557">
        <v>102610</v>
      </c>
      <c r="U235" s="557">
        <v>485251</v>
      </c>
    </row>
    <row r="236" spans="1:21" x14ac:dyDescent="0.25">
      <c r="A236" s="552">
        <v>37600</v>
      </c>
      <c r="B236" s="553" t="s">
        <v>1021</v>
      </c>
      <c r="C236" s="559">
        <v>6.4326000000000001E-3</v>
      </c>
      <c r="D236" s="559">
        <v>6.5849999999999997E-3</v>
      </c>
      <c r="E236" s="555">
        <v>7795506</v>
      </c>
      <c r="F236" s="555">
        <f t="shared" si="3"/>
        <v>7720393</v>
      </c>
      <c r="G236" s="555">
        <v>23705405</v>
      </c>
      <c r="H236" s="555"/>
      <c r="I236" s="556">
        <v>0</v>
      </c>
      <c r="J236" s="556">
        <v>16542241</v>
      </c>
      <c r="K236" s="556">
        <v>0</v>
      </c>
      <c r="L236" s="555">
        <v>0</v>
      </c>
      <c r="M236" s="555"/>
      <c r="N236" s="556">
        <v>2695304</v>
      </c>
      <c r="O236" s="556">
        <v>19110521</v>
      </c>
      <c r="P236" s="556">
        <v>0</v>
      </c>
      <c r="Q236" s="555">
        <v>1059957</v>
      </c>
      <c r="R236" s="555"/>
      <c r="S236" s="556">
        <v>2309850</v>
      </c>
      <c r="T236" s="557">
        <v>-306614</v>
      </c>
      <c r="U236" s="557">
        <v>2003236</v>
      </c>
    </row>
    <row r="237" spans="1:21" x14ac:dyDescent="0.25">
      <c r="A237" s="552">
        <v>37601</v>
      </c>
      <c r="B237" s="553" t="s">
        <v>1022</v>
      </c>
      <c r="C237" s="559">
        <v>8.25E-5</v>
      </c>
      <c r="D237" s="559">
        <v>4.21E-5</v>
      </c>
      <c r="E237" s="555">
        <v>88563.35</v>
      </c>
      <c r="F237" s="555">
        <f t="shared" si="3"/>
        <v>49359</v>
      </c>
      <c r="G237" s="555">
        <v>304029</v>
      </c>
      <c r="H237" s="555"/>
      <c r="I237" s="556">
        <v>0</v>
      </c>
      <c r="J237" s="556">
        <v>212159</v>
      </c>
      <c r="K237" s="556">
        <v>0</v>
      </c>
      <c r="L237" s="555">
        <v>304477</v>
      </c>
      <c r="M237" s="555"/>
      <c r="N237" s="556">
        <v>34568</v>
      </c>
      <c r="O237" s="556">
        <v>245098</v>
      </c>
      <c r="P237" s="556">
        <v>0</v>
      </c>
      <c r="Q237" s="555">
        <v>0</v>
      </c>
      <c r="R237" s="555"/>
      <c r="S237" s="556">
        <v>29625</v>
      </c>
      <c r="T237" s="557">
        <v>96199</v>
      </c>
      <c r="U237" s="557">
        <v>125824</v>
      </c>
    </row>
    <row r="238" spans="1:21" x14ac:dyDescent="0.25">
      <c r="A238" s="552">
        <v>37605</v>
      </c>
      <c r="B238" s="553" t="s">
        <v>1023</v>
      </c>
      <c r="C238" s="559">
        <v>7.3910000000000002E-4</v>
      </c>
      <c r="D238" s="559">
        <v>7.4439999999999999E-4</v>
      </c>
      <c r="E238" s="555">
        <v>930939.71</v>
      </c>
      <c r="F238" s="555">
        <f t="shared" si="3"/>
        <v>872750</v>
      </c>
      <c r="G238" s="555">
        <v>2723730</v>
      </c>
      <c r="H238" s="555"/>
      <c r="I238" s="556">
        <v>0</v>
      </c>
      <c r="J238" s="556">
        <v>1900689</v>
      </c>
      <c r="K238" s="556">
        <v>0</v>
      </c>
      <c r="L238" s="555">
        <v>0</v>
      </c>
      <c r="M238" s="555"/>
      <c r="N238" s="556">
        <v>309688</v>
      </c>
      <c r="O238" s="556">
        <v>2195782</v>
      </c>
      <c r="P238" s="556">
        <v>0</v>
      </c>
      <c r="Q238" s="555">
        <v>28756</v>
      </c>
      <c r="R238" s="555"/>
      <c r="S238" s="556">
        <v>265400</v>
      </c>
      <c r="T238" s="557">
        <v>-8341</v>
      </c>
      <c r="U238" s="557">
        <v>257059</v>
      </c>
    </row>
    <row r="239" spans="1:21" x14ac:dyDescent="0.25">
      <c r="A239" s="552">
        <v>37610</v>
      </c>
      <c r="B239" s="553" t="s">
        <v>1024</v>
      </c>
      <c r="C239" s="559">
        <v>2.0593E-3</v>
      </c>
      <c r="D239" s="559">
        <v>2.0812000000000001E-3</v>
      </c>
      <c r="E239" s="555">
        <v>2316046.94</v>
      </c>
      <c r="F239" s="555">
        <f t="shared" si="3"/>
        <v>2440043</v>
      </c>
      <c r="G239" s="555">
        <v>7588928</v>
      </c>
      <c r="H239" s="555"/>
      <c r="I239" s="556">
        <v>0</v>
      </c>
      <c r="J239" s="556">
        <v>5295749</v>
      </c>
      <c r="K239" s="556">
        <v>0</v>
      </c>
      <c r="L239" s="555">
        <v>16229</v>
      </c>
      <c r="M239" s="555"/>
      <c r="N239" s="556">
        <v>862861</v>
      </c>
      <c r="O239" s="556">
        <v>6117946</v>
      </c>
      <c r="P239" s="556">
        <v>0</v>
      </c>
      <c r="Q239" s="555">
        <v>314991</v>
      </c>
      <c r="R239" s="555"/>
      <c r="S239" s="556">
        <v>739464</v>
      </c>
      <c r="T239" s="557">
        <v>-81438</v>
      </c>
      <c r="U239" s="557">
        <v>658025</v>
      </c>
    </row>
    <row r="240" spans="1:21" x14ac:dyDescent="0.25">
      <c r="A240" s="552">
        <v>37700</v>
      </c>
      <c r="B240" s="553" t="s">
        <v>1025</v>
      </c>
      <c r="C240" s="559">
        <v>2.7039999999999998E-3</v>
      </c>
      <c r="D240" s="559">
        <v>2.7109999999999999E-3</v>
      </c>
      <c r="E240" s="555">
        <v>3389033.61</v>
      </c>
      <c r="F240" s="555">
        <f t="shared" si="3"/>
        <v>3178434</v>
      </c>
      <c r="G240" s="555">
        <v>9964775</v>
      </c>
      <c r="H240" s="555"/>
      <c r="I240" s="556">
        <v>0</v>
      </c>
      <c r="J240" s="556">
        <v>6953677</v>
      </c>
      <c r="K240" s="556">
        <v>0</v>
      </c>
      <c r="L240" s="555">
        <v>0</v>
      </c>
      <c r="M240" s="555"/>
      <c r="N240" s="556">
        <v>1132995</v>
      </c>
      <c r="O240" s="556">
        <v>8033276</v>
      </c>
      <c r="P240" s="556">
        <v>0</v>
      </c>
      <c r="Q240" s="555">
        <v>262078</v>
      </c>
      <c r="R240" s="555"/>
      <c r="S240" s="556">
        <v>970965.84</v>
      </c>
      <c r="T240" s="557">
        <v>-89941</v>
      </c>
      <c r="U240" s="557">
        <v>881025</v>
      </c>
    </row>
    <row r="241" spans="1:21" x14ac:dyDescent="0.25">
      <c r="A241" s="552">
        <v>37705</v>
      </c>
      <c r="B241" s="553" t="s">
        <v>1026</v>
      </c>
      <c r="C241" s="559">
        <v>7.9880000000000001E-4</v>
      </c>
      <c r="D241" s="559">
        <v>7.8149999999999997E-4</v>
      </c>
      <c r="E241" s="555">
        <v>980021.79</v>
      </c>
      <c r="F241" s="555">
        <f t="shared" si="3"/>
        <v>916247</v>
      </c>
      <c r="G241" s="555">
        <v>2943736</v>
      </c>
      <c r="H241" s="555"/>
      <c r="I241" s="556">
        <v>0</v>
      </c>
      <c r="J241" s="556">
        <v>2054215</v>
      </c>
      <c r="K241" s="556">
        <v>0</v>
      </c>
      <c r="L241" s="555">
        <v>306197</v>
      </c>
      <c r="M241" s="555"/>
      <c r="N241" s="556">
        <v>334703</v>
      </c>
      <c r="O241" s="556">
        <v>2373144</v>
      </c>
      <c r="P241" s="556">
        <v>0</v>
      </c>
      <c r="Q241" s="555">
        <v>0</v>
      </c>
      <c r="R241" s="555"/>
      <c r="S241" s="556">
        <v>286837</v>
      </c>
      <c r="T241" s="557">
        <v>105599</v>
      </c>
      <c r="U241" s="557">
        <v>392436</v>
      </c>
    </row>
    <row r="242" spans="1:21" x14ac:dyDescent="0.25">
      <c r="A242" s="552">
        <v>37800</v>
      </c>
      <c r="B242" s="553" t="s">
        <v>1027</v>
      </c>
      <c r="C242" s="559">
        <v>8.3140999999999996E-3</v>
      </c>
      <c r="D242" s="559">
        <v>8.3456999999999993E-3</v>
      </c>
      <c r="E242" s="555">
        <v>10519119</v>
      </c>
      <c r="F242" s="555">
        <f t="shared" si="3"/>
        <v>9784675</v>
      </c>
      <c r="G242" s="555">
        <v>30639105</v>
      </c>
      <c r="H242" s="555"/>
      <c r="I242" s="556">
        <v>0</v>
      </c>
      <c r="J242" s="556">
        <v>21380756</v>
      </c>
      <c r="K242" s="556">
        <v>0</v>
      </c>
      <c r="L242" s="555">
        <v>362672</v>
      </c>
      <c r="M242" s="555"/>
      <c r="N242" s="556">
        <v>3483666</v>
      </c>
      <c r="O242" s="556">
        <v>24700243</v>
      </c>
      <c r="P242" s="556">
        <v>0</v>
      </c>
      <c r="Q242" s="555">
        <v>116175</v>
      </c>
      <c r="R242" s="555"/>
      <c r="S242" s="556">
        <v>2985469</v>
      </c>
      <c r="T242" s="557">
        <v>97809</v>
      </c>
      <c r="U242" s="557">
        <v>3083277</v>
      </c>
    </row>
    <row r="243" spans="1:21" x14ac:dyDescent="0.25">
      <c r="A243" s="552">
        <v>37801</v>
      </c>
      <c r="B243" s="553" t="s">
        <v>1028</v>
      </c>
      <c r="C243" s="559">
        <v>5.6499999999999998E-5</v>
      </c>
      <c r="D243" s="559">
        <v>3.1099999999999997E-5</v>
      </c>
      <c r="E243" s="555">
        <v>55934.97</v>
      </c>
      <c r="F243" s="555">
        <f t="shared" si="3"/>
        <v>36462</v>
      </c>
      <c r="G243" s="555">
        <v>208214</v>
      </c>
      <c r="H243" s="555"/>
      <c r="I243" s="556">
        <v>0</v>
      </c>
      <c r="J243" s="556">
        <v>145297</v>
      </c>
      <c r="K243" s="556">
        <v>0</v>
      </c>
      <c r="L243" s="555">
        <v>207699</v>
      </c>
      <c r="M243" s="555"/>
      <c r="N243" s="556">
        <v>23674</v>
      </c>
      <c r="O243" s="556">
        <v>167855</v>
      </c>
      <c r="P243" s="556">
        <v>0</v>
      </c>
      <c r="Q243" s="555">
        <v>0</v>
      </c>
      <c r="R243" s="555"/>
      <c r="S243" s="556">
        <v>20288</v>
      </c>
      <c r="T243" s="557">
        <v>66670</v>
      </c>
      <c r="U243" s="557">
        <v>86958</v>
      </c>
    </row>
    <row r="244" spans="1:21" x14ac:dyDescent="0.25">
      <c r="A244" s="552">
        <v>37805</v>
      </c>
      <c r="B244" s="553" t="s">
        <v>1029</v>
      </c>
      <c r="C244" s="559">
        <v>7.4660000000000004E-4</v>
      </c>
      <c r="D244" s="559">
        <v>8.2100000000000001E-4</v>
      </c>
      <c r="E244" s="555">
        <v>984479.53</v>
      </c>
      <c r="F244" s="555">
        <f t="shared" si="3"/>
        <v>962558</v>
      </c>
      <c r="G244" s="555">
        <v>2751369</v>
      </c>
      <c r="H244" s="555"/>
      <c r="I244" s="556">
        <v>0</v>
      </c>
      <c r="J244" s="556">
        <v>1919976</v>
      </c>
      <c r="K244" s="556">
        <v>0</v>
      </c>
      <c r="L244" s="555">
        <v>123558</v>
      </c>
      <c r="M244" s="555"/>
      <c r="N244" s="556">
        <v>312831</v>
      </c>
      <c r="O244" s="556">
        <v>2218063</v>
      </c>
      <c r="P244" s="556">
        <v>0</v>
      </c>
      <c r="Q244" s="555">
        <v>282208</v>
      </c>
      <c r="R244" s="555"/>
      <c r="S244" s="556">
        <v>268093</v>
      </c>
      <c r="T244" s="557">
        <v>-33888</v>
      </c>
      <c r="U244" s="557">
        <v>234205</v>
      </c>
    </row>
    <row r="245" spans="1:21" x14ac:dyDescent="0.25">
      <c r="A245" s="552">
        <v>37900</v>
      </c>
      <c r="B245" s="553" t="s">
        <v>1030</v>
      </c>
      <c r="C245" s="559">
        <v>4.7647999999999996E-3</v>
      </c>
      <c r="D245" s="559">
        <v>4.9563000000000003E-3</v>
      </c>
      <c r="E245" s="555">
        <v>6098419</v>
      </c>
      <c r="F245" s="555">
        <f t="shared" si="3"/>
        <v>5810871</v>
      </c>
      <c r="G245" s="555">
        <v>17559231</v>
      </c>
      <c r="H245" s="555"/>
      <c r="I245" s="556">
        <v>0</v>
      </c>
      <c r="J245" s="556">
        <v>12253284</v>
      </c>
      <c r="K245" s="556">
        <v>0</v>
      </c>
      <c r="L245" s="555">
        <v>137504</v>
      </c>
      <c r="M245" s="555"/>
      <c r="N245" s="556">
        <v>1996485</v>
      </c>
      <c r="O245" s="556">
        <v>14155678</v>
      </c>
      <c r="P245" s="556">
        <v>0</v>
      </c>
      <c r="Q245" s="555">
        <v>745961</v>
      </c>
      <c r="R245" s="555"/>
      <c r="S245" s="556">
        <v>1710968</v>
      </c>
      <c r="T245" s="557">
        <v>-157353</v>
      </c>
      <c r="U245" s="557">
        <v>1553615</v>
      </c>
    </row>
    <row r="246" spans="1:21" x14ac:dyDescent="0.25">
      <c r="A246" s="552">
        <v>37901</v>
      </c>
      <c r="B246" s="553" t="s">
        <v>1031</v>
      </c>
      <c r="C246" s="559">
        <v>6.3499999999999999E-5</v>
      </c>
      <c r="D246" s="559">
        <v>6.2299999999999996E-5</v>
      </c>
      <c r="E246" s="555">
        <v>73952</v>
      </c>
      <c r="F246" s="555">
        <f t="shared" si="3"/>
        <v>73042</v>
      </c>
      <c r="G246" s="555">
        <v>234010</v>
      </c>
      <c r="H246" s="555"/>
      <c r="I246" s="556">
        <v>0</v>
      </c>
      <c r="J246" s="556">
        <v>163298</v>
      </c>
      <c r="K246" s="556">
        <v>0</v>
      </c>
      <c r="L246" s="555">
        <v>863</v>
      </c>
      <c r="M246" s="555"/>
      <c r="N246" s="556">
        <v>26607</v>
      </c>
      <c r="O246" s="556">
        <v>188651</v>
      </c>
      <c r="P246" s="556">
        <v>0</v>
      </c>
      <c r="Q246" s="555">
        <v>0</v>
      </c>
      <c r="R246" s="555"/>
      <c r="S246" s="556">
        <v>22802</v>
      </c>
      <c r="T246" s="557">
        <v>292</v>
      </c>
      <c r="U246" s="557">
        <v>23094</v>
      </c>
    </row>
    <row r="247" spans="1:21" x14ac:dyDescent="0.25">
      <c r="A247" s="552">
        <v>37905</v>
      </c>
      <c r="B247" s="553" t="s">
        <v>1032</v>
      </c>
      <c r="C247" s="559">
        <v>5.2079999999999997E-4</v>
      </c>
      <c r="D247" s="559">
        <v>5.5029999999999999E-4</v>
      </c>
      <c r="E247" s="555">
        <v>738438.37</v>
      </c>
      <c r="F247" s="555">
        <f t="shared" si="3"/>
        <v>645183</v>
      </c>
      <c r="G247" s="555">
        <v>1919251</v>
      </c>
      <c r="H247" s="555"/>
      <c r="I247" s="556">
        <v>0</v>
      </c>
      <c r="J247" s="556">
        <v>1339303</v>
      </c>
      <c r="K247" s="556">
        <v>0</v>
      </c>
      <c r="L247" s="555">
        <v>3413</v>
      </c>
      <c r="M247" s="555"/>
      <c r="N247" s="556">
        <v>218219</v>
      </c>
      <c r="O247" s="556">
        <v>1547237</v>
      </c>
      <c r="P247" s="556">
        <v>0</v>
      </c>
      <c r="Q247" s="555">
        <v>61534</v>
      </c>
      <c r="R247" s="555"/>
      <c r="S247" s="556">
        <v>187011</v>
      </c>
      <c r="T247" s="557">
        <v>-15822</v>
      </c>
      <c r="U247" s="557">
        <v>171189</v>
      </c>
    </row>
    <row r="248" spans="1:21" x14ac:dyDescent="0.25">
      <c r="A248" s="552">
        <v>38000</v>
      </c>
      <c r="B248" s="553" t="s">
        <v>1033</v>
      </c>
      <c r="C248" s="559">
        <v>7.1176E-3</v>
      </c>
      <c r="D248" s="559">
        <v>7.2354999999999997E-3</v>
      </c>
      <c r="E248" s="555">
        <v>8881051</v>
      </c>
      <c r="F248" s="555">
        <f t="shared" si="3"/>
        <v>8483053</v>
      </c>
      <c r="G248" s="555">
        <v>26229765</v>
      </c>
      <c r="H248" s="555"/>
      <c r="I248" s="556">
        <v>0</v>
      </c>
      <c r="J248" s="556">
        <v>18303805</v>
      </c>
      <c r="K248" s="556">
        <v>0</v>
      </c>
      <c r="L248" s="555">
        <v>0</v>
      </c>
      <c r="M248" s="555"/>
      <c r="N248" s="556">
        <v>2982324</v>
      </c>
      <c r="O248" s="556">
        <v>21145578</v>
      </c>
      <c r="P248" s="556">
        <v>0</v>
      </c>
      <c r="Q248" s="555">
        <v>2162545</v>
      </c>
      <c r="R248" s="555"/>
      <c r="S248" s="556">
        <v>2555823</v>
      </c>
      <c r="T248" s="557">
        <v>-727772</v>
      </c>
      <c r="U248" s="557">
        <v>1828052</v>
      </c>
    </row>
    <row r="249" spans="1:21" x14ac:dyDescent="0.25">
      <c r="A249" s="552">
        <v>38005</v>
      </c>
      <c r="B249" s="553" t="s">
        <v>1034</v>
      </c>
      <c r="C249" s="559">
        <v>1.4445E-3</v>
      </c>
      <c r="D249" s="559">
        <v>1.4295E-3</v>
      </c>
      <c r="E249" s="555">
        <v>1921468.34</v>
      </c>
      <c r="F249" s="555">
        <f t="shared" si="3"/>
        <v>1675976</v>
      </c>
      <c r="G249" s="555">
        <v>5323269</v>
      </c>
      <c r="H249" s="555"/>
      <c r="I249" s="556">
        <v>0</v>
      </c>
      <c r="J249" s="556">
        <v>3714714</v>
      </c>
      <c r="K249" s="556">
        <v>0</v>
      </c>
      <c r="L249" s="555">
        <v>307275</v>
      </c>
      <c r="M249" s="555"/>
      <c r="N249" s="556">
        <v>605256</v>
      </c>
      <c r="O249" s="556">
        <v>4291445</v>
      </c>
      <c r="P249" s="556">
        <v>0</v>
      </c>
      <c r="Q249" s="555">
        <v>0</v>
      </c>
      <c r="R249" s="555"/>
      <c r="S249" s="556">
        <v>518698</v>
      </c>
      <c r="T249" s="557">
        <v>98730</v>
      </c>
      <c r="U249" s="557">
        <v>617429</v>
      </c>
    </row>
    <row r="250" spans="1:21" x14ac:dyDescent="0.25">
      <c r="A250" s="552">
        <v>38100</v>
      </c>
      <c r="B250" s="553" t="s">
        <v>1035</v>
      </c>
      <c r="C250" s="559">
        <v>3.3126000000000002E-3</v>
      </c>
      <c r="D250" s="559">
        <v>3.3475000000000002E-3</v>
      </c>
      <c r="E250" s="555">
        <v>4187418.75</v>
      </c>
      <c r="F250" s="555">
        <f t="shared" si="3"/>
        <v>3924680</v>
      </c>
      <c r="G250" s="555">
        <v>12207587</v>
      </c>
      <c r="H250" s="555"/>
      <c r="I250" s="556">
        <v>0</v>
      </c>
      <c r="J250" s="556">
        <v>8518768</v>
      </c>
      <c r="K250" s="556">
        <v>0</v>
      </c>
      <c r="L250" s="555">
        <v>0</v>
      </c>
      <c r="M250" s="555"/>
      <c r="N250" s="556">
        <v>1388003</v>
      </c>
      <c r="O250" s="556">
        <v>9841357</v>
      </c>
      <c r="P250" s="556">
        <v>0</v>
      </c>
      <c r="Q250" s="555">
        <v>737957</v>
      </c>
      <c r="R250" s="555"/>
      <c r="S250" s="556">
        <v>1189505</v>
      </c>
      <c r="T250" s="557">
        <v>-252804</v>
      </c>
      <c r="U250" s="557">
        <v>936701</v>
      </c>
    </row>
    <row r="251" spans="1:21" x14ac:dyDescent="0.25">
      <c r="A251" s="552">
        <v>38105</v>
      </c>
      <c r="B251" s="553" t="s">
        <v>1036</v>
      </c>
      <c r="C251" s="559">
        <v>6.8559999999999997E-4</v>
      </c>
      <c r="D251" s="559">
        <v>7.0240000000000005E-4</v>
      </c>
      <c r="E251" s="555">
        <v>862431.33</v>
      </c>
      <c r="F251" s="555">
        <f t="shared" si="3"/>
        <v>823509</v>
      </c>
      <c r="G251" s="555">
        <v>2526572</v>
      </c>
      <c r="H251" s="555"/>
      <c r="I251" s="556">
        <v>0</v>
      </c>
      <c r="J251" s="556">
        <v>1763107</v>
      </c>
      <c r="K251" s="556">
        <v>0</v>
      </c>
      <c r="L251" s="555">
        <v>0</v>
      </c>
      <c r="M251" s="555"/>
      <c r="N251" s="556">
        <v>287271</v>
      </c>
      <c r="O251" s="556">
        <v>2036839</v>
      </c>
      <c r="P251" s="556">
        <v>0</v>
      </c>
      <c r="Q251" s="555">
        <v>96242</v>
      </c>
      <c r="R251" s="555"/>
      <c r="S251" s="556">
        <v>246189</v>
      </c>
      <c r="T251" s="557">
        <v>-28504</v>
      </c>
      <c r="U251" s="557">
        <v>217685</v>
      </c>
    </row>
    <row r="252" spans="1:21" x14ac:dyDescent="0.25">
      <c r="A252" s="552">
        <v>38200</v>
      </c>
      <c r="B252" s="553" t="s">
        <v>1037</v>
      </c>
      <c r="C252" s="559">
        <v>3.2916E-3</v>
      </c>
      <c r="D252" s="559">
        <v>3.2772999999999999E-3</v>
      </c>
      <c r="E252" s="555">
        <v>3982111.89</v>
      </c>
      <c r="F252" s="555">
        <f t="shared" si="3"/>
        <v>3842376</v>
      </c>
      <c r="G252" s="555">
        <v>12130198</v>
      </c>
      <c r="H252" s="555"/>
      <c r="I252" s="556">
        <v>0</v>
      </c>
      <c r="J252" s="556">
        <v>8464764</v>
      </c>
      <c r="K252" s="556">
        <v>0</v>
      </c>
      <c r="L252" s="555">
        <v>78323</v>
      </c>
      <c r="M252" s="555"/>
      <c r="N252" s="556">
        <v>1379203</v>
      </c>
      <c r="O252" s="556">
        <v>9778968</v>
      </c>
      <c r="P252" s="556">
        <v>0</v>
      </c>
      <c r="Q252" s="555">
        <v>75364</v>
      </c>
      <c r="R252" s="555"/>
      <c r="S252" s="556">
        <v>1181964</v>
      </c>
      <c r="T252" s="557">
        <v>7196</v>
      </c>
      <c r="U252" s="557">
        <v>1189160</v>
      </c>
    </row>
    <row r="253" spans="1:21" x14ac:dyDescent="0.25">
      <c r="A253" s="552">
        <v>38205</v>
      </c>
      <c r="B253" s="553" t="s">
        <v>1038</v>
      </c>
      <c r="C253" s="559">
        <v>4.5619999999999998E-4</v>
      </c>
      <c r="D253" s="559">
        <v>4.9180000000000003E-4</v>
      </c>
      <c r="E253" s="555">
        <v>641452.85</v>
      </c>
      <c r="F253" s="555">
        <f t="shared" si="3"/>
        <v>576597</v>
      </c>
      <c r="G253" s="555">
        <v>1681187</v>
      </c>
      <c r="H253" s="555"/>
      <c r="I253" s="556">
        <v>0</v>
      </c>
      <c r="J253" s="556">
        <v>1173176</v>
      </c>
      <c r="K253" s="556">
        <v>0</v>
      </c>
      <c r="L253" s="555">
        <v>0</v>
      </c>
      <c r="M253" s="555"/>
      <c r="N253" s="556">
        <v>191151</v>
      </c>
      <c r="O253" s="556">
        <v>1355318</v>
      </c>
      <c r="P253" s="556">
        <v>0</v>
      </c>
      <c r="Q253" s="555">
        <v>119662</v>
      </c>
      <c r="R253" s="555"/>
      <c r="S253" s="556">
        <v>163815</v>
      </c>
      <c r="T253" s="557">
        <v>-34794</v>
      </c>
      <c r="U253" s="557">
        <v>129021</v>
      </c>
    </row>
    <row r="254" spans="1:21" x14ac:dyDescent="0.25">
      <c r="A254" s="552">
        <v>38210</v>
      </c>
      <c r="B254" s="553" t="s">
        <v>1039</v>
      </c>
      <c r="C254" s="559">
        <v>1.1485E-3</v>
      </c>
      <c r="D254" s="559">
        <v>1.1677E-3</v>
      </c>
      <c r="E254" s="555">
        <v>1442882.37</v>
      </c>
      <c r="F254" s="555">
        <f t="shared" si="3"/>
        <v>1369036</v>
      </c>
      <c r="G254" s="555">
        <v>4232450</v>
      </c>
      <c r="H254" s="555"/>
      <c r="I254" s="556">
        <v>0</v>
      </c>
      <c r="J254" s="556">
        <v>2953512</v>
      </c>
      <c r="K254" s="556">
        <v>0</v>
      </c>
      <c r="L254" s="555">
        <v>68977</v>
      </c>
      <c r="M254" s="555"/>
      <c r="N254" s="556">
        <v>481230</v>
      </c>
      <c r="O254" s="556">
        <v>3412063</v>
      </c>
      <c r="P254" s="556">
        <v>0</v>
      </c>
      <c r="Q254" s="555">
        <v>86860</v>
      </c>
      <c r="R254" s="555"/>
      <c r="S254" s="556">
        <v>412409</v>
      </c>
      <c r="T254" s="557">
        <v>662</v>
      </c>
      <c r="U254" s="557">
        <v>413071</v>
      </c>
    </row>
    <row r="255" spans="1:21" x14ac:dyDescent="0.25">
      <c r="A255" s="552">
        <v>38300</v>
      </c>
      <c r="B255" s="553" t="s">
        <v>1040</v>
      </c>
      <c r="C255" s="559">
        <v>2.5233E-3</v>
      </c>
      <c r="D255" s="559">
        <v>2.5320999999999998E-3</v>
      </c>
      <c r="E255" s="555">
        <v>3200446.49</v>
      </c>
      <c r="F255" s="555">
        <f t="shared" si="3"/>
        <v>2968687</v>
      </c>
      <c r="G255" s="555">
        <v>9298860</v>
      </c>
      <c r="H255" s="555"/>
      <c r="I255" s="556">
        <v>0</v>
      </c>
      <c r="J255" s="556">
        <v>6488984</v>
      </c>
      <c r="K255" s="556">
        <v>0</v>
      </c>
      <c r="L255" s="555">
        <v>0</v>
      </c>
      <c r="M255" s="555"/>
      <c r="N255" s="556">
        <v>1057280</v>
      </c>
      <c r="O255" s="556">
        <v>7496437</v>
      </c>
      <c r="P255" s="556">
        <v>0</v>
      </c>
      <c r="Q255" s="555">
        <v>681392</v>
      </c>
      <c r="R255" s="555"/>
      <c r="S255" s="556">
        <v>906079</v>
      </c>
      <c r="T255" s="557">
        <v>-242134</v>
      </c>
      <c r="U255" s="557">
        <v>663945</v>
      </c>
    </row>
    <row r="256" spans="1:21" x14ac:dyDescent="0.25">
      <c r="A256" s="552">
        <v>38400</v>
      </c>
      <c r="B256" s="553" t="s">
        <v>1041</v>
      </c>
      <c r="C256" s="559">
        <v>3.2049000000000001E-3</v>
      </c>
      <c r="D256" s="559">
        <v>3.1813000000000002E-3</v>
      </c>
      <c r="E256" s="555">
        <v>3933510.83</v>
      </c>
      <c r="F256" s="555">
        <f t="shared" si="3"/>
        <v>3729823</v>
      </c>
      <c r="G256" s="555">
        <v>11810691</v>
      </c>
      <c r="H256" s="555"/>
      <c r="I256" s="556">
        <v>0</v>
      </c>
      <c r="J256" s="556">
        <v>8241804</v>
      </c>
      <c r="K256" s="556">
        <v>0</v>
      </c>
      <c r="L256" s="555">
        <v>11669</v>
      </c>
      <c r="M256" s="555"/>
      <c r="N256" s="556">
        <v>1342876</v>
      </c>
      <c r="O256" s="556">
        <v>9521393</v>
      </c>
      <c r="P256" s="556">
        <v>0</v>
      </c>
      <c r="Q256" s="555">
        <v>643119</v>
      </c>
      <c r="R256" s="555"/>
      <c r="S256" s="556">
        <v>1150832</v>
      </c>
      <c r="T256" s="557">
        <v>-227276</v>
      </c>
      <c r="U256" s="557">
        <v>923555</v>
      </c>
    </row>
    <row r="257" spans="1:21" x14ac:dyDescent="0.25">
      <c r="A257" s="552">
        <v>38402</v>
      </c>
      <c r="B257" s="553" t="s">
        <v>1042</v>
      </c>
      <c r="C257" s="559">
        <v>1.086E-4</v>
      </c>
      <c r="D257" s="559">
        <v>1.0900000000000001E-4</v>
      </c>
      <c r="E257" s="555">
        <v>119890.82</v>
      </c>
      <c r="F257" s="555">
        <f t="shared" si="3"/>
        <v>127794</v>
      </c>
      <c r="G257" s="555">
        <v>400213</v>
      </c>
      <c r="H257" s="555"/>
      <c r="I257" s="556">
        <v>0</v>
      </c>
      <c r="J257" s="556">
        <v>279279</v>
      </c>
      <c r="K257" s="556">
        <v>0</v>
      </c>
      <c r="L257" s="555">
        <v>31845</v>
      </c>
      <c r="M257" s="555"/>
      <c r="N257" s="556">
        <v>45504</v>
      </c>
      <c r="O257" s="556">
        <v>322638</v>
      </c>
      <c r="P257" s="556">
        <v>0</v>
      </c>
      <c r="Q257" s="555">
        <v>15176</v>
      </c>
      <c r="R257" s="555"/>
      <c r="S257" s="556">
        <v>38997</v>
      </c>
      <c r="T257" s="557">
        <v>7210</v>
      </c>
      <c r="U257" s="557">
        <v>46207</v>
      </c>
    </row>
    <row r="258" spans="1:21" x14ac:dyDescent="0.25">
      <c r="A258" s="552">
        <v>38405</v>
      </c>
      <c r="B258" s="553" t="s">
        <v>1043</v>
      </c>
      <c r="C258" s="559">
        <v>7.5730000000000003E-4</v>
      </c>
      <c r="D258" s="559">
        <v>7.762E-4</v>
      </c>
      <c r="E258" s="555">
        <v>914340.69</v>
      </c>
      <c r="F258" s="555">
        <f t="shared" si="3"/>
        <v>910033</v>
      </c>
      <c r="G258" s="555">
        <v>2790800</v>
      </c>
      <c r="H258" s="555"/>
      <c r="I258" s="556">
        <v>0</v>
      </c>
      <c r="J258" s="556">
        <v>1947492</v>
      </c>
      <c r="K258" s="556">
        <v>0</v>
      </c>
      <c r="L258" s="555">
        <v>0</v>
      </c>
      <c r="M258" s="555"/>
      <c r="N258" s="556">
        <v>317314</v>
      </c>
      <c r="O258" s="556">
        <v>2249852</v>
      </c>
      <c r="P258" s="556">
        <v>0</v>
      </c>
      <c r="Q258" s="555">
        <v>179246</v>
      </c>
      <c r="R258" s="555"/>
      <c r="S258" s="556">
        <v>271935</v>
      </c>
      <c r="T258" s="557">
        <v>-55069</v>
      </c>
      <c r="U258" s="557">
        <v>216867</v>
      </c>
    </row>
    <row r="259" spans="1:21" x14ac:dyDescent="0.25">
      <c r="A259" s="552">
        <v>38500</v>
      </c>
      <c r="B259" s="553" t="s">
        <v>1044</v>
      </c>
      <c r="C259" s="559">
        <v>2.5734E-3</v>
      </c>
      <c r="D259" s="559">
        <v>2.6243E-3</v>
      </c>
      <c r="E259" s="555">
        <v>3155489.47</v>
      </c>
      <c r="F259" s="555">
        <f t="shared" ref="F259:F294" si="4">D259*$F$298</f>
        <v>3076785</v>
      </c>
      <c r="G259" s="555">
        <v>9483489</v>
      </c>
      <c r="H259" s="555"/>
      <c r="I259" s="556">
        <v>0</v>
      </c>
      <c r="J259" s="556">
        <v>6617822</v>
      </c>
      <c r="K259" s="556">
        <v>0</v>
      </c>
      <c r="L259" s="555">
        <v>0</v>
      </c>
      <c r="M259" s="555"/>
      <c r="N259" s="556">
        <v>1078273</v>
      </c>
      <c r="O259" s="556">
        <v>7645278</v>
      </c>
      <c r="P259" s="556">
        <v>0</v>
      </c>
      <c r="Q259" s="555">
        <v>464058</v>
      </c>
      <c r="R259" s="555"/>
      <c r="S259" s="556">
        <v>924069</v>
      </c>
      <c r="T259" s="557">
        <v>-142826</v>
      </c>
      <c r="U259" s="557">
        <v>781244</v>
      </c>
    </row>
    <row r="260" spans="1:21" x14ac:dyDescent="0.25">
      <c r="A260" s="552">
        <v>38600</v>
      </c>
      <c r="B260" s="553" t="s">
        <v>1045</v>
      </c>
      <c r="C260" s="559">
        <v>3.1337000000000001E-3</v>
      </c>
      <c r="D260" s="559">
        <v>3.1055000000000002E-3</v>
      </c>
      <c r="E260" s="555">
        <v>3811168</v>
      </c>
      <c r="F260" s="555">
        <f t="shared" si="4"/>
        <v>3640954</v>
      </c>
      <c r="G260" s="555">
        <v>11548305</v>
      </c>
      <c r="H260" s="555"/>
      <c r="I260" s="556">
        <v>0</v>
      </c>
      <c r="J260" s="556">
        <v>8058704</v>
      </c>
      <c r="K260" s="556">
        <v>0</v>
      </c>
      <c r="L260" s="555">
        <v>5733</v>
      </c>
      <c r="M260" s="555"/>
      <c r="N260" s="556">
        <v>1313042</v>
      </c>
      <c r="O260" s="556">
        <v>9309865</v>
      </c>
      <c r="P260" s="556">
        <v>0</v>
      </c>
      <c r="Q260" s="555">
        <v>597515</v>
      </c>
      <c r="R260" s="555"/>
      <c r="S260" s="556">
        <v>1125265</v>
      </c>
      <c r="T260" s="557">
        <v>-212575</v>
      </c>
      <c r="U260" s="557">
        <v>912689</v>
      </c>
    </row>
    <row r="261" spans="1:21" x14ac:dyDescent="0.25">
      <c r="A261" s="552">
        <v>38601</v>
      </c>
      <c r="B261" s="553" t="s">
        <v>1046</v>
      </c>
      <c r="C261" s="559">
        <v>4.0399999999999999E-5</v>
      </c>
      <c r="D261" s="559">
        <v>3.43E-5</v>
      </c>
      <c r="E261" s="555">
        <v>43611.76</v>
      </c>
      <c r="F261" s="555">
        <f t="shared" si="4"/>
        <v>40214</v>
      </c>
      <c r="G261" s="555">
        <v>148882</v>
      </c>
      <c r="H261" s="555"/>
      <c r="I261" s="556">
        <v>0</v>
      </c>
      <c r="J261" s="556">
        <v>103894</v>
      </c>
      <c r="K261" s="556">
        <v>0</v>
      </c>
      <c r="L261" s="555">
        <v>34271</v>
      </c>
      <c r="M261" s="555"/>
      <c r="N261" s="556">
        <v>16928</v>
      </c>
      <c r="O261" s="556">
        <v>120024</v>
      </c>
      <c r="P261" s="556">
        <v>0</v>
      </c>
      <c r="Q261" s="555">
        <v>0</v>
      </c>
      <c r="R261" s="555"/>
      <c r="S261" s="556">
        <v>14507</v>
      </c>
      <c r="T261" s="557">
        <v>10652</v>
      </c>
      <c r="U261" s="557">
        <v>25159</v>
      </c>
    </row>
    <row r="262" spans="1:21" x14ac:dyDescent="0.25">
      <c r="A262" s="552">
        <v>38602</v>
      </c>
      <c r="B262" s="553" t="s">
        <v>1047</v>
      </c>
      <c r="C262" s="559">
        <v>1.717E-4</v>
      </c>
      <c r="D262" s="559">
        <v>1.4970000000000001E-4</v>
      </c>
      <c r="E262" s="555">
        <v>205036.65</v>
      </c>
      <c r="F262" s="555">
        <f t="shared" si="4"/>
        <v>175511</v>
      </c>
      <c r="G262" s="555">
        <v>632748</v>
      </c>
      <c r="H262" s="555"/>
      <c r="I262" s="556">
        <v>0</v>
      </c>
      <c r="J262" s="556">
        <v>441548</v>
      </c>
      <c r="K262" s="556">
        <v>0</v>
      </c>
      <c r="L262" s="555">
        <v>86722</v>
      </c>
      <c r="M262" s="555"/>
      <c r="N262" s="556">
        <v>71944</v>
      </c>
      <c r="O262" s="556">
        <v>510101</v>
      </c>
      <c r="P262" s="556">
        <v>0</v>
      </c>
      <c r="Q262" s="555">
        <v>0</v>
      </c>
      <c r="R262" s="555"/>
      <c r="S262" s="556">
        <v>61655</v>
      </c>
      <c r="T262" s="557">
        <v>24248</v>
      </c>
      <c r="U262" s="557">
        <v>85903</v>
      </c>
    </row>
    <row r="263" spans="1:21" x14ac:dyDescent="0.25">
      <c r="A263" s="552">
        <v>38605</v>
      </c>
      <c r="B263" s="553" t="s">
        <v>1048</v>
      </c>
      <c r="C263" s="559">
        <v>8.4349999999999996E-4</v>
      </c>
      <c r="D263" s="559">
        <v>8.5879999999999995E-4</v>
      </c>
      <c r="E263" s="555">
        <v>1072655.74</v>
      </c>
      <c r="F263" s="555">
        <f t="shared" si="4"/>
        <v>1006875</v>
      </c>
      <c r="G263" s="555">
        <v>3108465</v>
      </c>
      <c r="H263" s="555"/>
      <c r="I263" s="556">
        <v>0</v>
      </c>
      <c r="J263" s="556">
        <v>2169167</v>
      </c>
      <c r="K263" s="556">
        <v>0</v>
      </c>
      <c r="L263" s="555">
        <v>58489</v>
      </c>
      <c r="M263" s="555"/>
      <c r="N263" s="556">
        <v>353432</v>
      </c>
      <c r="O263" s="556">
        <v>2505942</v>
      </c>
      <c r="P263" s="556">
        <v>0</v>
      </c>
      <c r="Q263" s="555">
        <v>58727</v>
      </c>
      <c r="R263" s="555"/>
      <c r="S263" s="556">
        <v>302888</v>
      </c>
      <c r="T263" s="557">
        <v>4696</v>
      </c>
      <c r="U263" s="557">
        <v>307584</v>
      </c>
    </row>
    <row r="264" spans="1:21" x14ac:dyDescent="0.25">
      <c r="A264" s="552">
        <v>38610</v>
      </c>
      <c r="B264" s="553" t="s">
        <v>1049</v>
      </c>
      <c r="C264" s="559">
        <v>6.401E-4</v>
      </c>
      <c r="D264" s="559">
        <v>6.4579999999999998E-4</v>
      </c>
      <c r="E264" s="555">
        <v>835938.91</v>
      </c>
      <c r="F264" s="555">
        <f t="shared" si="4"/>
        <v>757150</v>
      </c>
      <c r="G264" s="555">
        <v>2358895</v>
      </c>
      <c r="H264" s="555"/>
      <c r="I264" s="556">
        <v>0</v>
      </c>
      <c r="J264" s="556">
        <v>1646098</v>
      </c>
      <c r="K264" s="556">
        <v>0</v>
      </c>
      <c r="L264" s="555">
        <v>57055</v>
      </c>
      <c r="M264" s="555"/>
      <c r="N264" s="556">
        <v>268206</v>
      </c>
      <c r="O264" s="556">
        <v>1901664</v>
      </c>
      <c r="P264" s="556">
        <v>0</v>
      </c>
      <c r="Q264" s="555">
        <v>2358</v>
      </c>
      <c r="R264" s="555"/>
      <c r="S264" s="556">
        <v>229850</v>
      </c>
      <c r="T264" s="557">
        <v>19797</v>
      </c>
      <c r="U264" s="557">
        <v>249647</v>
      </c>
    </row>
    <row r="265" spans="1:21" x14ac:dyDescent="0.25">
      <c r="A265" s="552">
        <v>38620</v>
      </c>
      <c r="B265" s="553" t="s">
        <v>1050</v>
      </c>
      <c r="C265" s="559">
        <v>5.2720000000000002E-4</v>
      </c>
      <c r="D265" s="559">
        <v>5.0140000000000004E-4</v>
      </c>
      <c r="E265" s="555">
        <v>656370.73</v>
      </c>
      <c r="F265" s="555">
        <f t="shared" si="4"/>
        <v>587852</v>
      </c>
      <c r="G265" s="555">
        <v>1942836</v>
      </c>
      <c r="H265" s="555"/>
      <c r="I265" s="556">
        <v>0</v>
      </c>
      <c r="J265" s="556">
        <v>1355761</v>
      </c>
      <c r="K265" s="556">
        <v>0</v>
      </c>
      <c r="L265" s="555">
        <v>119701</v>
      </c>
      <c r="M265" s="555"/>
      <c r="N265" s="556">
        <v>220900</v>
      </c>
      <c r="O265" s="556">
        <v>1566251</v>
      </c>
      <c r="P265" s="556">
        <v>0</v>
      </c>
      <c r="Q265" s="555">
        <v>0</v>
      </c>
      <c r="R265" s="555"/>
      <c r="S265" s="556">
        <v>189310</v>
      </c>
      <c r="T265" s="557">
        <v>34598</v>
      </c>
      <c r="U265" s="557">
        <v>223908</v>
      </c>
    </row>
    <row r="266" spans="1:21" x14ac:dyDescent="0.25">
      <c r="A266" s="552">
        <v>38700</v>
      </c>
      <c r="B266" s="553" t="s">
        <v>1051</v>
      </c>
      <c r="C266" s="559">
        <v>8.9820000000000004E-4</v>
      </c>
      <c r="D266" s="559">
        <v>8.4749999999999995E-4</v>
      </c>
      <c r="E266" s="555">
        <v>1109327.75</v>
      </c>
      <c r="F266" s="555">
        <f t="shared" si="4"/>
        <v>993627</v>
      </c>
      <c r="G266" s="555">
        <v>3310045</v>
      </c>
      <c r="H266" s="555"/>
      <c r="I266" s="556">
        <v>0</v>
      </c>
      <c r="J266" s="556">
        <v>2309834</v>
      </c>
      <c r="K266" s="556">
        <v>0</v>
      </c>
      <c r="L266" s="555">
        <v>256954</v>
      </c>
      <c r="M266" s="555"/>
      <c r="N266" s="556">
        <v>376352</v>
      </c>
      <c r="O266" s="556">
        <v>2668450</v>
      </c>
      <c r="P266" s="556">
        <v>0</v>
      </c>
      <c r="Q266" s="555">
        <v>0</v>
      </c>
      <c r="R266" s="555"/>
      <c r="S266" s="556">
        <v>322530</v>
      </c>
      <c r="T266" s="557">
        <v>76193</v>
      </c>
      <c r="U266" s="557">
        <v>398724</v>
      </c>
    </row>
    <row r="267" spans="1:21" x14ac:dyDescent="0.25">
      <c r="A267" s="552">
        <v>38701</v>
      </c>
      <c r="B267" s="553" t="s">
        <v>1052</v>
      </c>
      <c r="C267" s="559">
        <v>6.0099999999999997E-5</v>
      </c>
      <c r="D267" s="559">
        <v>6.4599999999999998E-5</v>
      </c>
      <c r="E267" s="555">
        <v>75728</v>
      </c>
      <c r="F267" s="555">
        <f t="shared" si="4"/>
        <v>75738</v>
      </c>
      <c r="G267" s="555">
        <v>221480</v>
      </c>
      <c r="H267" s="555"/>
      <c r="I267" s="556">
        <v>0</v>
      </c>
      <c r="J267" s="556">
        <v>154555</v>
      </c>
      <c r="K267" s="556">
        <v>0</v>
      </c>
      <c r="L267" s="555">
        <v>0</v>
      </c>
      <c r="M267" s="555"/>
      <c r="N267" s="556">
        <v>25182</v>
      </c>
      <c r="O267" s="556">
        <v>178550</v>
      </c>
      <c r="P267" s="556">
        <v>0</v>
      </c>
      <c r="Q267" s="555">
        <v>51320</v>
      </c>
      <c r="R267" s="555"/>
      <c r="S267" s="556">
        <v>21581</v>
      </c>
      <c r="T267" s="557">
        <v>-16834</v>
      </c>
      <c r="U267" s="557">
        <v>4747</v>
      </c>
    </row>
    <row r="268" spans="1:21" x14ac:dyDescent="0.25">
      <c r="A268" s="552">
        <v>38800</v>
      </c>
      <c r="B268" s="553" t="s">
        <v>1053</v>
      </c>
      <c r="C268" s="559">
        <v>1.5524E-3</v>
      </c>
      <c r="D268" s="559">
        <v>1.5125E-3</v>
      </c>
      <c r="E268" s="555">
        <v>1938891.02</v>
      </c>
      <c r="F268" s="555">
        <f t="shared" si="4"/>
        <v>1773287</v>
      </c>
      <c r="G268" s="555">
        <v>5720901</v>
      </c>
      <c r="H268" s="555"/>
      <c r="I268" s="556">
        <v>0</v>
      </c>
      <c r="J268" s="556">
        <v>3992192</v>
      </c>
      <c r="K268" s="556">
        <v>0</v>
      </c>
      <c r="L268" s="555">
        <v>152472</v>
      </c>
      <c r="M268" s="555"/>
      <c r="N268" s="556">
        <v>650466</v>
      </c>
      <c r="O268" s="556">
        <v>4612003</v>
      </c>
      <c r="P268" s="556">
        <v>0</v>
      </c>
      <c r="Q268" s="555">
        <v>35394</v>
      </c>
      <c r="R268" s="555"/>
      <c r="S268" s="556">
        <v>557444</v>
      </c>
      <c r="T268" s="557">
        <v>29550</v>
      </c>
      <c r="U268" s="557">
        <v>586994</v>
      </c>
    </row>
    <row r="269" spans="1:21" x14ac:dyDescent="0.25">
      <c r="A269" s="552">
        <v>38801</v>
      </c>
      <c r="B269" s="553" t="s">
        <v>1054</v>
      </c>
      <c r="C269" s="559">
        <v>8.8300000000000005E-5</v>
      </c>
      <c r="D269" s="559">
        <v>9.4599999999999996E-5</v>
      </c>
      <c r="E269" s="555">
        <v>87795.32</v>
      </c>
      <c r="F269" s="555">
        <f t="shared" si="4"/>
        <v>110911</v>
      </c>
      <c r="G269" s="555">
        <v>325403</v>
      </c>
      <c r="H269" s="555"/>
      <c r="I269" s="556">
        <v>0</v>
      </c>
      <c r="J269" s="556">
        <v>227075</v>
      </c>
      <c r="K269" s="556">
        <v>0</v>
      </c>
      <c r="L269" s="555">
        <v>84876</v>
      </c>
      <c r="M269" s="555"/>
      <c r="N269" s="556">
        <v>36998</v>
      </c>
      <c r="O269" s="556">
        <v>262329</v>
      </c>
      <c r="P269" s="556">
        <v>0</v>
      </c>
      <c r="Q269" s="555">
        <v>45221</v>
      </c>
      <c r="R269" s="555"/>
      <c r="S269" s="556">
        <v>31707</v>
      </c>
      <c r="T269" s="557">
        <v>17895</v>
      </c>
      <c r="U269" s="557">
        <v>49602</v>
      </c>
    </row>
    <row r="270" spans="1:21" x14ac:dyDescent="0.25">
      <c r="A270" s="552">
        <v>38900</v>
      </c>
      <c r="B270" s="553" t="s">
        <v>1055</v>
      </c>
      <c r="C270" s="559">
        <v>3.3260000000000001E-4</v>
      </c>
      <c r="D270" s="559">
        <v>3.2969999999999999E-4</v>
      </c>
      <c r="E270" s="555">
        <v>435232.47</v>
      </c>
      <c r="F270" s="555">
        <f t="shared" si="4"/>
        <v>386547</v>
      </c>
      <c r="G270" s="555">
        <v>1225697</v>
      </c>
      <c r="H270" s="555"/>
      <c r="I270" s="556">
        <v>0</v>
      </c>
      <c r="J270" s="556">
        <v>855323</v>
      </c>
      <c r="K270" s="556">
        <v>0</v>
      </c>
      <c r="L270" s="555">
        <v>24277</v>
      </c>
      <c r="M270" s="555"/>
      <c r="N270" s="556">
        <v>139362</v>
      </c>
      <c r="O270" s="556">
        <v>988117</v>
      </c>
      <c r="P270" s="556">
        <v>0</v>
      </c>
      <c r="Q270" s="555">
        <v>75969</v>
      </c>
      <c r="R270" s="555"/>
      <c r="S270" s="556">
        <v>119432</v>
      </c>
      <c r="T270" s="557">
        <v>-20504</v>
      </c>
      <c r="U270" s="557">
        <v>98928</v>
      </c>
    </row>
    <row r="271" spans="1:21" x14ac:dyDescent="0.25">
      <c r="A271" s="552">
        <v>39000</v>
      </c>
      <c r="B271" s="553" t="s">
        <v>1056</v>
      </c>
      <c r="C271" s="559">
        <v>1.5730299999999999E-2</v>
      </c>
      <c r="D271" s="559">
        <v>1.5272300000000001E-2</v>
      </c>
      <c r="E271" s="555">
        <v>18520199</v>
      </c>
      <c r="F271" s="555">
        <f t="shared" si="4"/>
        <v>17905567</v>
      </c>
      <c r="G271" s="555">
        <v>57969270</v>
      </c>
      <c r="H271" s="555"/>
      <c r="I271" s="556">
        <v>0</v>
      </c>
      <c r="J271" s="556">
        <v>40452448</v>
      </c>
      <c r="K271" s="556">
        <v>0</v>
      </c>
      <c r="L271" s="555">
        <v>890303</v>
      </c>
      <c r="M271" s="555"/>
      <c r="N271" s="556">
        <v>6591106</v>
      </c>
      <c r="O271" s="556">
        <v>46732928</v>
      </c>
      <c r="P271" s="556">
        <v>0</v>
      </c>
      <c r="Q271" s="555">
        <v>1457794</v>
      </c>
      <c r="R271" s="555"/>
      <c r="S271" s="556">
        <v>5648515</v>
      </c>
      <c r="T271" s="557">
        <v>-275885</v>
      </c>
      <c r="U271" s="557">
        <v>5372629</v>
      </c>
    </row>
    <row r="272" spans="1:21" x14ac:dyDescent="0.25">
      <c r="A272" s="552">
        <v>39100</v>
      </c>
      <c r="B272" s="553" t="s">
        <v>1057</v>
      </c>
      <c r="C272" s="559">
        <v>2.5027999999999999E-3</v>
      </c>
      <c r="D272" s="559">
        <v>2.5463999999999999E-3</v>
      </c>
      <c r="E272" s="555">
        <v>3386535.1</v>
      </c>
      <c r="F272" s="555">
        <f t="shared" si="4"/>
        <v>2985453</v>
      </c>
      <c r="G272" s="555">
        <v>9223314</v>
      </c>
      <c r="H272" s="555"/>
      <c r="I272" s="556">
        <v>0</v>
      </c>
      <c r="J272" s="556">
        <v>6436266</v>
      </c>
      <c r="K272" s="556">
        <v>0</v>
      </c>
      <c r="L272" s="555">
        <v>0</v>
      </c>
      <c r="M272" s="555"/>
      <c r="N272" s="556">
        <v>1048691</v>
      </c>
      <c r="O272" s="556">
        <v>7435533</v>
      </c>
      <c r="P272" s="556">
        <v>0</v>
      </c>
      <c r="Q272" s="555">
        <v>199931</v>
      </c>
      <c r="R272" s="555"/>
      <c r="S272" s="556">
        <v>898718</v>
      </c>
      <c r="T272" s="557">
        <v>-71085</v>
      </c>
      <c r="U272" s="557">
        <v>827633</v>
      </c>
    </row>
    <row r="273" spans="1:21" x14ac:dyDescent="0.25">
      <c r="A273" s="552">
        <v>39101</v>
      </c>
      <c r="B273" s="553" t="s">
        <v>1058</v>
      </c>
      <c r="C273" s="559">
        <v>1.75E-4</v>
      </c>
      <c r="D273" s="559">
        <v>1.785E-4</v>
      </c>
      <c r="E273" s="555">
        <v>212134.9</v>
      </c>
      <c r="F273" s="555">
        <f t="shared" si="4"/>
        <v>209277</v>
      </c>
      <c r="G273" s="555">
        <v>644909.65</v>
      </c>
      <c r="H273" s="555"/>
      <c r="I273" s="556">
        <v>0</v>
      </c>
      <c r="J273" s="556">
        <v>450034.55</v>
      </c>
      <c r="K273" s="556">
        <v>0</v>
      </c>
      <c r="L273" s="555">
        <v>0</v>
      </c>
      <c r="M273" s="555"/>
      <c r="N273" s="556">
        <v>73326</v>
      </c>
      <c r="O273" s="556">
        <v>519905.05</v>
      </c>
      <c r="P273" s="556">
        <v>0</v>
      </c>
      <c r="Q273" s="555">
        <v>31380</v>
      </c>
      <c r="R273" s="555"/>
      <c r="S273" s="556">
        <v>62839.875</v>
      </c>
      <c r="T273" s="557">
        <v>-9479</v>
      </c>
      <c r="U273" s="557">
        <v>53360</v>
      </c>
    </row>
    <row r="274" spans="1:21" x14ac:dyDescent="0.25">
      <c r="A274" s="552">
        <v>39105</v>
      </c>
      <c r="B274" s="553" t="s">
        <v>1059</v>
      </c>
      <c r="C274" s="559">
        <v>1.0374E-3</v>
      </c>
      <c r="D274" s="559">
        <v>1.024E-3</v>
      </c>
      <c r="E274" s="555">
        <v>1311255.8</v>
      </c>
      <c r="F274" s="555">
        <f t="shared" si="4"/>
        <v>1200559</v>
      </c>
      <c r="G274" s="555">
        <v>3823024</v>
      </c>
      <c r="H274" s="555"/>
      <c r="I274" s="556">
        <v>0</v>
      </c>
      <c r="J274" s="556">
        <v>2667805</v>
      </c>
      <c r="K274" s="556">
        <v>0</v>
      </c>
      <c r="L274" s="555">
        <v>132944</v>
      </c>
      <c r="M274" s="555"/>
      <c r="N274" s="556">
        <v>434678</v>
      </c>
      <c r="O274" s="556">
        <v>3081997</v>
      </c>
      <c r="P274" s="556">
        <v>0</v>
      </c>
      <c r="Q274" s="555">
        <v>0</v>
      </c>
      <c r="R274" s="555"/>
      <c r="S274" s="556">
        <v>372515</v>
      </c>
      <c r="T274" s="557">
        <v>42933</v>
      </c>
      <c r="U274" s="557">
        <v>415448</v>
      </c>
    </row>
    <row r="275" spans="1:21" x14ac:dyDescent="0.25">
      <c r="A275" s="552">
        <v>39200</v>
      </c>
      <c r="B275" s="553" t="s">
        <v>1060</v>
      </c>
      <c r="C275" s="559">
        <v>6.1601799999999998E-2</v>
      </c>
      <c r="D275" s="559">
        <v>5.9755799999999998E-2</v>
      </c>
      <c r="E275" s="555">
        <v>73180297</v>
      </c>
      <c r="F275" s="555">
        <f t="shared" si="4"/>
        <v>70058961</v>
      </c>
      <c r="G275" s="555">
        <v>227014830</v>
      </c>
      <c r="H275" s="555"/>
      <c r="I275" s="556">
        <v>0</v>
      </c>
      <c r="J275" s="556">
        <v>158416791</v>
      </c>
      <c r="K275" s="556">
        <v>0</v>
      </c>
      <c r="L275" s="555">
        <v>4777210</v>
      </c>
      <c r="M275" s="555"/>
      <c r="N275" s="556">
        <v>25811585</v>
      </c>
      <c r="O275" s="556">
        <v>183011925</v>
      </c>
      <c r="P275" s="556">
        <v>0</v>
      </c>
      <c r="Q275" s="555">
        <v>0</v>
      </c>
      <c r="R275" s="555"/>
      <c r="S275" s="556">
        <v>22120282</v>
      </c>
      <c r="T275" s="557">
        <v>1368713</v>
      </c>
      <c r="U275" s="557">
        <v>23488995</v>
      </c>
    </row>
    <row r="276" spans="1:21" x14ac:dyDescent="0.25">
      <c r="A276" s="552">
        <v>39201</v>
      </c>
      <c r="B276" s="553" t="s">
        <v>1061</v>
      </c>
      <c r="C276" s="559">
        <v>1.8990000000000001E-4</v>
      </c>
      <c r="D276" s="559">
        <v>1.6440000000000001E-4</v>
      </c>
      <c r="E276" s="555">
        <v>183511.66</v>
      </c>
      <c r="F276" s="555">
        <f t="shared" si="4"/>
        <v>192746</v>
      </c>
      <c r="G276" s="555">
        <v>699819</v>
      </c>
      <c r="H276" s="555"/>
      <c r="I276" s="556">
        <v>0</v>
      </c>
      <c r="J276" s="556">
        <v>488352</v>
      </c>
      <c r="K276" s="556">
        <v>0</v>
      </c>
      <c r="L276" s="555">
        <v>63928</v>
      </c>
      <c r="M276" s="555"/>
      <c r="N276" s="556">
        <v>79569</v>
      </c>
      <c r="O276" s="556">
        <v>564171</v>
      </c>
      <c r="P276" s="556">
        <v>0</v>
      </c>
      <c r="Q276" s="555">
        <v>15294</v>
      </c>
      <c r="R276" s="555"/>
      <c r="S276" s="556">
        <v>68190</v>
      </c>
      <c r="T276" s="557">
        <v>12227</v>
      </c>
      <c r="U276" s="557">
        <v>80417</v>
      </c>
    </row>
    <row r="277" spans="1:21" x14ac:dyDescent="0.25">
      <c r="A277" s="552">
        <v>39204</v>
      </c>
      <c r="B277" s="553" t="s">
        <v>1062</v>
      </c>
      <c r="C277" s="559">
        <v>1.167E-4</v>
      </c>
      <c r="D277" s="559">
        <v>7.3499999999999998E-5</v>
      </c>
      <c r="E277" s="555">
        <v>124810.3</v>
      </c>
      <c r="F277" s="555">
        <f t="shared" si="4"/>
        <v>86173</v>
      </c>
      <c r="G277" s="555">
        <v>430063</v>
      </c>
      <c r="H277" s="555"/>
      <c r="I277" s="556">
        <v>0</v>
      </c>
      <c r="J277" s="556">
        <v>300109</v>
      </c>
      <c r="K277" s="556">
        <v>0</v>
      </c>
      <c r="L277" s="555">
        <v>230359</v>
      </c>
      <c r="M277" s="555"/>
      <c r="N277" s="556">
        <v>48898</v>
      </c>
      <c r="O277" s="556">
        <v>346702</v>
      </c>
      <c r="P277" s="556">
        <v>0</v>
      </c>
      <c r="Q277" s="555">
        <v>0</v>
      </c>
      <c r="R277" s="555"/>
      <c r="S277" s="556">
        <v>41905</v>
      </c>
      <c r="T277" s="557">
        <v>69110</v>
      </c>
      <c r="U277" s="557">
        <v>111016</v>
      </c>
    </row>
    <row r="278" spans="1:21" x14ac:dyDescent="0.25">
      <c r="A278" s="552">
        <v>39205</v>
      </c>
      <c r="B278" s="553" t="s">
        <v>1063</v>
      </c>
      <c r="C278" s="559">
        <v>4.8887000000000002E-3</v>
      </c>
      <c r="D278" s="559">
        <v>4.4313E-3</v>
      </c>
      <c r="E278" s="555">
        <v>6296076</v>
      </c>
      <c r="F278" s="555">
        <f t="shared" si="4"/>
        <v>5195350</v>
      </c>
      <c r="G278" s="555">
        <v>18015827</v>
      </c>
      <c r="H278" s="555"/>
      <c r="I278" s="556">
        <v>0</v>
      </c>
      <c r="J278" s="556">
        <v>12571908</v>
      </c>
      <c r="K278" s="556">
        <v>0</v>
      </c>
      <c r="L278" s="555">
        <v>3165824</v>
      </c>
      <c r="M278" s="555"/>
      <c r="N278" s="556">
        <v>2048400</v>
      </c>
      <c r="O278" s="556">
        <v>14523770</v>
      </c>
      <c r="P278" s="556">
        <v>0</v>
      </c>
      <c r="Q278" s="555">
        <v>0</v>
      </c>
      <c r="R278" s="555"/>
      <c r="S278" s="556">
        <v>1755459</v>
      </c>
      <c r="T278" s="557">
        <v>969124</v>
      </c>
      <c r="U278" s="557">
        <v>2724583</v>
      </c>
    </row>
    <row r="279" spans="1:21" x14ac:dyDescent="0.25">
      <c r="A279" s="552">
        <v>39208</v>
      </c>
      <c r="B279" s="553" t="s">
        <v>1064</v>
      </c>
      <c r="C279" s="559">
        <v>3.926E-4</v>
      </c>
      <c r="D279" s="559">
        <v>3.859E-4</v>
      </c>
      <c r="E279" s="555">
        <v>397671.23</v>
      </c>
      <c r="F279" s="555">
        <f t="shared" si="4"/>
        <v>452437</v>
      </c>
      <c r="G279" s="555">
        <v>1446809</v>
      </c>
      <c r="H279" s="555"/>
      <c r="I279" s="556">
        <v>0</v>
      </c>
      <c r="J279" s="556">
        <v>1009620</v>
      </c>
      <c r="K279" s="556">
        <v>0</v>
      </c>
      <c r="L279" s="555">
        <v>0</v>
      </c>
      <c r="M279" s="555"/>
      <c r="N279" s="556">
        <v>164502</v>
      </c>
      <c r="O279" s="556">
        <v>1166370</v>
      </c>
      <c r="P279" s="556">
        <v>0</v>
      </c>
      <c r="Q279" s="555">
        <v>170540</v>
      </c>
      <c r="R279" s="555"/>
      <c r="S279" s="556">
        <v>140977</v>
      </c>
      <c r="T279" s="557">
        <v>-57188</v>
      </c>
      <c r="U279" s="557">
        <v>83789</v>
      </c>
    </row>
    <row r="280" spans="1:21" x14ac:dyDescent="0.25">
      <c r="A280" s="552">
        <v>39209</v>
      </c>
      <c r="B280" s="553" t="s">
        <v>1065</v>
      </c>
      <c r="C280" s="559">
        <v>1.7799999999999999E-4</v>
      </c>
      <c r="D280" s="559">
        <v>1.6000000000000001E-4</v>
      </c>
      <c r="E280" s="555">
        <v>184627.69</v>
      </c>
      <c r="F280" s="555">
        <f t="shared" si="4"/>
        <v>187587</v>
      </c>
      <c r="G280" s="555">
        <v>655965</v>
      </c>
      <c r="H280" s="555"/>
      <c r="I280" s="556">
        <v>0</v>
      </c>
      <c r="J280" s="556">
        <v>457749</v>
      </c>
      <c r="K280" s="556">
        <v>0</v>
      </c>
      <c r="L280" s="555">
        <v>44812</v>
      </c>
      <c r="M280" s="555"/>
      <c r="N280" s="556">
        <v>74583</v>
      </c>
      <c r="O280" s="556">
        <v>528818</v>
      </c>
      <c r="P280" s="556">
        <v>0</v>
      </c>
      <c r="Q280" s="555">
        <v>50263</v>
      </c>
      <c r="R280" s="555"/>
      <c r="S280" s="556">
        <v>63917.13</v>
      </c>
      <c r="T280" s="557">
        <v>-5602</v>
      </c>
      <c r="U280" s="557">
        <v>58315</v>
      </c>
    </row>
    <row r="281" spans="1:21" x14ac:dyDescent="0.25">
      <c r="A281" s="552">
        <v>39300</v>
      </c>
      <c r="B281" s="553" t="s">
        <v>1066</v>
      </c>
      <c r="C281" s="559">
        <v>9.5180000000000004E-4</v>
      </c>
      <c r="D281" s="559">
        <v>9.4499999999999998E-4</v>
      </c>
      <c r="E281" s="555">
        <v>1264556.25</v>
      </c>
      <c r="F281" s="555">
        <f t="shared" si="4"/>
        <v>1107938</v>
      </c>
      <c r="G281" s="555">
        <v>3507571</v>
      </c>
      <c r="H281" s="555"/>
      <c r="I281" s="556">
        <v>0</v>
      </c>
      <c r="J281" s="556">
        <v>2447674</v>
      </c>
      <c r="K281" s="556">
        <v>0</v>
      </c>
      <c r="L281" s="555">
        <v>78048</v>
      </c>
      <c r="M281" s="555"/>
      <c r="N281" s="556">
        <v>398811</v>
      </c>
      <c r="O281" s="556">
        <v>2827689</v>
      </c>
      <c r="P281" s="556">
        <v>0</v>
      </c>
      <c r="Q281" s="555">
        <v>48476</v>
      </c>
      <c r="R281" s="555"/>
      <c r="S281" s="556">
        <v>341777</v>
      </c>
      <c r="T281" s="557">
        <v>4245</v>
      </c>
      <c r="U281" s="557">
        <v>346022</v>
      </c>
    </row>
    <row r="282" spans="1:21" x14ac:dyDescent="0.25">
      <c r="A282" s="552">
        <v>39301</v>
      </c>
      <c r="B282" s="553" t="s">
        <v>1067</v>
      </c>
      <c r="C282" s="559">
        <v>6.4499999999999996E-5</v>
      </c>
      <c r="D282" s="559">
        <v>7.1600000000000006E-5</v>
      </c>
      <c r="E282" s="555">
        <v>73914</v>
      </c>
      <c r="F282" s="555">
        <f t="shared" si="4"/>
        <v>83945</v>
      </c>
      <c r="G282" s="555">
        <v>237695</v>
      </c>
      <c r="H282" s="555"/>
      <c r="I282" s="556">
        <v>0</v>
      </c>
      <c r="J282" s="556">
        <v>165870</v>
      </c>
      <c r="K282" s="556">
        <v>0</v>
      </c>
      <c r="L282" s="555">
        <v>51716</v>
      </c>
      <c r="M282" s="555"/>
      <c r="N282" s="556">
        <v>27026</v>
      </c>
      <c r="O282" s="556">
        <v>191622</v>
      </c>
      <c r="P282" s="556">
        <v>0</v>
      </c>
      <c r="Q282" s="555">
        <v>35949</v>
      </c>
      <c r="R282" s="555"/>
      <c r="S282" s="556">
        <v>23161</v>
      </c>
      <c r="T282" s="557">
        <v>8578</v>
      </c>
      <c r="U282" s="557">
        <v>31739</v>
      </c>
    </row>
    <row r="283" spans="1:21" x14ac:dyDescent="0.25">
      <c r="A283" s="552">
        <v>39400</v>
      </c>
      <c r="B283" s="553" t="s">
        <v>1068</v>
      </c>
      <c r="C283" s="559">
        <v>6.8510000000000001E-4</v>
      </c>
      <c r="D283" s="559">
        <v>7.1540000000000004E-4</v>
      </c>
      <c r="E283" s="555">
        <v>932073.51</v>
      </c>
      <c r="F283" s="555">
        <f t="shared" si="4"/>
        <v>838750</v>
      </c>
      <c r="G283" s="555">
        <v>2524729</v>
      </c>
      <c r="H283" s="555"/>
      <c r="I283" s="556">
        <v>0</v>
      </c>
      <c r="J283" s="556">
        <v>1761821</v>
      </c>
      <c r="K283" s="556">
        <v>0</v>
      </c>
      <c r="L283" s="555">
        <v>237195</v>
      </c>
      <c r="M283" s="555"/>
      <c r="N283" s="556">
        <v>287062</v>
      </c>
      <c r="O283" s="556">
        <v>2035354</v>
      </c>
      <c r="P283" s="556">
        <v>0</v>
      </c>
      <c r="Q283" s="555">
        <v>75723</v>
      </c>
      <c r="R283" s="555"/>
      <c r="S283" s="556">
        <v>246009</v>
      </c>
      <c r="T283" s="557">
        <v>64040</v>
      </c>
      <c r="U283" s="557">
        <v>310049</v>
      </c>
    </row>
    <row r="284" spans="1:21" x14ac:dyDescent="0.25">
      <c r="A284" s="552">
        <v>39401</v>
      </c>
      <c r="B284" s="553" t="s">
        <v>1069</v>
      </c>
      <c r="C284" s="559">
        <v>1.6760000000000001E-4</v>
      </c>
      <c r="D284" s="559">
        <v>1.111E-4</v>
      </c>
      <c r="E284" s="555">
        <v>163043.01</v>
      </c>
      <c r="F284" s="555">
        <f t="shared" si="4"/>
        <v>130256</v>
      </c>
      <c r="G284" s="555">
        <v>617639</v>
      </c>
      <c r="H284" s="555"/>
      <c r="I284" s="556">
        <v>0</v>
      </c>
      <c r="J284" s="556">
        <v>431005</v>
      </c>
      <c r="K284" s="556">
        <v>0</v>
      </c>
      <c r="L284" s="555">
        <v>293291</v>
      </c>
      <c r="M284" s="555"/>
      <c r="N284" s="556">
        <v>70226</v>
      </c>
      <c r="O284" s="556">
        <v>497920</v>
      </c>
      <c r="P284" s="556">
        <v>0</v>
      </c>
      <c r="Q284" s="555">
        <v>0</v>
      </c>
      <c r="R284" s="555"/>
      <c r="S284" s="556">
        <v>60183</v>
      </c>
      <c r="T284" s="557">
        <v>88742</v>
      </c>
      <c r="U284" s="557">
        <v>148924</v>
      </c>
    </row>
    <row r="285" spans="1:21" x14ac:dyDescent="0.25">
      <c r="A285" s="552">
        <v>39500</v>
      </c>
      <c r="B285" s="553" t="s">
        <v>1070</v>
      </c>
      <c r="C285" s="559">
        <v>1.9558000000000002E-3</v>
      </c>
      <c r="D285" s="559">
        <v>1.9694999999999999E-3</v>
      </c>
      <c r="E285" s="555">
        <v>2452928</v>
      </c>
      <c r="F285" s="555">
        <f t="shared" si="4"/>
        <v>2309083</v>
      </c>
      <c r="G285" s="555">
        <v>7207510</v>
      </c>
      <c r="H285" s="555"/>
      <c r="I285" s="556">
        <v>0</v>
      </c>
      <c r="J285" s="556">
        <v>5029586</v>
      </c>
      <c r="K285" s="556">
        <v>0</v>
      </c>
      <c r="L285" s="555">
        <v>61039</v>
      </c>
      <c r="M285" s="555"/>
      <c r="N285" s="556">
        <v>819494</v>
      </c>
      <c r="O285" s="556">
        <v>5810459</v>
      </c>
      <c r="P285" s="556">
        <v>0</v>
      </c>
      <c r="Q285" s="555">
        <v>70759</v>
      </c>
      <c r="R285" s="555"/>
      <c r="S285" s="556">
        <v>702298</v>
      </c>
      <c r="T285" s="557">
        <v>2277</v>
      </c>
      <c r="U285" s="557">
        <v>704575</v>
      </c>
    </row>
    <row r="286" spans="1:21" x14ac:dyDescent="0.25">
      <c r="A286" s="552">
        <v>39501</v>
      </c>
      <c r="B286" s="553" t="s">
        <v>1071</v>
      </c>
      <c r="C286" s="559">
        <v>6.7199999999999994E-5</v>
      </c>
      <c r="D286" s="559">
        <v>7.0699999999999997E-5</v>
      </c>
      <c r="E286" s="555">
        <v>75282</v>
      </c>
      <c r="F286" s="555">
        <f t="shared" si="4"/>
        <v>82890</v>
      </c>
      <c r="G286" s="555">
        <v>247645</v>
      </c>
      <c r="H286" s="555"/>
      <c r="I286" s="556">
        <v>0</v>
      </c>
      <c r="J286" s="556">
        <v>172813</v>
      </c>
      <c r="K286" s="556">
        <v>0</v>
      </c>
      <c r="L286" s="555">
        <v>9458</v>
      </c>
      <c r="M286" s="555"/>
      <c r="N286" s="556">
        <v>28157</v>
      </c>
      <c r="O286" s="556">
        <v>199644</v>
      </c>
      <c r="P286" s="556">
        <v>0</v>
      </c>
      <c r="Q286" s="555">
        <v>22304</v>
      </c>
      <c r="R286" s="555"/>
      <c r="S286" s="556">
        <v>24131</v>
      </c>
      <c r="T286" s="557">
        <v>-2788</v>
      </c>
      <c r="U286" s="557">
        <v>21342</v>
      </c>
    </row>
    <row r="287" spans="1:21" x14ac:dyDescent="0.25">
      <c r="A287" s="552">
        <v>39600</v>
      </c>
      <c r="B287" s="553" t="s">
        <v>1072</v>
      </c>
      <c r="C287" s="559">
        <v>6.4853000000000003E-3</v>
      </c>
      <c r="D287" s="559">
        <v>6.476E-3</v>
      </c>
      <c r="E287" s="555">
        <v>8287714</v>
      </c>
      <c r="F287" s="555">
        <f t="shared" si="4"/>
        <v>7592599</v>
      </c>
      <c r="G287" s="555">
        <v>23899615</v>
      </c>
      <c r="H287" s="555"/>
      <c r="I287" s="556">
        <v>0</v>
      </c>
      <c r="J287" s="556">
        <v>16677766</v>
      </c>
      <c r="K287" s="556">
        <v>0</v>
      </c>
      <c r="L287" s="555">
        <v>117662</v>
      </c>
      <c r="M287" s="555"/>
      <c r="N287" s="556">
        <v>2717386</v>
      </c>
      <c r="O287" s="556">
        <v>19267087</v>
      </c>
      <c r="P287" s="556">
        <v>0</v>
      </c>
      <c r="Q287" s="555">
        <v>971701</v>
      </c>
      <c r="R287" s="555"/>
      <c r="S287" s="556">
        <v>2328774</v>
      </c>
      <c r="T287" s="557">
        <v>-315687</v>
      </c>
      <c r="U287" s="557">
        <v>2013087</v>
      </c>
    </row>
    <row r="288" spans="1:21" x14ac:dyDescent="0.25">
      <c r="A288" s="552">
        <v>39605</v>
      </c>
      <c r="B288" s="553" t="s">
        <v>1073</v>
      </c>
      <c r="C288" s="559">
        <v>9.5520000000000002E-4</v>
      </c>
      <c r="D288" s="559">
        <v>9.3320000000000002E-4</v>
      </c>
      <c r="E288" s="555">
        <v>1254446.01</v>
      </c>
      <c r="F288" s="555">
        <f t="shared" si="4"/>
        <v>1094103</v>
      </c>
      <c r="G288" s="555">
        <v>3520101</v>
      </c>
      <c r="H288" s="555"/>
      <c r="I288" s="556">
        <v>0</v>
      </c>
      <c r="J288" s="556">
        <v>2456417</v>
      </c>
      <c r="K288" s="556">
        <v>0</v>
      </c>
      <c r="L288" s="555">
        <v>246500</v>
      </c>
      <c r="M288" s="555"/>
      <c r="N288" s="556">
        <v>400235</v>
      </c>
      <c r="O288" s="556">
        <v>2837790</v>
      </c>
      <c r="P288" s="556">
        <v>0</v>
      </c>
      <c r="Q288" s="555">
        <v>0</v>
      </c>
      <c r="R288" s="555"/>
      <c r="S288" s="556">
        <v>342998</v>
      </c>
      <c r="T288" s="557">
        <v>77676</v>
      </c>
      <c r="U288" s="557">
        <v>420674</v>
      </c>
    </row>
    <row r="289" spans="1:25" x14ac:dyDescent="0.25">
      <c r="A289" s="552">
        <v>39700</v>
      </c>
      <c r="B289" s="553" t="s">
        <v>1074</v>
      </c>
      <c r="C289" s="559">
        <v>3.9490999999999997E-3</v>
      </c>
      <c r="D289" s="559">
        <v>3.8141E-3</v>
      </c>
      <c r="E289" s="555">
        <v>4730180.04</v>
      </c>
      <c r="F289" s="555">
        <f t="shared" si="4"/>
        <v>4471731</v>
      </c>
      <c r="G289" s="555">
        <v>14553215</v>
      </c>
      <c r="H289" s="555"/>
      <c r="I289" s="556">
        <v>0</v>
      </c>
      <c r="J289" s="556">
        <v>10155608</v>
      </c>
      <c r="K289" s="556">
        <v>0</v>
      </c>
      <c r="L289" s="555">
        <v>371446</v>
      </c>
      <c r="M289" s="555"/>
      <c r="N289" s="556">
        <v>1654701</v>
      </c>
      <c r="O289" s="556">
        <v>11732326</v>
      </c>
      <c r="P289" s="556">
        <v>0</v>
      </c>
      <c r="Q289" s="555">
        <v>269235</v>
      </c>
      <c r="R289" s="555"/>
      <c r="S289" s="556">
        <v>1418063</v>
      </c>
      <c r="T289" s="557">
        <v>6393</v>
      </c>
      <c r="U289" s="557">
        <v>1424456</v>
      </c>
    </row>
    <row r="290" spans="1:25" x14ac:dyDescent="0.25">
      <c r="A290" s="552">
        <v>39703</v>
      </c>
      <c r="B290" s="553" t="s">
        <v>1075</v>
      </c>
      <c r="C290" s="559">
        <v>8.6700000000000007E-5</v>
      </c>
      <c r="D290" s="559">
        <v>6.4399999999999993E-5</v>
      </c>
      <c r="E290" s="555">
        <v>92553.5</v>
      </c>
      <c r="F290" s="555">
        <f t="shared" si="4"/>
        <v>75504</v>
      </c>
      <c r="G290" s="555">
        <v>319507</v>
      </c>
      <c r="H290" s="555"/>
      <c r="I290" s="556">
        <v>0</v>
      </c>
      <c r="J290" s="556">
        <v>222960</v>
      </c>
      <c r="K290" s="556">
        <v>0</v>
      </c>
      <c r="L290" s="555">
        <v>304039</v>
      </c>
      <c r="M290" s="555"/>
      <c r="N290" s="556">
        <v>36328</v>
      </c>
      <c r="O290" s="556">
        <v>257576</v>
      </c>
      <c r="P290" s="556">
        <v>0</v>
      </c>
      <c r="Q290" s="555">
        <v>0</v>
      </c>
      <c r="R290" s="555"/>
      <c r="S290" s="556">
        <v>31133</v>
      </c>
      <c r="T290" s="557">
        <v>102365</v>
      </c>
      <c r="U290" s="557">
        <v>133498</v>
      </c>
    </row>
    <row r="291" spans="1:25" x14ac:dyDescent="0.25">
      <c r="A291" s="552">
        <v>39705</v>
      </c>
      <c r="B291" s="553" t="s">
        <v>1076</v>
      </c>
      <c r="C291" s="559">
        <v>9.142E-4</v>
      </c>
      <c r="D291" s="559">
        <v>8.8699999999999998E-4</v>
      </c>
      <c r="E291" s="555">
        <v>1197977.07</v>
      </c>
      <c r="F291" s="555">
        <f t="shared" si="4"/>
        <v>1039938</v>
      </c>
      <c r="G291" s="555">
        <v>3369008</v>
      </c>
      <c r="H291" s="555"/>
      <c r="I291" s="556">
        <v>0</v>
      </c>
      <c r="J291" s="556">
        <v>2350980</v>
      </c>
      <c r="K291" s="556">
        <v>0</v>
      </c>
      <c r="L291" s="555">
        <v>307594</v>
      </c>
      <c r="M291" s="555"/>
      <c r="N291" s="556">
        <v>383056</v>
      </c>
      <c r="O291" s="556">
        <v>2715984</v>
      </c>
      <c r="P291" s="556">
        <v>0</v>
      </c>
      <c r="Q291" s="555">
        <v>0</v>
      </c>
      <c r="R291" s="555"/>
      <c r="S291" s="556">
        <v>328276</v>
      </c>
      <c r="T291" s="557">
        <v>98081</v>
      </c>
      <c r="U291" s="557">
        <v>426356</v>
      </c>
    </row>
    <row r="292" spans="1:25" x14ac:dyDescent="0.25">
      <c r="A292" s="552">
        <v>39800</v>
      </c>
      <c r="B292" s="553" t="s">
        <v>1077</v>
      </c>
      <c r="C292" s="559">
        <v>4.3731000000000004E-3</v>
      </c>
      <c r="D292" s="559">
        <v>4.3539E-3</v>
      </c>
      <c r="E292" s="555">
        <v>5404374</v>
      </c>
      <c r="F292" s="555">
        <f t="shared" si="4"/>
        <v>5104604</v>
      </c>
      <c r="G292" s="555">
        <v>16115739</v>
      </c>
      <c r="H292" s="555"/>
      <c r="I292" s="556">
        <v>0</v>
      </c>
      <c r="J292" s="556">
        <v>11245978</v>
      </c>
      <c r="K292" s="556">
        <v>0</v>
      </c>
      <c r="L292" s="555">
        <v>0</v>
      </c>
      <c r="M292" s="555"/>
      <c r="N292" s="556">
        <v>1832360</v>
      </c>
      <c r="O292" s="556">
        <v>12991982</v>
      </c>
      <c r="P292" s="556">
        <v>0</v>
      </c>
      <c r="Q292" s="555">
        <v>751893</v>
      </c>
      <c r="R292" s="555"/>
      <c r="S292" s="556">
        <v>1570315</v>
      </c>
      <c r="T292" s="557">
        <v>-268674</v>
      </c>
      <c r="U292" s="557">
        <v>1301640</v>
      </c>
    </row>
    <row r="293" spans="1:25" x14ac:dyDescent="0.25">
      <c r="A293" s="552">
        <v>39805</v>
      </c>
      <c r="B293" s="553" t="s">
        <v>1078</v>
      </c>
      <c r="C293" s="559">
        <v>4.8930000000000002E-4</v>
      </c>
      <c r="D293" s="559">
        <v>4.9120000000000001E-4</v>
      </c>
      <c r="E293" s="555">
        <v>668351.77</v>
      </c>
      <c r="F293" s="555">
        <f t="shared" si="4"/>
        <v>575893</v>
      </c>
      <c r="G293" s="555">
        <v>1803167</v>
      </c>
      <c r="H293" s="555"/>
      <c r="I293" s="556">
        <v>0</v>
      </c>
      <c r="J293" s="556">
        <v>1258297</v>
      </c>
      <c r="K293" s="556">
        <v>0</v>
      </c>
      <c r="L293" s="555">
        <v>31584</v>
      </c>
      <c r="M293" s="555"/>
      <c r="N293" s="556">
        <v>205020</v>
      </c>
      <c r="O293" s="556">
        <v>1453655</v>
      </c>
      <c r="P293" s="556">
        <v>0</v>
      </c>
      <c r="Q293" s="555">
        <v>55524</v>
      </c>
      <c r="R293" s="555"/>
      <c r="S293" s="556">
        <v>175700</v>
      </c>
      <c r="T293" s="557">
        <v>-11152</v>
      </c>
      <c r="U293" s="557">
        <v>164548</v>
      </c>
    </row>
    <row r="294" spans="1:25" x14ac:dyDescent="0.25">
      <c r="A294" s="552">
        <v>39900</v>
      </c>
      <c r="B294" s="553" t="s">
        <v>1079</v>
      </c>
      <c r="C294" s="559">
        <v>2.1565E-3</v>
      </c>
      <c r="D294" s="559">
        <v>2.1189E-3</v>
      </c>
      <c r="E294" s="555">
        <v>2699442.55</v>
      </c>
      <c r="F294" s="555">
        <f t="shared" si="4"/>
        <v>2484243</v>
      </c>
      <c r="G294" s="555">
        <v>7947129</v>
      </c>
      <c r="H294" s="555"/>
      <c r="I294" s="556">
        <v>0</v>
      </c>
      <c r="J294" s="556">
        <v>5545711</v>
      </c>
      <c r="K294" s="556">
        <v>0</v>
      </c>
      <c r="L294" s="555">
        <v>141066</v>
      </c>
      <c r="M294" s="555"/>
      <c r="N294" s="556">
        <v>903589</v>
      </c>
      <c r="O294" s="556">
        <v>6406716</v>
      </c>
      <c r="P294" s="556">
        <v>0</v>
      </c>
      <c r="Q294" s="555">
        <v>346939</v>
      </c>
      <c r="R294" s="555"/>
      <c r="S294" s="556">
        <v>774367</v>
      </c>
      <c r="T294" s="557">
        <v>-85274</v>
      </c>
      <c r="U294" s="557">
        <v>689093</v>
      </c>
    </row>
    <row r="295" spans="1:25" x14ac:dyDescent="0.25">
      <c r="A295" s="552">
        <v>51000</v>
      </c>
      <c r="B295" s="553" t="s">
        <v>1080</v>
      </c>
      <c r="C295" s="559">
        <v>3.5939600000000002E-2</v>
      </c>
      <c r="D295" s="559">
        <v>3.7027900000000002E-2</v>
      </c>
      <c r="E295" s="555">
        <v>49463057</v>
      </c>
      <c r="F295" s="555">
        <f>D295*$F$298</f>
        <v>43412292</v>
      </c>
      <c r="G295" s="555">
        <v>132444542</v>
      </c>
      <c r="H295" s="555"/>
      <c r="I295" s="556">
        <v>0</v>
      </c>
      <c r="J295" s="556">
        <v>92423210</v>
      </c>
      <c r="K295" s="556">
        <v>0</v>
      </c>
      <c r="L295" s="555">
        <v>3686935</v>
      </c>
      <c r="M295" s="555"/>
      <c r="N295" s="556">
        <v>15058944</v>
      </c>
      <c r="O295" s="556">
        <v>106772454</v>
      </c>
      <c r="P295" s="556">
        <v>0</v>
      </c>
      <c r="Q295" s="555">
        <v>1405858</v>
      </c>
      <c r="R295" s="555"/>
      <c r="S295" s="556">
        <v>12905371</v>
      </c>
      <c r="T295" s="557">
        <v>932048</v>
      </c>
      <c r="U295" s="557">
        <v>13837419</v>
      </c>
    </row>
    <row r="297" spans="1:25" x14ac:dyDescent="0.25">
      <c r="A297" s="552" t="s">
        <v>1157</v>
      </c>
      <c r="B297" s="553" t="s">
        <v>1163</v>
      </c>
      <c r="C297" s="559">
        <v>4.0399999999999999E-5</v>
      </c>
      <c r="D297" s="559">
        <v>3.43E-5</v>
      </c>
      <c r="E297" s="555">
        <v>43611.76</v>
      </c>
      <c r="F297" s="555">
        <f>D297*$F$298</f>
        <v>40214</v>
      </c>
      <c r="G297" s="555">
        <v>148882</v>
      </c>
      <c r="H297" s="555"/>
      <c r="I297" s="556">
        <v>0</v>
      </c>
      <c r="J297" s="556">
        <v>103894</v>
      </c>
      <c r="K297" s="556">
        <v>0</v>
      </c>
      <c r="L297" s="555">
        <v>34271</v>
      </c>
      <c r="M297" s="555"/>
      <c r="N297" s="556">
        <v>16928</v>
      </c>
      <c r="O297" s="556">
        <v>120024</v>
      </c>
      <c r="P297" s="556">
        <v>0</v>
      </c>
      <c r="Q297" s="555">
        <v>0</v>
      </c>
      <c r="R297" s="555"/>
      <c r="S297" s="556">
        <v>14507</v>
      </c>
      <c r="T297" s="557">
        <v>10652</v>
      </c>
      <c r="U297" s="557">
        <v>25159</v>
      </c>
    </row>
    <row r="298" spans="1:25" s="547" customFormat="1" x14ac:dyDescent="0.25">
      <c r="B298" s="547" t="s">
        <v>1081</v>
      </c>
      <c r="E298" s="561">
        <f>SUM(E3:E296)</f>
        <v>1262508386</v>
      </c>
      <c r="F298" s="562">
        <v>1172421109</v>
      </c>
      <c r="G298" s="561">
        <f>SUM(G3:G295)</f>
        <v>3685197999</v>
      </c>
      <c r="H298" s="563"/>
      <c r="I298" s="561">
        <f>SUM(I3:I295)</f>
        <v>0</v>
      </c>
      <c r="J298" s="561">
        <f>SUM(J3:J295)</f>
        <v>2571626007</v>
      </c>
      <c r="K298" s="561">
        <f>SUM(K3:K295)</f>
        <v>0</v>
      </c>
      <c r="L298" s="561">
        <f>SUM(L3:L295)</f>
        <v>90295984</v>
      </c>
      <c r="M298" s="563"/>
      <c r="N298" s="561">
        <f>SUM(N3:N295)</f>
        <v>419007001</v>
      </c>
      <c r="O298" s="561">
        <f>SUM(O3:O295)</f>
        <v>2970886000</v>
      </c>
      <c r="P298" s="561">
        <f>SUM(P3:P295)</f>
        <v>0</v>
      </c>
      <c r="Q298" s="561">
        <f>SUM(Q3:Q295)</f>
        <v>90295817</v>
      </c>
      <c r="R298" s="563"/>
      <c r="S298" s="561">
        <f>SUM(S3:S295)</f>
        <v>359085000</v>
      </c>
      <c r="T298" s="561">
        <f>SUM(T3:T295)</f>
        <v>69</v>
      </c>
      <c r="U298" s="561">
        <f>SUM(U3:U295)</f>
        <v>359085071</v>
      </c>
      <c r="X298" s="561"/>
      <c r="Y298" s="561"/>
    </row>
    <row r="299" spans="1:25" x14ac:dyDescent="0.25">
      <c r="G299" s="564" t="s">
        <v>1137</v>
      </c>
      <c r="H299" s="564"/>
      <c r="I299" s="564" t="s">
        <v>1138</v>
      </c>
      <c r="J299" s="564" t="s">
        <v>1139</v>
      </c>
      <c r="K299" s="564" t="s">
        <v>1138</v>
      </c>
      <c r="L299" s="565" t="s">
        <v>1140</v>
      </c>
      <c r="M299" s="564"/>
      <c r="N299" s="564" t="s">
        <v>1141</v>
      </c>
      <c r="O299" s="564" t="s">
        <v>1139</v>
      </c>
      <c r="P299" s="564" t="s">
        <v>1138</v>
      </c>
      <c r="Q299" s="564" t="s">
        <v>1140</v>
      </c>
      <c r="R299" s="564"/>
      <c r="S299" s="564" t="s">
        <v>1142</v>
      </c>
      <c r="T299" s="564" t="s">
        <v>1138</v>
      </c>
      <c r="U299" s="564" t="s">
        <v>1143</v>
      </c>
      <c r="X299" s="551"/>
      <c r="Y299" s="551"/>
    </row>
    <row r="300" spans="1:25" x14ac:dyDescent="0.25">
      <c r="L300" s="551"/>
      <c r="Q300" s="566"/>
      <c r="X300" s="551"/>
    </row>
    <row r="301" spans="1:25" x14ac:dyDescent="0.25">
      <c r="Q301" s="566"/>
      <c r="X301" s="551"/>
      <c r="Y301" s="551"/>
    </row>
    <row r="302" spans="1:25" x14ac:dyDescent="0.25">
      <c r="A302" s="552"/>
      <c r="B302" s="553" t="s">
        <v>927</v>
      </c>
      <c r="C302" s="560">
        <v>33501</v>
      </c>
      <c r="L302" s="566"/>
      <c r="Q302" s="566"/>
      <c r="Y302" s="551"/>
    </row>
    <row r="303" spans="1:25" x14ac:dyDescent="0.25">
      <c r="A303" s="552"/>
      <c r="B303" s="553" t="s">
        <v>990</v>
      </c>
      <c r="C303" s="552">
        <v>36301</v>
      </c>
      <c r="L303" s="566"/>
      <c r="Q303" s="566"/>
    </row>
    <row r="304" spans="1:25" x14ac:dyDescent="0.25">
      <c r="A304" s="552"/>
      <c r="B304" s="553" t="s">
        <v>795</v>
      </c>
      <c r="C304" s="552">
        <v>10800</v>
      </c>
      <c r="L304" s="566"/>
      <c r="Q304" s="566"/>
    </row>
    <row r="305" spans="1:17" x14ac:dyDescent="0.25">
      <c r="A305" s="552"/>
      <c r="B305" s="553" t="s">
        <v>851</v>
      </c>
      <c r="C305" s="552">
        <v>30105</v>
      </c>
      <c r="L305" s="566"/>
      <c r="Q305" s="566"/>
    </row>
    <row r="306" spans="1:17" x14ac:dyDescent="0.25">
      <c r="A306" s="552"/>
      <c r="B306" s="553" t="s">
        <v>847</v>
      </c>
      <c r="C306" s="552">
        <v>30100</v>
      </c>
      <c r="L306" s="566"/>
      <c r="Q306" s="566"/>
    </row>
    <row r="307" spans="1:17" x14ac:dyDescent="0.25">
      <c r="A307" s="552"/>
      <c r="B307" s="553" t="s">
        <v>852</v>
      </c>
      <c r="C307" s="552">
        <v>30200</v>
      </c>
      <c r="L307" s="566"/>
      <c r="Q307" s="566"/>
    </row>
    <row r="308" spans="1:17" x14ac:dyDescent="0.25">
      <c r="A308" s="552"/>
      <c r="B308" s="553" t="s">
        <v>853</v>
      </c>
      <c r="C308" s="552">
        <v>30300</v>
      </c>
      <c r="L308" s="566"/>
      <c r="Q308" s="566"/>
    </row>
    <row r="309" spans="1:17" x14ac:dyDescent="0.25">
      <c r="A309" s="552"/>
      <c r="B309" s="553" t="s">
        <v>951</v>
      </c>
      <c r="C309" s="552">
        <v>34901</v>
      </c>
      <c r="L309" s="566"/>
      <c r="Q309" s="566"/>
    </row>
    <row r="310" spans="1:17" x14ac:dyDescent="0.25">
      <c r="A310" s="552"/>
      <c r="B310" s="553" t="s">
        <v>854</v>
      </c>
      <c r="C310" s="552">
        <v>30400</v>
      </c>
      <c r="L310" s="566"/>
    </row>
    <row r="311" spans="1:17" x14ac:dyDescent="0.25">
      <c r="A311" s="552"/>
      <c r="B311" s="553" t="s">
        <v>826</v>
      </c>
      <c r="C311" s="552">
        <v>20100</v>
      </c>
      <c r="L311" s="566"/>
    </row>
    <row r="312" spans="1:17" x14ac:dyDescent="0.25">
      <c r="A312" s="552"/>
      <c r="B312" s="553" t="s">
        <v>1009</v>
      </c>
      <c r="C312" s="552">
        <v>36901</v>
      </c>
      <c r="G312" s="564" t="s">
        <v>1137</v>
      </c>
      <c r="I312" s="548" t="s">
        <v>1144</v>
      </c>
      <c r="L312" s="566"/>
      <c r="Q312" s="567"/>
    </row>
    <row r="313" spans="1:17" x14ac:dyDescent="0.25">
      <c r="A313" s="552"/>
      <c r="B313" s="553" t="s">
        <v>923</v>
      </c>
      <c r="C313" s="552">
        <v>33402</v>
      </c>
      <c r="G313" s="564" t="s">
        <v>1138</v>
      </c>
      <c r="I313" s="548" t="s">
        <v>1145</v>
      </c>
      <c r="L313" s="566"/>
    </row>
    <row r="314" spans="1:17" x14ac:dyDescent="0.25">
      <c r="A314" s="552"/>
      <c r="B314" s="553" t="s">
        <v>856</v>
      </c>
      <c r="C314" s="552">
        <v>30500</v>
      </c>
      <c r="G314" s="564" t="s">
        <v>1139</v>
      </c>
      <c r="I314" s="548" t="s">
        <v>1146</v>
      </c>
    </row>
    <row r="315" spans="1:17" x14ac:dyDescent="0.25">
      <c r="A315" s="552"/>
      <c r="B315" s="553" t="s">
        <v>1024</v>
      </c>
      <c r="C315" s="552">
        <v>37610</v>
      </c>
      <c r="G315" s="564" t="s">
        <v>1140</v>
      </c>
      <c r="I315" s="548" t="s">
        <v>1147</v>
      </c>
      <c r="K315" s="566"/>
      <c r="L315" s="566"/>
      <c r="M315" s="566"/>
      <c r="N315" s="566"/>
      <c r="O315" s="566"/>
    </row>
    <row r="316" spans="1:17" x14ac:dyDescent="0.25">
      <c r="A316" s="552"/>
      <c r="B316" s="553" t="s">
        <v>870</v>
      </c>
      <c r="C316" s="552">
        <v>31110</v>
      </c>
      <c r="G316" s="564" t="s">
        <v>1141</v>
      </c>
      <c r="I316" s="548" t="s">
        <v>1148</v>
      </c>
      <c r="K316" s="566"/>
      <c r="L316" s="566"/>
      <c r="M316" s="566"/>
      <c r="N316" s="566"/>
      <c r="O316" s="566"/>
    </row>
    <row r="317" spans="1:17" x14ac:dyDescent="0.25">
      <c r="A317" s="552"/>
      <c r="B317" s="553" t="s">
        <v>869</v>
      </c>
      <c r="C317" s="552">
        <v>31105</v>
      </c>
      <c r="G317" s="564" t="s">
        <v>1142</v>
      </c>
      <c r="I317" s="548" t="s">
        <v>1149</v>
      </c>
      <c r="K317" s="566"/>
      <c r="L317" s="566"/>
      <c r="M317" s="566"/>
      <c r="N317" s="566"/>
      <c r="O317" s="566"/>
    </row>
    <row r="318" spans="1:17" x14ac:dyDescent="0.25">
      <c r="A318" s="552"/>
      <c r="B318" s="553" t="s">
        <v>857</v>
      </c>
      <c r="C318" s="552">
        <v>30600</v>
      </c>
      <c r="G318" s="564" t="s">
        <v>1143</v>
      </c>
      <c r="I318" s="548" t="s">
        <v>1150</v>
      </c>
    </row>
    <row r="319" spans="1:17" x14ac:dyDescent="0.25">
      <c r="A319" s="552"/>
      <c r="B319" s="553" t="s">
        <v>818</v>
      </c>
      <c r="C319" s="552">
        <v>18600</v>
      </c>
      <c r="G319" s="564"/>
    </row>
    <row r="320" spans="1:17" x14ac:dyDescent="0.25">
      <c r="A320" s="552"/>
      <c r="B320" s="553" t="s">
        <v>919</v>
      </c>
      <c r="C320" s="552">
        <v>33206</v>
      </c>
    </row>
    <row r="321" spans="1:3" x14ac:dyDescent="0.25">
      <c r="A321" s="552"/>
      <c r="B321" s="553" t="s">
        <v>860</v>
      </c>
      <c r="C321" s="552">
        <v>30705</v>
      </c>
    </row>
    <row r="322" spans="1:3" x14ac:dyDescent="0.25">
      <c r="A322" s="552"/>
      <c r="B322" s="553" t="s">
        <v>859</v>
      </c>
      <c r="C322" s="552">
        <v>30700</v>
      </c>
    </row>
    <row r="323" spans="1:3" x14ac:dyDescent="0.25">
      <c r="A323" s="552"/>
      <c r="B323" s="553" t="s">
        <v>861</v>
      </c>
      <c r="C323" s="552">
        <v>30800</v>
      </c>
    </row>
    <row r="324" spans="1:3" x14ac:dyDescent="0.25">
      <c r="A324" s="552"/>
      <c r="B324" s="553" t="s">
        <v>1031</v>
      </c>
      <c r="C324" s="552">
        <v>37901</v>
      </c>
    </row>
    <row r="325" spans="1:3" x14ac:dyDescent="0.25">
      <c r="A325" s="552"/>
      <c r="B325" s="553" t="s">
        <v>863</v>
      </c>
      <c r="C325" s="552">
        <v>30905</v>
      </c>
    </row>
    <row r="326" spans="1:3" x14ac:dyDescent="0.25">
      <c r="A326" s="552"/>
      <c r="B326" s="553" t="s">
        <v>862</v>
      </c>
      <c r="C326" s="552">
        <v>30900</v>
      </c>
    </row>
    <row r="327" spans="1:3" x14ac:dyDescent="0.25">
      <c r="A327" s="552"/>
      <c r="B327" s="553" t="s">
        <v>945</v>
      </c>
      <c r="C327" s="552">
        <v>34505</v>
      </c>
    </row>
    <row r="328" spans="1:3" x14ac:dyDescent="0.25">
      <c r="A328" s="552"/>
      <c r="B328" s="553" t="s">
        <v>1054</v>
      </c>
      <c r="C328" s="552">
        <v>38801</v>
      </c>
    </row>
    <row r="329" spans="1:3" x14ac:dyDescent="0.25">
      <c r="A329" s="552"/>
      <c r="B329" s="553" t="s">
        <v>1046</v>
      </c>
      <c r="C329" s="552">
        <v>38601</v>
      </c>
    </row>
    <row r="330" spans="1:3" x14ac:dyDescent="0.25">
      <c r="A330" s="552"/>
      <c r="B330" s="553" t="s">
        <v>865</v>
      </c>
      <c r="C330" s="552">
        <v>31005</v>
      </c>
    </row>
    <row r="331" spans="1:3" x14ac:dyDescent="0.25">
      <c r="A331" s="552"/>
      <c r="B331" s="553" t="s">
        <v>864</v>
      </c>
      <c r="C331" s="552">
        <v>31000</v>
      </c>
    </row>
    <row r="332" spans="1:3" x14ac:dyDescent="0.25">
      <c r="A332" s="552"/>
      <c r="B332" s="553" t="s">
        <v>866</v>
      </c>
      <c r="C332" s="552">
        <v>31100</v>
      </c>
    </row>
    <row r="333" spans="1:3" x14ac:dyDescent="0.25">
      <c r="A333" s="552"/>
      <c r="B333" s="553" t="s">
        <v>871</v>
      </c>
      <c r="C333" s="552">
        <v>31200</v>
      </c>
    </row>
    <row r="334" spans="1:3" x14ac:dyDescent="0.25">
      <c r="A334" s="552"/>
      <c r="B334" s="553" t="s">
        <v>873</v>
      </c>
      <c r="C334" s="552">
        <v>31300</v>
      </c>
    </row>
    <row r="335" spans="1:3" x14ac:dyDescent="0.25">
      <c r="A335" s="552"/>
      <c r="B335" s="553" t="s">
        <v>877</v>
      </c>
      <c r="C335" s="552">
        <v>31405</v>
      </c>
    </row>
    <row r="336" spans="1:3" x14ac:dyDescent="0.25">
      <c r="A336" s="552"/>
      <c r="B336" s="553" t="s">
        <v>876</v>
      </c>
      <c r="C336" s="552">
        <v>31400</v>
      </c>
    </row>
    <row r="337" spans="1:3" x14ac:dyDescent="0.25">
      <c r="A337" s="552"/>
      <c r="B337" s="553" t="s">
        <v>878</v>
      </c>
      <c r="C337" s="552">
        <v>31500</v>
      </c>
    </row>
    <row r="338" spans="1:3" x14ac:dyDescent="0.25">
      <c r="A338" s="552"/>
      <c r="B338" s="553" t="s">
        <v>998</v>
      </c>
      <c r="C338" s="552">
        <v>36505</v>
      </c>
    </row>
    <row r="339" spans="1:3" x14ac:dyDescent="0.25">
      <c r="A339" s="552"/>
      <c r="B339" s="553" t="s">
        <v>996</v>
      </c>
      <c r="C339" s="552">
        <v>36501</v>
      </c>
    </row>
    <row r="340" spans="1:3" x14ac:dyDescent="0.25">
      <c r="A340" s="552"/>
      <c r="B340" s="553" t="s">
        <v>880</v>
      </c>
      <c r="C340" s="552">
        <v>31601</v>
      </c>
    </row>
    <row r="341" spans="1:3" x14ac:dyDescent="0.25">
      <c r="A341" s="552"/>
      <c r="B341" s="553" t="s">
        <v>874</v>
      </c>
      <c r="C341" s="552">
        <v>31301</v>
      </c>
    </row>
    <row r="342" spans="1:3" x14ac:dyDescent="0.25">
      <c r="A342" s="552"/>
      <c r="B342" s="553" t="s">
        <v>881</v>
      </c>
      <c r="C342" s="552">
        <v>31605</v>
      </c>
    </row>
    <row r="343" spans="1:3" x14ac:dyDescent="0.25">
      <c r="A343" s="552"/>
      <c r="B343" s="553" t="s">
        <v>879</v>
      </c>
      <c r="C343" s="552">
        <v>31600</v>
      </c>
    </row>
    <row r="344" spans="1:3" x14ac:dyDescent="0.25">
      <c r="A344" s="552"/>
      <c r="B344" s="553" t="s">
        <v>1065</v>
      </c>
      <c r="C344" s="552">
        <v>39209</v>
      </c>
    </row>
    <row r="345" spans="1:3" x14ac:dyDescent="0.25">
      <c r="A345" s="552"/>
      <c r="B345" s="553" t="s">
        <v>882</v>
      </c>
      <c r="C345" s="552">
        <v>31700</v>
      </c>
    </row>
    <row r="346" spans="1:3" x14ac:dyDescent="0.25">
      <c r="A346" s="552"/>
      <c r="B346" s="553" t="s">
        <v>883</v>
      </c>
      <c r="C346" s="552">
        <v>31800</v>
      </c>
    </row>
    <row r="347" spans="1:3" x14ac:dyDescent="0.25">
      <c r="A347" s="552"/>
      <c r="B347" s="553" t="s">
        <v>884</v>
      </c>
      <c r="C347" s="552">
        <v>31805</v>
      </c>
    </row>
    <row r="348" spans="1:3" x14ac:dyDescent="0.25">
      <c r="A348" s="552"/>
      <c r="B348" s="553" t="s">
        <v>962</v>
      </c>
      <c r="C348" s="552">
        <v>35305</v>
      </c>
    </row>
    <row r="349" spans="1:3" x14ac:dyDescent="0.25">
      <c r="A349" s="552"/>
      <c r="B349" s="553" t="s">
        <v>915</v>
      </c>
      <c r="C349" s="552">
        <v>33202</v>
      </c>
    </row>
    <row r="350" spans="1:3" x14ac:dyDescent="0.25">
      <c r="A350" s="552"/>
      <c r="B350" s="553" t="s">
        <v>979</v>
      </c>
      <c r="C350" s="552">
        <v>36005</v>
      </c>
    </row>
    <row r="351" spans="1:3" x14ac:dyDescent="0.25">
      <c r="A351" s="552"/>
      <c r="B351" s="553" t="s">
        <v>1007</v>
      </c>
      <c r="C351" s="552">
        <v>36810</v>
      </c>
    </row>
    <row r="352" spans="1:3" x14ac:dyDescent="0.25">
      <c r="A352" s="552"/>
      <c r="B352" s="553" t="s">
        <v>983</v>
      </c>
      <c r="C352" s="552">
        <v>36009</v>
      </c>
    </row>
    <row r="353" spans="1:3" x14ac:dyDescent="0.25">
      <c r="A353" s="552"/>
      <c r="B353" s="553" t="s">
        <v>974</v>
      </c>
      <c r="C353" s="552">
        <v>36000</v>
      </c>
    </row>
    <row r="354" spans="1:3" x14ac:dyDescent="0.25">
      <c r="A354" s="552"/>
      <c r="B354" s="553" t="s">
        <v>887</v>
      </c>
      <c r="C354" s="552">
        <v>31900</v>
      </c>
    </row>
    <row r="355" spans="1:3" x14ac:dyDescent="0.25">
      <c r="A355" s="552"/>
      <c r="B355" s="553" t="s">
        <v>888</v>
      </c>
      <c r="C355" s="552">
        <v>32000</v>
      </c>
    </row>
    <row r="356" spans="1:3" x14ac:dyDescent="0.25">
      <c r="A356" s="552"/>
      <c r="B356" s="553" t="s">
        <v>964</v>
      </c>
      <c r="C356" s="552">
        <v>35401</v>
      </c>
    </row>
    <row r="357" spans="1:3" x14ac:dyDescent="0.25">
      <c r="A357" s="552"/>
      <c r="B357" s="553" t="s">
        <v>891</v>
      </c>
      <c r="C357" s="552">
        <v>32200</v>
      </c>
    </row>
    <row r="358" spans="1:3" x14ac:dyDescent="0.25">
      <c r="A358" s="552"/>
      <c r="B358" s="553" t="s">
        <v>892</v>
      </c>
      <c r="C358" s="552">
        <v>32300</v>
      </c>
    </row>
    <row r="359" spans="1:3" x14ac:dyDescent="0.25">
      <c r="A359" s="552"/>
      <c r="B359" s="553" t="s">
        <v>893</v>
      </c>
      <c r="C359" s="552">
        <v>32305</v>
      </c>
    </row>
    <row r="360" spans="1:3" x14ac:dyDescent="0.25">
      <c r="A360" s="552"/>
      <c r="B360" s="553" t="s">
        <v>1039</v>
      </c>
      <c r="C360" s="552">
        <v>38210</v>
      </c>
    </row>
    <row r="361" spans="1:3" x14ac:dyDescent="0.25">
      <c r="A361" s="552"/>
      <c r="B361" s="553" t="s">
        <v>848</v>
      </c>
      <c r="C361" s="552">
        <v>30102</v>
      </c>
    </row>
    <row r="362" spans="1:3" x14ac:dyDescent="0.25">
      <c r="A362" s="552"/>
      <c r="B362" s="553" t="s">
        <v>1003</v>
      </c>
      <c r="C362" s="552">
        <v>36705</v>
      </c>
    </row>
    <row r="363" spans="1:3" x14ac:dyDescent="0.25">
      <c r="A363" s="552"/>
      <c r="B363" s="553" t="s">
        <v>1012</v>
      </c>
      <c r="C363" s="552">
        <v>37005</v>
      </c>
    </row>
    <row r="364" spans="1:3" x14ac:dyDescent="0.25">
      <c r="A364" s="552"/>
      <c r="B364" s="553" t="s">
        <v>894</v>
      </c>
      <c r="C364" s="552">
        <v>32400</v>
      </c>
    </row>
    <row r="365" spans="1:3" x14ac:dyDescent="0.25">
      <c r="A365" s="552"/>
      <c r="B365" s="553" t="s">
        <v>975</v>
      </c>
      <c r="C365" s="552">
        <v>36001</v>
      </c>
    </row>
    <row r="366" spans="1:3" x14ac:dyDescent="0.25">
      <c r="A366" s="552"/>
      <c r="B366" s="553" t="s">
        <v>824</v>
      </c>
      <c r="C366" s="552">
        <v>19005</v>
      </c>
    </row>
    <row r="367" spans="1:3" x14ac:dyDescent="0.25">
      <c r="A367" s="552"/>
      <c r="B367" s="553" t="s">
        <v>977</v>
      </c>
      <c r="C367" s="552">
        <v>36003</v>
      </c>
    </row>
    <row r="368" spans="1:3" x14ac:dyDescent="0.25">
      <c r="A368" s="552"/>
      <c r="B368" s="553" t="s">
        <v>911</v>
      </c>
      <c r="C368" s="552">
        <v>33027</v>
      </c>
    </row>
    <row r="369" spans="1:3" x14ac:dyDescent="0.25">
      <c r="A369" s="552"/>
      <c r="B369" s="553" t="s">
        <v>978</v>
      </c>
      <c r="C369" s="552">
        <v>36004</v>
      </c>
    </row>
    <row r="370" spans="1:3" x14ac:dyDescent="0.25">
      <c r="A370" s="552"/>
      <c r="B370" s="553" t="s">
        <v>899</v>
      </c>
      <c r="C370" s="552">
        <v>32505</v>
      </c>
    </row>
    <row r="371" spans="1:3" x14ac:dyDescent="0.25">
      <c r="A371" s="552"/>
      <c r="B371" s="553" t="s">
        <v>900</v>
      </c>
      <c r="C371" s="552">
        <v>32600</v>
      </c>
    </row>
    <row r="372" spans="1:3" x14ac:dyDescent="0.25">
      <c r="A372" s="552"/>
      <c r="B372" s="553" t="s">
        <v>902</v>
      </c>
      <c r="C372" s="552">
        <v>32700</v>
      </c>
    </row>
    <row r="373" spans="1:3" x14ac:dyDescent="0.25">
      <c r="A373" s="552"/>
      <c r="B373" s="553" t="s">
        <v>903</v>
      </c>
      <c r="C373" s="552">
        <v>32800</v>
      </c>
    </row>
    <row r="374" spans="1:3" x14ac:dyDescent="0.25">
      <c r="A374" s="552"/>
      <c r="B374" s="553" t="s">
        <v>906</v>
      </c>
      <c r="C374" s="552">
        <v>32905</v>
      </c>
    </row>
    <row r="375" spans="1:3" x14ac:dyDescent="0.25">
      <c r="A375" s="552"/>
      <c r="B375" s="553" t="s">
        <v>904</v>
      </c>
      <c r="C375" s="552">
        <v>32900</v>
      </c>
    </row>
    <row r="376" spans="1:3" x14ac:dyDescent="0.25">
      <c r="A376" s="552"/>
      <c r="B376" s="553" t="s">
        <v>909</v>
      </c>
      <c r="C376" s="552">
        <v>33000</v>
      </c>
    </row>
    <row r="377" spans="1:3" x14ac:dyDescent="0.25">
      <c r="A377" s="552"/>
      <c r="B377" s="553" t="s">
        <v>797</v>
      </c>
      <c r="C377" s="552">
        <v>10900</v>
      </c>
    </row>
    <row r="378" spans="1:3" x14ac:dyDescent="0.25">
      <c r="A378" s="552"/>
      <c r="B378" s="553" t="s">
        <v>817</v>
      </c>
      <c r="C378" s="552">
        <v>18400</v>
      </c>
    </row>
    <row r="379" spans="1:3" x14ac:dyDescent="0.25">
      <c r="A379" s="552"/>
      <c r="B379" s="553" t="s">
        <v>810</v>
      </c>
      <c r="C379" s="552">
        <v>12510</v>
      </c>
    </row>
    <row r="380" spans="1:3" x14ac:dyDescent="0.25">
      <c r="A380" s="552"/>
      <c r="B380" s="553" t="s">
        <v>794</v>
      </c>
      <c r="C380" s="552">
        <v>10700</v>
      </c>
    </row>
    <row r="381" spans="1:3" x14ac:dyDescent="0.25">
      <c r="A381" s="552"/>
      <c r="B381" s="553" t="s">
        <v>792</v>
      </c>
      <c r="C381" s="552">
        <v>10400</v>
      </c>
    </row>
    <row r="382" spans="1:3" x14ac:dyDescent="0.25">
      <c r="A382" s="552"/>
      <c r="B382" s="553" t="s">
        <v>842</v>
      </c>
      <c r="C382" s="552">
        <v>22000</v>
      </c>
    </row>
    <row r="383" spans="1:3" x14ac:dyDescent="0.25">
      <c r="A383" s="552"/>
      <c r="B383" s="553" t="s">
        <v>825</v>
      </c>
      <c r="C383" s="552">
        <v>19100</v>
      </c>
    </row>
    <row r="384" spans="1:3" x14ac:dyDescent="0.25">
      <c r="A384" s="552"/>
      <c r="B384" s="553" t="s">
        <v>924</v>
      </c>
      <c r="C384" s="552">
        <v>33403</v>
      </c>
    </row>
    <row r="385" spans="1:3" x14ac:dyDescent="0.25">
      <c r="A385" s="552"/>
      <c r="B385" s="553" t="s">
        <v>912</v>
      </c>
      <c r="C385" s="552">
        <v>33100</v>
      </c>
    </row>
    <row r="386" spans="1:3" x14ac:dyDescent="0.25">
      <c r="A386" s="552"/>
      <c r="B386" s="553" t="s">
        <v>914</v>
      </c>
      <c r="C386" s="552">
        <v>33200</v>
      </c>
    </row>
    <row r="387" spans="1:3" x14ac:dyDescent="0.25">
      <c r="A387" s="552"/>
      <c r="B387" s="553" t="s">
        <v>918</v>
      </c>
      <c r="C387" s="552">
        <v>33205</v>
      </c>
    </row>
    <row r="388" spans="1:3" x14ac:dyDescent="0.25">
      <c r="A388" s="552"/>
      <c r="B388" s="553" t="s">
        <v>828</v>
      </c>
      <c r="C388" s="552">
        <v>20300</v>
      </c>
    </row>
    <row r="389" spans="1:3" x14ac:dyDescent="0.25">
      <c r="A389" s="552"/>
      <c r="B389" s="553" t="s">
        <v>1064</v>
      </c>
      <c r="C389" s="552">
        <v>39208</v>
      </c>
    </row>
    <row r="390" spans="1:3" x14ac:dyDescent="0.25">
      <c r="A390" s="552"/>
      <c r="B390" s="553" t="s">
        <v>890</v>
      </c>
      <c r="C390" s="552">
        <v>32100</v>
      </c>
    </row>
    <row r="391" spans="1:3" x14ac:dyDescent="0.25">
      <c r="A391" s="552"/>
      <c r="B391" s="553" t="s">
        <v>920</v>
      </c>
      <c r="C391" s="552">
        <v>33300</v>
      </c>
    </row>
    <row r="392" spans="1:3" x14ac:dyDescent="0.25">
      <c r="A392" s="552"/>
      <c r="B392" s="553" t="s">
        <v>921</v>
      </c>
      <c r="C392" s="552">
        <v>33305</v>
      </c>
    </row>
    <row r="393" spans="1:3" x14ac:dyDescent="0.25">
      <c r="A393" s="552"/>
      <c r="B393" s="553" t="s">
        <v>1011</v>
      </c>
      <c r="C393" s="552">
        <v>37000</v>
      </c>
    </row>
    <row r="394" spans="1:3" x14ac:dyDescent="0.25">
      <c r="A394" s="552"/>
      <c r="B394" s="553" t="s">
        <v>829</v>
      </c>
      <c r="C394" s="552">
        <v>20400</v>
      </c>
    </row>
    <row r="395" spans="1:3" x14ac:dyDescent="0.25">
      <c r="A395" s="552"/>
      <c r="B395" s="553" t="s">
        <v>1050</v>
      </c>
      <c r="C395" s="552">
        <v>38620</v>
      </c>
    </row>
    <row r="396" spans="1:3" x14ac:dyDescent="0.25">
      <c r="A396" s="552"/>
      <c r="B396" s="553" t="s">
        <v>1061</v>
      </c>
      <c r="C396" s="552">
        <v>39201</v>
      </c>
    </row>
    <row r="397" spans="1:3" x14ac:dyDescent="0.25">
      <c r="A397" s="552"/>
      <c r="B397" s="553" t="s">
        <v>802</v>
      </c>
      <c r="C397" s="552">
        <v>11300</v>
      </c>
    </row>
    <row r="398" spans="1:3" x14ac:dyDescent="0.25">
      <c r="A398" s="552"/>
      <c r="B398" s="553" t="s">
        <v>868</v>
      </c>
      <c r="C398" s="552">
        <v>31102</v>
      </c>
    </row>
    <row r="399" spans="1:3" x14ac:dyDescent="0.25">
      <c r="A399" s="552"/>
      <c r="B399" s="553" t="s">
        <v>867</v>
      </c>
      <c r="C399" s="552">
        <v>31101</v>
      </c>
    </row>
    <row r="400" spans="1:3" x14ac:dyDescent="0.25">
      <c r="A400" s="552"/>
      <c r="B400" s="553" t="s">
        <v>830</v>
      </c>
      <c r="C400" s="552">
        <v>20600</v>
      </c>
    </row>
    <row r="401" spans="1:3" x14ac:dyDescent="0.25">
      <c r="A401" s="552"/>
      <c r="B401" s="553" t="s">
        <v>901</v>
      </c>
      <c r="C401" s="552">
        <v>32605</v>
      </c>
    </row>
    <row r="402" spans="1:3" x14ac:dyDescent="0.25">
      <c r="A402" s="552"/>
      <c r="B402" s="553" t="s">
        <v>925</v>
      </c>
      <c r="C402" s="552">
        <v>33405</v>
      </c>
    </row>
    <row r="403" spans="1:3" x14ac:dyDescent="0.25">
      <c r="A403" s="552"/>
      <c r="B403" s="553" t="s">
        <v>926</v>
      </c>
      <c r="C403" s="560">
        <v>33500</v>
      </c>
    </row>
    <row r="404" spans="1:3" x14ac:dyDescent="0.25">
      <c r="A404" s="552"/>
      <c r="B404" s="553" t="s">
        <v>929</v>
      </c>
      <c r="C404" s="552">
        <v>33605</v>
      </c>
    </row>
    <row r="405" spans="1:3" x14ac:dyDescent="0.25">
      <c r="A405" s="552"/>
      <c r="B405" s="553" t="s">
        <v>1000</v>
      </c>
      <c r="C405" s="552">
        <v>36601</v>
      </c>
    </row>
    <row r="406" spans="1:3" x14ac:dyDescent="0.25">
      <c r="A406" s="552"/>
      <c r="B406" s="553" t="s">
        <v>928</v>
      </c>
      <c r="C406" s="560">
        <v>33600</v>
      </c>
    </row>
    <row r="407" spans="1:3" x14ac:dyDescent="0.25">
      <c r="A407" s="552"/>
      <c r="B407" s="553" t="s">
        <v>930</v>
      </c>
      <c r="C407" s="552">
        <v>33700</v>
      </c>
    </row>
    <row r="408" spans="1:3" x14ac:dyDescent="0.25">
      <c r="A408" s="552"/>
      <c r="B408" s="553" t="s">
        <v>808</v>
      </c>
      <c r="C408" s="552">
        <v>12160</v>
      </c>
    </row>
    <row r="409" spans="1:3" x14ac:dyDescent="0.25">
      <c r="A409" s="552"/>
      <c r="B409" s="553" t="s">
        <v>806</v>
      </c>
      <c r="C409" s="552">
        <v>12100</v>
      </c>
    </row>
    <row r="410" spans="1:3" x14ac:dyDescent="0.25">
      <c r="A410" s="552"/>
      <c r="B410" s="553" t="s">
        <v>931</v>
      </c>
      <c r="C410" s="552">
        <v>33800</v>
      </c>
    </row>
    <row r="411" spans="1:3" x14ac:dyDescent="0.25">
      <c r="A411" s="552"/>
      <c r="B411" s="553" t="s">
        <v>858</v>
      </c>
      <c r="C411" s="552">
        <v>30601</v>
      </c>
    </row>
    <row r="412" spans="1:3" x14ac:dyDescent="0.25">
      <c r="A412" s="552"/>
      <c r="B412" s="553" t="s">
        <v>932</v>
      </c>
      <c r="C412" s="552">
        <v>33900</v>
      </c>
    </row>
    <row r="413" spans="1:3" x14ac:dyDescent="0.25">
      <c r="A413" s="552"/>
      <c r="B413" s="553" t="s">
        <v>1042</v>
      </c>
      <c r="C413" s="552">
        <v>38402</v>
      </c>
    </row>
    <row r="414" spans="1:3" x14ac:dyDescent="0.25">
      <c r="A414" s="552"/>
      <c r="B414" s="553" t="s">
        <v>933</v>
      </c>
      <c r="C414" s="552">
        <v>34000</v>
      </c>
    </row>
    <row r="415" spans="1:3" x14ac:dyDescent="0.25">
      <c r="A415" s="552"/>
      <c r="B415" s="553" t="s">
        <v>934</v>
      </c>
      <c r="C415" s="552">
        <v>34100</v>
      </c>
    </row>
    <row r="416" spans="1:3" x14ac:dyDescent="0.25">
      <c r="A416" s="552"/>
      <c r="B416" s="553" t="s">
        <v>935</v>
      </c>
      <c r="C416" s="552">
        <v>34105</v>
      </c>
    </row>
    <row r="417" spans="1:3" x14ac:dyDescent="0.25">
      <c r="A417" s="552"/>
      <c r="B417" s="553" t="s">
        <v>937</v>
      </c>
      <c r="C417" s="552">
        <v>34205</v>
      </c>
    </row>
    <row r="418" spans="1:3" x14ac:dyDescent="0.25">
      <c r="A418" s="552"/>
      <c r="B418" s="553" t="s">
        <v>936</v>
      </c>
      <c r="C418" s="552">
        <v>34200</v>
      </c>
    </row>
    <row r="419" spans="1:3" x14ac:dyDescent="0.25">
      <c r="A419" s="552"/>
      <c r="B419" s="553" t="s">
        <v>1067</v>
      </c>
      <c r="C419" s="552">
        <v>39301</v>
      </c>
    </row>
    <row r="420" spans="1:3" x14ac:dyDescent="0.25">
      <c r="A420" s="552"/>
      <c r="B420" s="553" t="s">
        <v>940</v>
      </c>
      <c r="C420" s="552">
        <v>34300</v>
      </c>
    </row>
    <row r="421" spans="1:3" x14ac:dyDescent="0.25">
      <c r="A421" s="552"/>
      <c r="B421" s="553" t="s">
        <v>941</v>
      </c>
      <c r="C421" s="552">
        <v>34400</v>
      </c>
    </row>
    <row r="422" spans="1:3" x14ac:dyDescent="0.25">
      <c r="A422" s="552"/>
      <c r="B422" s="553" t="s">
        <v>942</v>
      </c>
      <c r="C422" s="552">
        <v>34405</v>
      </c>
    </row>
    <row r="423" spans="1:3" x14ac:dyDescent="0.25">
      <c r="A423" s="552"/>
      <c r="B423" s="553" t="s">
        <v>809</v>
      </c>
      <c r="C423" s="552">
        <v>12220</v>
      </c>
    </row>
    <row r="424" spans="1:3" x14ac:dyDescent="0.25">
      <c r="A424" s="552"/>
      <c r="B424" s="553" t="s">
        <v>916</v>
      </c>
      <c r="C424" s="552">
        <v>33203</v>
      </c>
    </row>
    <row r="425" spans="1:3" x14ac:dyDescent="0.25">
      <c r="A425" s="552"/>
      <c r="B425" s="553" t="s">
        <v>1069</v>
      </c>
      <c r="C425" s="552">
        <v>39401</v>
      </c>
    </row>
    <row r="426" spans="1:3" x14ac:dyDescent="0.25">
      <c r="A426" s="552"/>
      <c r="B426" s="553" t="s">
        <v>943</v>
      </c>
      <c r="C426" s="552">
        <v>34500</v>
      </c>
    </row>
    <row r="427" spans="1:3" x14ac:dyDescent="0.25">
      <c r="A427" s="552"/>
      <c r="B427" s="553" t="s">
        <v>946</v>
      </c>
      <c r="C427" s="552">
        <v>34600</v>
      </c>
    </row>
    <row r="428" spans="1:3" x14ac:dyDescent="0.25">
      <c r="A428" s="552"/>
      <c r="B428" s="553" t="s">
        <v>885</v>
      </c>
      <c r="C428" s="552">
        <v>31810</v>
      </c>
    </row>
    <row r="429" spans="1:3" x14ac:dyDescent="0.25">
      <c r="A429" s="552"/>
      <c r="B429" s="553" t="s">
        <v>1080</v>
      </c>
      <c r="C429" s="552">
        <v>51000</v>
      </c>
    </row>
    <row r="430" spans="1:3" x14ac:dyDescent="0.25">
      <c r="A430" s="552"/>
      <c r="B430" s="553" t="s">
        <v>948</v>
      </c>
      <c r="C430" s="552">
        <v>34700</v>
      </c>
    </row>
    <row r="431" spans="1:3" x14ac:dyDescent="0.25">
      <c r="A431" s="552"/>
      <c r="B431" s="553" t="s">
        <v>949</v>
      </c>
      <c r="C431" s="552">
        <v>34800</v>
      </c>
    </row>
    <row r="432" spans="1:3" x14ac:dyDescent="0.25">
      <c r="A432" s="552"/>
      <c r="B432" s="553" t="s">
        <v>799</v>
      </c>
      <c r="C432" s="552">
        <v>10930</v>
      </c>
    </row>
    <row r="433" spans="1:3" x14ac:dyDescent="0.25">
      <c r="A433" s="552"/>
      <c r="B433" s="553" t="s">
        <v>811</v>
      </c>
      <c r="C433" s="552">
        <v>12600</v>
      </c>
    </row>
    <row r="434" spans="1:3" x14ac:dyDescent="0.25">
      <c r="A434" s="552"/>
      <c r="B434" s="553" t="s">
        <v>1134</v>
      </c>
      <c r="C434" s="552">
        <v>33207</v>
      </c>
    </row>
    <row r="435" spans="1:3" x14ac:dyDescent="0.25">
      <c r="A435" s="552"/>
      <c r="B435" s="553" t="s">
        <v>905</v>
      </c>
      <c r="C435" s="552">
        <v>32901</v>
      </c>
    </row>
    <row r="436" spans="1:3" x14ac:dyDescent="0.25">
      <c r="A436" s="552"/>
      <c r="B436" s="553" t="s">
        <v>950</v>
      </c>
      <c r="C436" s="552">
        <v>34900</v>
      </c>
    </row>
    <row r="437" spans="1:3" x14ac:dyDescent="0.25">
      <c r="A437" s="552"/>
      <c r="B437" s="553" t="s">
        <v>1036</v>
      </c>
      <c r="C437" s="552">
        <v>38105</v>
      </c>
    </row>
    <row r="438" spans="1:3" x14ac:dyDescent="0.25">
      <c r="A438" s="552"/>
      <c r="B438" s="553" t="s">
        <v>955</v>
      </c>
      <c r="C438" s="552">
        <v>35000</v>
      </c>
    </row>
    <row r="439" spans="1:3" x14ac:dyDescent="0.25">
      <c r="A439" s="552"/>
      <c r="B439" s="553" t="s">
        <v>913</v>
      </c>
      <c r="C439" s="552">
        <v>33105</v>
      </c>
    </row>
    <row r="440" spans="1:3" x14ac:dyDescent="0.25">
      <c r="A440" s="560"/>
      <c r="B440" s="553" t="s">
        <v>957</v>
      </c>
      <c r="C440" s="552">
        <v>35100</v>
      </c>
    </row>
    <row r="441" spans="1:3" x14ac:dyDescent="0.25">
      <c r="A441" s="560"/>
      <c r="B441" s="553" t="s">
        <v>958</v>
      </c>
      <c r="C441" s="552">
        <v>35105</v>
      </c>
    </row>
    <row r="442" spans="1:3" x14ac:dyDescent="0.25">
      <c r="A442" s="560"/>
      <c r="B442" s="553" t="s">
        <v>960</v>
      </c>
      <c r="C442" s="552">
        <v>35200</v>
      </c>
    </row>
    <row r="443" spans="1:3" x14ac:dyDescent="0.25">
      <c r="A443" s="552"/>
      <c r="B443" s="553" t="s">
        <v>875</v>
      </c>
      <c r="C443" s="552">
        <v>31320</v>
      </c>
    </row>
    <row r="444" spans="1:3" x14ac:dyDescent="0.25">
      <c r="A444" s="552"/>
      <c r="B444" s="553" t="s">
        <v>976</v>
      </c>
      <c r="C444" s="552">
        <v>36002</v>
      </c>
    </row>
    <row r="445" spans="1:3" x14ac:dyDescent="0.25">
      <c r="A445" s="552"/>
      <c r="B445" s="553" t="s">
        <v>965</v>
      </c>
      <c r="C445" s="552">
        <v>35402</v>
      </c>
    </row>
    <row r="446" spans="1:3" x14ac:dyDescent="0.25">
      <c r="A446" s="552"/>
      <c r="B446" s="553" t="s">
        <v>985</v>
      </c>
      <c r="C446" s="552">
        <v>36102</v>
      </c>
    </row>
    <row r="447" spans="1:3" x14ac:dyDescent="0.25">
      <c r="A447" s="552"/>
      <c r="B447" s="553" t="s">
        <v>1135</v>
      </c>
      <c r="C447" s="552">
        <v>33208</v>
      </c>
    </row>
    <row r="448" spans="1:3" x14ac:dyDescent="0.25">
      <c r="A448" s="552"/>
      <c r="B448" s="553" t="s">
        <v>812</v>
      </c>
      <c r="C448" s="552">
        <v>12700</v>
      </c>
    </row>
    <row r="449" spans="1:3" x14ac:dyDescent="0.25">
      <c r="A449" s="552"/>
      <c r="B449" s="553" t="s">
        <v>980</v>
      </c>
      <c r="C449" s="552">
        <v>36006</v>
      </c>
    </row>
    <row r="450" spans="1:3" x14ac:dyDescent="0.25">
      <c r="A450" s="552"/>
      <c r="B450" s="553" t="s">
        <v>966</v>
      </c>
      <c r="C450" s="552">
        <v>35405</v>
      </c>
    </row>
    <row r="451" spans="1:3" x14ac:dyDescent="0.25">
      <c r="A451" s="552"/>
      <c r="B451" s="553" t="s">
        <v>963</v>
      </c>
      <c r="C451" s="552">
        <v>35400</v>
      </c>
    </row>
    <row r="452" spans="1:3" x14ac:dyDescent="0.25">
      <c r="A452" s="552"/>
      <c r="B452" s="553" t="s">
        <v>907</v>
      </c>
      <c r="C452" s="552">
        <v>32910</v>
      </c>
    </row>
    <row r="453" spans="1:3" x14ac:dyDescent="0.25">
      <c r="A453" s="552"/>
      <c r="B453" s="553" t="s">
        <v>967</v>
      </c>
      <c r="C453" s="552">
        <v>35500</v>
      </c>
    </row>
    <row r="454" spans="1:3" x14ac:dyDescent="0.25">
      <c r="A454" s="552"/>
      <c r="B454" s="553" t="s">
        <v>807</v>
      </c>
      <c r="C454" s="552">
        <v>12150</v>
      </c>
    </row>
    <row r="455" spans="1:3" x14ac:dyDescent="0.25">
      <c r="A455" s="552"/>
      <c r="B455" s="553" t="s">
        <v>968</v>
      </c>
      <c r="C455" s="552">
        <v>35600</v>
      </c>
    </row>
    <row r="456" spans="1:3" x14ac:dyDescent="0.25">
      <c r="A456" s="552"/>
      <c r="B456" s="553" t="s">
        <v>969</v>
      </c>
      <c r="C456" s="552">
        <v>35700</v>
      </c>
    </row>
    <row r="457" spans="1:3" x14ac:dyDescent="0.25">
      <c r="A457" s="552"/>
      <c r="B457" s="553" t="s">
        <v>971</v>
      </c>
      <c r="C457" s="552">
        <v>35805</v>
      </c>
    </row>
    <row r="458" spans="1:3" x14ac:dyDescent="0.25">
      <c r="A458" s="552"/>
      <c r="B458" s="553" t="s">
        <v>970</v>
      </c>
      <c r="C458" s="552">
        <v>35800</v>
      </c>
    </row>
    <row r="459" spans="1:3" x14ac:dyDescent="0.25">
      <c r="A459" s="552"/>
      <c r="B459" s="553" t="s">
        <v>986</v>
      </c>
      <c r="C459" s="552">
        <v>36105</v>
      </c>
    </row>
    <row r="460" spans="1:3" x14ac:dyDescent="0.25">
      <c r="A460" s="552"/>
      <c r="B460" s="553" t="s">
        <v>972</v>
      </c>
      <c r="C460" s="552">
        <v>35900</v>
      </c>
    </row>
    <row r="461" spans="1:3" x14ac:dyDescent="0.25">
      <c r="A461" s="552"/>
      <c r="B461" s="553" t="s">
        <v>973</v>
      </c>
      <c r="C461" s="552">
        <v>35905</v>
      </c>
    </row>
    <row r="462" spans="1:3" x14ac:dyDescent="0.25">
      <c r="A462" s="552"/>
      <c r="B462" s="553" t="s">
        <v>1047</v>
      </c>
      <c r="C462" s="552">
        <v>38602</v>
      </c>
    </row>
    <row r="463" spans="1:3" x14ac:dyDescent="0.25">
      <c r="A463" s="552"/>
      <c r="B463" s="553" t="s">
        <v>953</v>
      </c>
      <c r="C463" s="552">
        <v>34905</v>
      </c>
    </row>
    <row r="464" spans="1:3" x14ac:dyDescent="0.25">
      <c r="A464" s="552"/>
      <c r="B464" s="553" t="s">
        <v>984</v>
      </c>
      <c r="C464" s="552">
        <v>36100</v>
      </c>
    </row>
    <row r="465" spans="1:3" x14ac:dyDescent="0.25">
      <c r="A465" s="552"/>
      <c r="B465" s="553" t="s">
        <v>988</v>
      </c>
      <c r="C465" s="552">
        <v>36205</v>
      </c>
    </row>
    <row r="466" spans="1:3" x14ac:dyDescent="0.25">
      <c r="A466" s="552"/>
      <c r="B466" s="553" t="s">
        <v>987</v>
      </c>
      <c r="C466" s="552">
        <v>36200</v>
      </c>
    </row>
    <row r="467" spans="1:3" x14ac:dyDescent="0.25">
      <c r="A467" s="552"/>
      <c r="B467" s="553" t="s">
        <v>989</v>
      </c>
      <c r="C467" s="552">
        <v>36300</v>
      </c>
    </row>
    <row r="468" spans="1:3" x14ac:dyDescent="0.25">
      <c r="A468" s="552"/>
      <c r="B468" s="553" t="s">
        <v>954</v>
      </c>
      <c r="C468" s="552">
        <v>34910</v>
      </c>
    </row>
    <row r="469" spans="1:3" x14ac:dyDescent="0.25">
      <c r="A469" s="552"/>
      <c r="B469" s="553" t="s">
        <v>1049</v>
      </c>
      <c r="C469" s="552">
        <v>38610</v>
      </c>
    </row>
    <row r="470" spans="1:3" x14ac:dyDescent="0.25">
      <c r="A470" s="552"/>
      <c r="B470" s="553" t="s">
        <v>944</v>
      </c>
      <c r="C470" s="552">
        <v>34501</v>
      </c>
    </row>
    <row r="471" spans="1:3" x14ac:dyDescent="0.25">
      <c r="A471" s="552"/>
      <c r="B471" s="553" t="s">
        <v>1052</v>
      </c>
      <c r="C471" s="552">
        <v>38701</v>
      </c>
    </row>
    <row r="472" spans="1:3" x14ac:dyDescent="0.25">
      <c r="A472" s="552"/>
      <c r="B472" s="553" t="s">
        <v>822</v>
      </c>
      <c r="C472" s="552">
        <v>18740</v>
      </c>
    </row>
    <row r="473" spans="1:3" x14ac:dyDescent="0.25">
      <c r="A473" s="552"/>
      <c r="B473" s="553" t="s">
        <v>832</v>
      </c>
      <c r="C473" s="552">
        <v>20800</v>
      </c>
    </row>
    <row r="474" spans="1:3" x14ac:dyDescent="0.25">
      <c r="A474" s="552"/>
      <c r="B474" s="553" t="s">
        <v>821</v>
      </c>
      <c r="C474" s="552">
        <v>18690</v>
      </c>
    </row>
    <row r="475" spans="1:3" x14ac:dyDescent="0.25">
      <c r="A475" s="552"/>
      <c r="B475" s="553" t="s">
        <v>801</v>
      </c>
      <c r="C475" s="552">
        <v>10950</v>
      </c>
    </row>
    <row r="476" spans="1:3" x14ac:dyDescent="0.25">
      <c r="A476" s="552"/>
      <c r="B476" s="553" t="s">
        <v>827</v>
      </c>
      <c r="C476" s="552">
        <v>20200</v>
      </c>
    </row>
    <row r="477" spans="1:3" x14ac:dyDescent="0.25">
      <c r="A477" s="552"/>
      <c r="B477" s="553" t="s">
        <v>823</v>
      </c>
      <c r="C477" s="552">
        <v>18780</v>
      </c>
    </row>
    <row r="478" spans="1:3" x14ac:dyDescent="0.25">
      <c r="A478" s="552"/>
      <c r="B478" s="553" t="s">
        <v>835</v>
      </c>
      <c r="C478" s="552">
        <v>21300</v>
      </c>
    </row>
    <row r="479" spans="1:3" x14ac:dyDescent="0.25">
      <c r="A479" s="552"/>
      <c r="B479" s="553" t="s">
        <v>910</v>
      </c>
      <c r="C479" s="552">
        <v>33001</v>
      </c>
    </row>
    <row r="480" spans="1:3" x14ac:dyDescent="0.25">
      <c r="A480" s="552"/>
      <c r="B480" s="553" t="s">
        <v>994</v>
      </c>
      <c r="C480" s="552">
        <v>36405</v>
      </c>
    </row>
    <row r="481" spans="1:3" x14ac:dyDescent="0.25">
      <c r="A481" s="552"/>
      <c r="B481" s="553" t="s">
        <v>993</v>
      </c>
      <c r="C481" s="552">
        <v>36400</v>
      </c>
    </row>
    <row r="482" spans="1:3" x14ac:dyDescent="0.25">
      <c r="A482" s="552"/>
      <c r="B482" s="553" t="s">
        <v>831</v>
      </c>
      <c r="C482" s="552">
        <v>20700</v>
      </c>
    </row>
    <row r="483" spans="1:3" x14ac:dyDescent="0.25">
      <c r="A483" s="552"/>
      <c r="B483" s="553" t="s">
        <v>815</v>
      </c>
      <c r="C483" s="552">
        <v>14200</v>
      </c>
    </row>
    <row r="484" spans="1:3" x14ac:dyDescent="0.25">
      <c r="A484" s="552"/>
      <c r="B484" s="553" t="s">
        <v>803</v>
      </c>
      <c r="C484" s="552">
        <v>11310</v>
      </c>
    </row>
    <row r="485" spans="1:3" x14ac:dyDescent="0.25">
      <c r="A485" s="552"/>
      <c r="B485" s="553" t="s">
        <v>959</v>
      </c>
      <c r="C485" s="552">
        <v>35106</v>
      </c>
    </row>
    <row r="486" spans="1:3" x14ac:dyDescent="0.25">
      <c r="A486" s="552"/>
      <c r="B486" s="553" t="s">
        <v>898</v>
      </c>
      <c r="C486" s="552">
        <v>32500</v>
      </c>
    </row>
    <row r="487" spans="1:3" x14ac:dyDescent="0.25">
      <c r="A487" s="552"/>
      <c r="B487" s="553" t="s">
        <v>995</v>
      </c>
      <c r="C487" s="552">
        <v>36500</v>
      </c>
    </row>
    <row r="488" spans="1:3" x14ac:dyDescent="0.25">
      <c r="A488" s="552"/>
      <c r="B488" s="553" t="s">
        <v>886</v>
      </c>
      <c r="C488" s="552">
        <v>31820</v>
      </c>
    </row>
    <row r="489" spans="1:3" x14ac:dyDescent="0.25">
      <c r="A489" s="552"/>
      <c r="B489" s="553" t="s">
        <v>819</v>
      </c>
      <c r="C489" s="552">
        <v>18640</v>
      </c>
    </row>
    <row r="490" spans="1:3" x14ac:dyDescent="0.25">
      <c r="A490" s="552"/>
      <c r="B490" s="553" t="s">
        <v>791</v>
      </c>
      <c r="C490" s="552">
        <v>10200</v>
      </c>
    </row>
    <row r="491" spans="1:3" x14ac:dyDescent="0.25">
      <c r="A491" s="552"/>
      <c r="B491" s="553" t="s">
        <v>999</v>
      </c>
      <c r="C491" s="552">
        <v>36600</v>
      </c>
    </row>
    <row r="492" spans="1:3" x14ac:dyDescent="0.25">
      <c r="A492" s="552"/>
      <c r="B492" s="553" t="s">
        <v>796</v>
      </c>
      <c r="C492" s="552">
        <v>10850</v>
      </c>
    </row>
    <row r="493" spans="1:3" x14ac:dyDescent="0.25">
      <c r="A493" s="552"/>
      <c r="B493" s="553" t="s">
        <v>798</v>
      </c>
      <c r="C493" s="552">
        <v>10910</v>
      </c>
    </row>
    <row r="494" spans="1:3" x14ac:dyDescent="0.25">
      <c r="A494" s="552"/>
      <c r="B494" s="553" t="s">
        <v>800</v>
      </c>
      <c r="C494" s="552">
        <v>10940</v>
      </c>
    </row>
    <row r="495" spans="1:3" x14ac:dyDescent="0.25">
      <c r="A495" s="552"/>
      <c r="B495" s="553" t="s">
        <v>1001</v>
      </c>
      <c r="C495" s="552">
        <v>36700</v>
      </c>
    </row>
    <row r="496" spans="1:3" x14ac:dyDescent="0.25">
      <c r="A496" s="552"/>
      <c r="B496" s="553" t="s">
        <v>1006</v>
      </c>
      <c r="C496" s="552">
        <v>36802</v>
      </c>
    </row>
    <row r="497" spans="1:3" x14ac:dyDescent="0.25">
      <c r="A497" s="552"/>
      <c r="B497" s="553" t="s">
        <v>1004</v>
      </c>
      <c r="C497" s="552">
        <v>36800</v>
      </c>
    </row>
    <row r="498" spans="1:3" x14ac:dyDescent="0.25">
      <c r="A498" s="552"/>
      <c r="B498" s="553" t="s">
        <v>1005</v>
      </c>
      <c r="C498" s="552">
        <v>36801</v>
      </c>
    </row>
    <row r="499" spans="1:3" x14ac:dyDescent="0.25">
      <c r="A499" s="552"/>
      <c r="B499" s="553" t="s">
        <v>1010</v>
      </c>
      <c r="C499" s="552">
        <v>36905</v>
      </c>
    </row>
    <row r="500" spans="1:3" x14ac:dyDescent="0.25">
      <c r="A500" s="552"/>
      <c r="B500" s="553" t="s">
        <v>1008</v>
      </c>
      <c r="C500" s="552">
        <v>36900</v>
      </c>
    </row>
    <row r="501" spans="1:3" x14ac:dyDescent="0.25">
      <c r="A501" s="552"/>
      <c r="B501" s="553" t="s">
        <v>1013</v>
      </c>
      <c r="C501" s="552">
        <v>37100</v>
      </c>
    </row>
    <row r="502" spans="1:3" x14ac:dyDescent="0.25">
      <c r="A502" s="552"/>
      <c r="B502" s="553" t="s">
        <v>1014</v>
      </c>
      <c r="C502" s="552">
        <v>37200</v>
      </c>
    </row>
    <row r="503" spans="1:3" x14ac:dyDescent="0.25">
      <c r="A503" s="552"/>
      <c r="B503" s="553" t="s">
        <v>1015</v>
      </c>
      <c r="C503" s="552">
        <v>37300</v>
      </c>
    </row>
    <row r="504" spans="1:3" x14ac:dyDescent="0.25">
      <c r="A504" s="552"/>
      <c r="B504" s="553" t="s">
        <v>1017</v>
      </c>
      <c r="C504" s="552">
        <v>37305</v>
      </c>
    </row>
    <row r="505" spans="1:3" x14ac:dyDescent="0.25">
      <c r="A505" s="552"/>
      <c r="B505" s="553" t="s">
        <v>982</v>
      </c>
      <c r="C505" s="552">
        <v>36008</v>
      </c>
    </row>
    <row r="506" spans="1:3" x14ac:dyDescent="0.25">
      <c r="A506" s="552"/>
      <c r="B506" s="553" t="s">
        <v>1075</v>
      </c>
      <c r="C506" s="552">
        <v>39703</v>
      </c>
    </row>
    <row r="507" spans="1:3" x14ac:dyDescent="0.25">
      <c r="A507" s="552"/>
      <c r="B507" s="553" t="s">
        <v>1136</v>
      </c>
      <c r="C507" s="552">
        <v>33209</v>
      </c>
    </row>
    <row r="508" spans="1:3" x14ac:dyDescent="0.25">
      <c r="A508" s="552"/>
      <c r="B508" s="553" t="s">
        <v>1019</v>
      </c>
      <c r="C508" s="552">
        <v>37405</v>
      </c>
    </row>
    <row r="509" spans="1:3" x14ac:dyDescent="0.25">
      <c r="A509" s="552"/>
      <c r="B509" s="553" t="s">
        <v>1018</v>
      </c>
      <c r="C509" s="552">
        <v>37400</v>
      </c>
    </row>
    <row r="510" spans="1:3" x14ac:dyDescent="0.25">
      <c r="A510" s="552"/>
      <c r="B510" s="553" t="s">
        <v>1020</v>
      </c>
      <c r="C510" s="552">
        <v>37500</v>
      </c>
    </row>
    <row r="511" spans="1:3" x14ac:dyDescent="0.25">
      <c r="A511" s="552"/>
      <c r="B511" s="553" t="s">
        <v>1023</v>
      </c>
      <c r="C511" s="552">
        <v>37605</v>
      </c>
    </row>
    <row r="512" spans="1:3" x14ac:dyDescent="0.25">
      <c r="A512" s="552"/>
      <c r="B512" s="553" t="s">
        <v>1021</v>
      </c>
      <c r="C512" s="552">
        <v>37600</v>
      </c>
    </row>
    <row r="513" spans="1:3" x14ac:dyDescent="0.25">
      <c r="A513" s="552"/>
      <c r="B513" s="553" t="s">
        <v>813</v>
      </c>
      <c r="C513" s="552">
        <v>13500</v>
      </c>
    </row>
    <row r="514" spans="1:3" x14ac:dyDescent="0.25">
      <c r="A514" s="552"/>
      <c r="B514" s="553" t="s">
        <v>1025</v>
      </c>
      <c r="C514" s="552">
        <v>37700</v>
      </c>
    </row>
    <row r="515" spans="1:3" x14ac:dyDescent="0.25">
      <c r="A515" s="552"/>
      <c r="B515" s="553" t="s">
        <v>1026</v>
      </c>
      <c r="C515" s="552">
        <v>37705</v>
      </c>
    </row>
    <row r="516" spans="1:3" x14ac:dyDescent="0.25">
      <c r="A516" s="552"/>
      <c r="B516" s="553" t="s">
        <v>849</v>
      </c>
      <c r="C516" s="552">
        <v>30103</v>
      </c>
    </row>
    <row r="517" spans="1:3" x14ac:dyDescent="0.25">
      <c r="A517" s="552"/>
      <c r="B517" s="553" t="s">
        <v>938</v>
      </c>
      <c r="C517" s="552">
        <v>34220</v>
      </c>
    </row>
    <row r="518" spans="1:3" x14ac:dyDescent="0.25">
      <c r="A518" s="552"/>
      <c r="B518" s="553" t="s">
        <v>947</v>
      </c>
      <c r="C518" s="552">
        <v>34605</v>
      </c>
    </row>
    <row r="519" spans="1:3" x14ac:dyDescent="0.25">
      <c r="A519" s="552"/>
      <c r="B519" s="553" t="s">
        <v>1029</v>
      </c>
      <c r="C519" s="552">
        <v>37805</v>
      </c>
    </row>
    <row r="520" spans="1:3" x14ac:dyDescent="0.25">
      <c r="A520" s="552"/>
      <c r="B520" s="553" t="s">
        <v>1027</v>
      </c>
      <c r="C520" s="552">
        <v>37800</v>
      </c>
    </row>
    <row r="521" spans="1:3" x14ac:dyDescent="0.25">
      <c r="A521" s="552"/>
      <c r="B521" s="553" t="s">
        <v>1032</v>
      </c>
      <c r="C521" s="552">
        <v>37905</v>
      </c>
    </row>
    <row r="522" spans="1:3" x14ac:dyDescent="0.25">
      <c r="A522" s="552"/>
      <c r="B522" s="553" t="s">
        <v>1030</v>
      </c>
      <c r="C522" s="552">
        <v>37900</v>
      </c>
    </row>
    <row r="523" spans="1:3" x14ac:dyDescent="0.25">
      <c r="A523" s="552"/>
      <c r="B523" s="553" t="s">
        <v>1034</v>
      </c>
      <c r="C523" s="552">
        <v>38005</v>
      </c>
    </row>
    <row r="524" spans="1:3" x14ac:dyDescent="0.25">
      <c r="A524" s="552"/>
      <c r="B524" s="553" t="s">
        <v>1033</v>
      </c>
      <c r="C524" s="552">
        <v>38000</v>
      </c>
    </row>
    <row r="525" spans="1:3" x14ac:dyDescent="0.25">
      <c r="A525" s="552"/>
      <c r="B525" s="553" t="s">
        <v>1016</v>
      </c>
      <c r="C525" s="552">
        <v>37301</v>
      </c>
    </row>
    <row r="526" spans="1:3" x14ac:dyDescent="0.25">
      <c r="A526" s="552"/>
      <c r="B526" s="553" t="s">
        <v>1035</v>
      </c>
      <c r="C526" s="552">
        <v>38100</v>
      </c>
    </row>
    <row r="527" spans="1:3" x14ac:dyDescent="0.25">
      <c r="A527" s="552"/>
      <c r="B527" s="553" t="s">
        <v>1038</v>
      </c>
      <c r="C527" s="552">
        <v>38205</v>
      </c>
    </row>
    <row r="528" spans="1:3" x14ac:dyDescent="0.25">
      <c r="A528" s="552"/>
      <c r="B528" s="553" t="s">
        <v>1037</v>
      </c>
      <c r="C528" s="552">
        <v>38200</v>
      </c>
    </row>
    <row r="529" spans="1:3" x14ac:dyDescent="0.25">
      <c r="A529" s="552"/>
      <c r="B529" s="553" t="s">
        <v>992</v>
      </c>
      <c r="C529" s="552">
        <v>36305</v>
      </c>
    </row>
    <row r="530" spans="1:3" x14ac:dyDescent="0.25">
      <c r="A530" s="552"/>
      <c r="B530" s="553" t="s">
        <v>961</v>
      </c>
      <c r="C530" s="552">
        <v>35300</v>
      </c>
    </row>
    <row r="531" spans="1:3" x14ac:dyDescent="0.25">
      <c r="A531" s="552"/>
      <c r="B531" s="553" t="s">
        <v>1040</v>
      </c>
      <c r="C531" s="552">
        <v>38300</v>
      </c>
    </row>
    <row r="532" spans="1:3" x14ac:dyDescent="0.25">
      <c r="A532" s="552"/>
      <c r="B532" s="553" t="s">
        <v>814</v>
      </c>
      <c r="C532" s="552">
        <v>13700</v>
      </c>
    </row>
    <row r="533" spans="1:3" x14ac:dyDescent="0.25">
      <c r="A533" s="552"/>
      <c r="B533" s="553" t="s">
        <v>897</v>
      </c>
      <c r="C533" s="552">
        <v>32420</v>
      </c>
    </row>
    <row r="534" spans="1:3" x14ac:dyDescent="0.25">
      <c r="A534" s="552"/>
      <c r="B534" s="553" t="s">
        <v>981</v>
      </c>
      <c r="C534" s="552">
        <v>36007</v>
      </c>
    </row>
    <row r="535" spans="1:3" x14ac:dyDescent="0.25">
      <c r="A535" s="552"/>
      <c r="B535" s="553" t="s">
        <v>855</v>
      </c>
      <c r="C535" s="552">
        <v>30405</v>
      </c>
    </row>
    <row r="536" spans="1:3" x14ac:dyDescent="0.25">
      <c r="A536" s="552"/>
      <c r="B536" s="553" t="s">
        <v>1028</v>
      </c>
      <c r="C536" s="552">
        <v>37801</v>
      </c>
    </row>
    <row r="537" spans="1:3" x14ac:dyDescent="0.25">
      <c r="A537" s="552"/>
      <c r="B537" s="553" t="s">
        <v>895</v>
      </c>
      <c r="C537" s="552">
        <v>32405</v>
      </c>
    </row>
    <row r="538" spans="1:3" x14ac:dyDescent="0.25">
      <c r="A538" s="552"/>
      <c r="B538" s="553" t="s">
        <v>1062</v>
      </c>
      <c r="C538" s="552">
        <v>39204</v>
      </c>
    </row>
    <row r="539" spans="1:3" x14ac:dyDescent="0.25">
      <c r="A539" s="552"/>
      <c r="B539" s="553" t="s">
        <v>956</v>
      </c>
      <c r="C539" s="552">
        <v>35005</v>
      </c>
    </row>
    <row r="540" spans="1:3" x14ac:dyDescent="0.25">
      <c r="A540" s="552"/>
      <c r="B540" s="553" t="s">
        <v>1043</v>
      </c>
      <c r="C540" s="552">
        <v>38405</v>
      </c>
    </row>
    <row r="541" spans="1:3" x14ac:dyDescent="0.25">
      <c r="A541" s="552"/>
      <c r="B541" s="553" t="s">
        <v>1041</v>
      </c>
      <c r="C541" s="552">
        <v>38400</v>
      </c>
    </row>
    <row r="542" spans="1:3" x14ac:dyDescent="0.25">
      <c r="A542" s="552"/>
      <c r="B542" s="553" t="s">
        <v>991</v>
      </c>
      <c r="C542" s="552">
        <v>36302</v>
      </c>
    </row>
    <row r="543" spans="1:3" x14ac:dyDescent="0.25">
      <c r="A543" s="552"/>
      <c r="B543" s="553" t="s">
        <v>793</v>
      </c>
      <c r="C543" s="552">
        <v>10500</v>
      </c>
    </row>
    <row r="544" spans="1:3" x14ac:dyDescent="0.25">
      <c r="A544" s="552"/>
      <c r="B544" s="553" t="s">
        <v>805</v>
      </c>
      <c r="C544" s="552">
        <v>11900</v>
      </c>
    </row>
    <row r="545" spans="1:3" x14ac:dyDescent="0.25">
      <c r="A545" s="552"/>
      <c r="B545" s="553" t="s">
        <v>820</v>
      </c>
      <c r="C545" s="552">
        <v>18670</v>
      </c>
    </row>
    <row r="546" spans="1:3" x14ac:dyDescent="0.25">
      <c r="A546" s="552"/>
      <c r="B546" s="553" t="s">
        <v>816</v>
      </c>
      <c r="C546" s="552">
        <v>14300</v>
      </c>
    </row>
    <row r="547" spans="1:3" x14ac:dyDescent="0.25">
      <c r="A547" s="552"/>
      <c r="B547" s="553" t="s">
        <v>1044</v>
      </c>
      <c r="C547" s="552">
        <v>38500</v>
      </c>
    </row>
    <row r="548" spans="1:3" x14ac:dyDescent="0.25">
      <c r="A548" s="552"/>
      <c r="B548" s="553" t="s">
        <v>952</v>
      </c>
      <c r="C548" s="552">
        <v>34903</v>
      </c>
    </row>
    <row r="549" spans="1:3" x14ac:dyDescent="0.25">
      <c r="A549" s="552"/>
      <c r="B549" s="553" t="s">
        <v>1048</v>
      </c>
      <c r="C549" s="552">
        <v>38605</v>
      </c>
    </row>
    <row r="550" spans="1:3" x14ac:dyDescent="0.25">
      <c r="A550" s="552"/>
      <c r="B550" s="553" t="s">
        <v>1045</v>
      </c>
      <c r="C550" s="552">
        <v>38600</v>
      </c>
    </row>
    <row r="551" spans="1:3" x14ac:dyDescent="0.25">
      <c r="A551" s="552"/>
      <c r="B551" s="553" t="s">
        <v>1051</v>
      </c>
      <c r="C551" s="552">
        <v>38700</v>
      </c>
    </row>
    <row r="552" spans="1:3" x14ac:dyDescent="0.25">
      <c r="A552" s="552"/>
      <c r="B552" s="553" t="s">
        <v>850</v>
      </c>
      <c r="C552" s="552">
        <v>30104</v>
      </c>
    </row>
    <row r="553" spans="1:3" x14ac:dyDescent="0.25">
      <c r="A553" s="552"/>
      <c r="B553" s="553" t="s">
        <v>908</v>
      </c>
      <c r="C553" s="552">
        <v>32920</v>
      </c>
    </row>
    <row r="554" spans="1:3" x14ac:dyDescent="0.25">
      <c r="A554" s="552"/>
      <c r="B554" s="553" t="s">
        <v>1053</v>
      </c>
      <c r="C554" s="552">
        <v>38800</v>
      </c>
    </row>
    <row r="555" spans="1:3" x14ac:dyDescent="0.25">
      <c r="A555" s="552"/>
      <c r="B555" s="553" t="s">
        <v>889</v>
      </c>
      <c r="C555" s="552">
        <v>32005</v>
      </c>
    </row>
    <row r="556" spans="1:3" x14ac:dyDescent="0.25">
      <c r="A556" s="552"/>
      <c r="B556" s="553" t="s">
        <v>1071</v>
      </c>
      <c r="C556" s="552">
        <v>39501</v>
      </c>
    </row>
    <row r="557" spans="1:3" x14ac:dyDescent="0.25">
      <c r="A557" s="552"/>
      <c r="B557" s="553" t="s">
        <v>1055</v>
      </c>
      <c r="C557" s="552">
        <v>38900</v>
      </c>
    </row>
    <row r="558" spans="1:3" x14ac:dyDescent="0.25">
      <c r="A558" s="552"/>
      <c r="B558" s="553" t="s">
        <v>834</v>
      </c>
      <c r="C558" s="552">
        <v>21200</v>
      </c>
    </row>
    <row r="559" spans="1:3" x14ac:dyDescent="0.25">
      <c r="A559" s="552"/>
      <c r="B559" s="553" t="s">
        <v>838</v>
      </c>
      <c r="C559" s="552">
        <v>21550</v>
      </c>
    </row>
    <row r="560" spans="1:3" x14ac:dyDescent="0.25">
      <c r="A560" s="552"/>
      <c r="B560" s="553" t="s">
        <v>836</v>
      </c>
      <c r="C560" s="552">
        <v>21520</v>
      </c>
    </row>
    <row r="561" spans="1:3" x14ac:dyDescent="0.25">
      <c r="A561" s="552"/>
      <c r="B561" s="553" t="s">
        <v>837</v>
      </c>
      <c r="C561" s="552">
        <v>21525</v>
      </c>
    </row>
    <row r="562" spans="1:3" x14ac:dyDescent="0.25">
      <c r="A562" s="552"/>
      <c r="B562" s="553" t="s">
        <v>1056</v>
      </c>
      <c r="C562" s="552">
        <v>39000</v>
      </c>
    </row>
    <row r="563" spans="1:3" x14ac:dyDescent="0.25">
      <c r="A563" s="552"/>
      <c r="B563" s="553" t="s">
        <v>843</v>
      </c>
      <c r="C563" s="552">
        <v>23000</v>
      </c>
    </row>
    <row r="564" spans="1:3" x14ac:dyDescent="0.25">
      <c r="A564" s="552"/>
      <c r="B564" s="553" t="s">
        <v>844</v>
      </c>
      <c r="C564" s="552">
        <v>23100</v>
      </c>
    </row>
    <row r="565" spans="1:3" x14ac:dyDescent="0.25">
      <c r="A565" s="552"/>
      <c r="B565" s="553" t="s">
        <v>833</v>
      </c>
      <c r="C565" s="552">
        <v>20900</v>
      </c>
    </row>
    <row r="566" spans="1:3" x14ac:dyDescent="0.25">
      <c r="A566" s="552"/>
      <c r="B566" s="553" t="s">
        <v>845</v>
      </c>
      <c r="C566" s="552">
        <v>23200</v>
      </c>
    </row>
    <row r="567" spans="1:3" x14ac:dyDescent="0.25">
      <c r="A567" s="552"/>
      <c r="B567" s="553" t="s">
        <v>839</v>
      </c>
      <c r="C567" s="552">
        <v>21570</v>
      </c>
    </row>
    <row r="568" spans="1:3" x14ac:dyDescent="0.25">
      <c r="A568" s="552"/>
      <c r="B568" s="553" t="s">
        <v>1022</v>
      </c>
      <c r="C568" s="552">
        <v>37601</v>
      </c>
    </row>
    <row r="569" spans="1:3" x14ac:dyDescent="0.25">
      <c r="A569" s="552"/>
      <c r="B569" s="553" t="s">
        <v>1058</v>
      </c>
      <c r="C569" s="552">
        <v>39101</v>
      </c>
    </row>
    <row r="570" spans="1:3" x14ac:dyDescent="0.25">
      <c r="A570" s="552"/>
      <c r="B570" s="553" t="s">
        <v>1057</v>
      </c>
      <c r="C570" s="552">
        <v>39100</v>
      </c>
    </row>
    <row r="571" spans="1:3" x14ac:dyDescent="0.25">
      <c r="A571" s="552"/>
      <c r="B571" s="553" t="s">
        <v>1059</v>
      </c>
      <c r="C571" s="552">
        <v>39105</v>
      </c>
    </row>
    <row r="572" spans="1:3" x14ac:dyDescent="0.25">
      <c r="A572" s="552"/>
      <c r="B572" s="553" t="s">
        <v>917</v>
      </c>
      <c r="C572" s="552">
        <v>33204</v>
      </c>
    </row>
    <row r="573" spans="1:3" x14ac:dyDescent="0.25">
      <c r="A573" s="552"/>
      <c r="B573" s="553" t="s">
        <v>1060</v>
      </c>
      <c r="C573" s="552">
        <v>39200</v>
      </c>
    </row>
    <row r="574" spans="1:3" x14ac:dyDescent="0.25">
      <c r="A574" s="552"/>
      <c r="B574" s="553" t="s">
        <v>1063</v>
      </c>
      <c r="C574" s="552">
        <v>39205</v>
      </c>
    </row>
    <row r="575" spans="1:3" x14ac:dyDescent="0.25">
      <c r="A575" s="552"/>
      <c r="B575" s="553" t="s">
        <v>1066</v>
      </c>
      <c r="C575" s="552">
        <v>39300</v>
      </c>
    </row>
    <row r="576" spans="1:3" x14ac:dyDescent="0.25">
      <c r="A576" s="552"/>
      <c r="B576" s="553" t="s">
        <v>1068</v>
      </c>
      <c r="C576" s="552">
        <v>39400</v>
      </c>
    </row>
    <row r="577" spans="1:3" x14ac:dyDescent="0.25">
      <c r="A577" s="552"/>
      <c r="B577" s="553" t="s">
        <v>1070</v>
      </c>
      <c r="C577" s="552">
        <v>39500</v>
      </c>
    </row>
    <row r="578" spans="1:3" x14ac:dyDescent="0.25">
      <c r="A578" s="552"/>
      <c r="B578" s="553" t="s">
        <v>1073</v>
      </c>
      <c r="C578" s="552">
        <v>39605</v>
      </c>
    </row>
    <row r="579" spans="1:3" x14ac:dyDescent="0.25">
      <c r="A579" s="552"/>
      <c r="B579" s="553" t="s">
        <v>1072</v>
      </c>
      <c r="C579" s="552">
        <v>39600</v>
      </c>
    </row>
    <row r="580" spans="1:3" x14ac:dyDescent="0.25">
      <c r="A580" s="552"/>
      <c r="B580" s="553" t="s">
        <v>939</v>
      </c>
      <c r="C580" s="552">
        <v>34230</v>
      </c>
    </row>
    <row r="581" spans="1:3" x14ac:dyDescent="0.25">
      <c r="A581" s="552"/>
      <c r="B581" s="553" t="s">
        <v>840</v>
      </c>
      <c r="C581" s="552">
        <v>21800</v>
      </c>
    </row>
    <row r="582" spans="1:3" x14ac:dyDescent="0.25">
      <c r="A582" s="552"/>
      <c r="B582" s="553" t="s">
        <v>872</v>
      </c>
      <c r="C582" s="552">
        <v>31205</v>
      </c>
    </row>
    <row r="583" spans="1:3" x14ac:dyDescent="0.25">
      <c r="A583" s="552"/>
      <c r="B583" s="553" t="s">
        <v>896</v>
      </c>
      <c r="C583" s="552">
        <v>32410</v>
      </c>
    </row>
    <row r="584" spans="1:3" x14ac:dyDescent="0.25">
      <c r="A584" s="552"/>
      <c r="B584" s="553" t="s">
        <v>804</v>
      </c>
      <c r="C584" s="552">
        <v>11600</v>
      </c>
    </row>
    <row r="585" spans="1:3" x14ac:dyDescent="0.25">
      <c r="A585" s="552"/>
      <c r="B585" s="553" t="s">
        <v>1076</v>
      </c>
      <c r="C585" s="552">
        <v>39705</v>
      </c>
    </row>
    <row r="586" spans="1:3" x14ac:dyDescent="0.25">
      <c r="A586" s="552"/>
      <c r="B586" s="553" t="s">
        <v>1074</v>
      </c>
      <c r="C586" s="552">
        <v>39700</v>
      </c>
    </row>
    <row r="587" spans="1:3" x14ac:dyDescent="0.25">
      <c r="A587" s="552"/>
      <c r="B587" s="553" t="s">
        <v>997</v>
      </c>
      <c r="C587" s="552">
        <v>36502</v>
      </c>
    </row>
    <row r="588" spans="1:3" x14ac:dyDescent="0.25">
      <c r="A588" s="552"/>
      <c r="B588" s="553" t="s">
        <v>1078</v>
      </c>
      <c r="C588" s="552">
        <v>39805</v>
      </c>
    </row>
    <row r="589" spans="1:3" x14ac:dyDescent="0.25">
      <c r="A589" s="552"/>
      <c r="B589" s="553" t="s">
        <v>1077</v>
      </c>
      <c r="C589" s="552">
        <v>39800</v>
      </c>
    </row>
    <row r="590" spans="1:3" x14ac:dyDescent="0.25">
      <c r="A590" s="552"/>
      <c r="B590" s="553" t="s">
        <v>841</v>
      </c>
      <c r="C590" s="552">
        <v>21900</v>
      </c>
    </row>
    <row r="591" spans="1:3" x14ac:dyDescent="0.25">
      <c r="A591" s="552"/>
      <c r="B591" s="553" t="s">
        <v>922</v>
      </c>
      <c r="C591" s="552">
        <v>33400</v>
      </c>
    </row>
    <row r="592" spans="1:3" x14ac:dyDescent="0.25">
      <c r="A592" s="552"/>
      <c r="B592" s="553" t="s">
        <v>1079</v>
      </c>
      <c r="C592" s="552">
        <v>39900</v>
      </c>
    </row>
    <row r="593" spans="1:3" x14ac:dyDescent="0.25">
      <c r="A593" s="552"/>
      <c r="B593" s="553" t="s">
        <v>846</v>
      </c>
      <c r="C593" s="552">
        <v>30000</v>
      </c>
    </row>
    <row r="594" spans="1:3" x14ac:dyDescent="0.25">
      <c r="A594" s="552"/>
      <c r="B594" s="553" t="s">
        <v>1002</v>
      </c>
      <c r="C594" s="552">
        <v>36701</v>
      </c>
    </row>
    <row r="595" spans="1:3" x14ac:dyDescent="0.25">
      <c r="B595" s="548" t="s">
        <v>1156</v>
      </c>
      <c r="C595" s="573" t="s">
        <v>1157</v>
      </c>
    </row>
  </sheetData>
  <autoFilter ref="A2:U295" xr:uid="{00000000-0009-0000-0000-000013000000}"/>
  <pageMargins left="0.25" right="0.25" top="0.5" bottom="0.5" header="0.3" footer="0.3"/>
  <pageSetup paperSize="5" scale="54" fitToHeight="10" orientation="landscape" r:id="rId1"/>
  <headerFooter>
    <oddFooter>&amp;C&amp;Z&amp;F&amp;R&amp;F</oddFooter>
  </headerFooter>
  <rowBreaks count="1" manualBreakCount="1">
    <brk id="237" max="1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P241"/>
  <sheetViews>
    <sheetView workbookViewId="0">
      <selection activeCell="A11" sqref="A11"/>
    </sheetView>
  </sheetViews>
  <sheetFormatPr defaultRowHeight="12.75" x14ac:dyDescent="0.2"/>
  <cols>
    <col min="1" max="1" width="6" customWidth="1"/>
    <col min="2" max="2" width="3.42578125" customWidth="1"/>
    <col min="3" max="3" width="3.7109375" customWidth="1"/>
    <col min="5" max="5" width="16.7109375" customWidth="1"/>
    <col min="6" max="6" width="16" customWidth="1"/>
    <col min="7" max="7" width="6.5703125" customWidth="1"/>
    <col min="8" max="8" width="13.5703125" bestFit="1" customWidth="1"/>
    <col min="9" max="9" width="1.5703125" customWidth="1"/>
    <col min="10" max="10" width="15.28515625" customWidth="1"/>
    <col min="11" max="11" width="1.140625" customWidth="1"/>
    <col min="12" max="12" width="15.28515625" customWidth="1"/>
    <col min="13" max="13" width="1.28515625" customWidth="1"/>
    <col min="14" max="14" width="15.28515625" customWidth="1"/>
    <col min="15" max="15" width="13.42578125" customWidth="1"/>
    <col min="16" max="16" width="1.140625" customWidth="1"/>
  </cols>
  <sheetData>
    <row r="1" spans="1:16" x14ac:dyDescent="0.2">
      <c r="A1" s="2"/>
    </row>
    <row r="2" spans="1:16" ht="33.75" customHeight="1" x14ac:dyDescent="0.25">
      <c r="A2" s="1107" t="s">
        <v>526</v>
      </c>
      <c r="B2" s="1108"/>
      <c r="C2" s="1108"/>
      <c r="D2" s="1108"/>
      <c r="E2" s="1108"/>
      <c r="F2" s="1108"/>
      <c r="G2" s="1108"/>
      <c r="H2" s="1108"/>
      <c r="I2" s="1108"/>
      <c r="J2" s="1108"/>
      <c r="K2" s="1108"/>
      <c r="L2" s="1108"/>
      <c r="M2" s="1108"/>
      <c r="N2" s="1108"/>
      <c r="O2" s="1109"/>
    </row>
    <row r="4" spans="1:16" ht="63.75" customHeight="1" x14ac:dyDescent="0.2">
      <c r="B4" s="1011" t="s">
        <v>312</v>
      </c>
      <c r="C4" s="1110"/>
      <c r="D4" s="1110"/>
      <c r="E4" s="1110"/>
      <c r="F4" s="1110"/>
      <c r="G4" s="1110"/>
      <c r="H4" s="1110"/>
      <c r="I4" s="1110"/>
      <c r="J4" s="1110"/>
      <c r="K4" s="1110"/>
      <c r="L4" s="1110"/>
      <c r="M4" s="1110"/>
      <c r="N4" s="1110"/>
      <c r="O4" s="1110"/>
      <c r="P4" s="1110"/>
    </row>
    <row r="5" spans="1:16" ht="7.5" customHeight="1" x14ac:dyDescent="0.2">
      <c r="B5" s="34"/>
      <c r="C5" s="35"/>
      <c r="D5" s="35"/>
      <c r="E5" s="35"/>
      <c r="F5" s="35"/>
      <c r="G5" s="35"/>
      <c r="H5" s="35"/>
      <c r="I5" s="35"/>
      <c r="J5" s="35"/>
      <c r="K5" s="35"/>
      <c r="L5" s="35"/>
      <c r="M5" s="35"/>
      <c r="N5" s="35"/>
      <c r="O5" s="35"/>
      <c r="P5" s="35"/>
    </row>
    <row r="6" spans="1:16" ht="12" customHeight="1" x14ac:dyDescent="0.2">
      <c r="B6" s="365" t="s">
        <v>662</v>
      </c>
      <c r="C6" s="1110" t="s">
        <v>89</v>
      </c>
      <c r="D6" s="1110"/>
      <c r="E6" s="1110"/>
      <c r="F6" s="1110"/>
      <c r="G6" s="1110"/>
      <c r="H6" s="1110"/>
      <c r="I6" s="1110"/>
      <c r="J6" s="1110"/>
      <c r="K6" s="1110"/>
      <c r="L6" s="1110"/>
      <c r="M6" s="1110"/>
      <c r="N6" s="1110"/>
      <c r="O6" s="1110"/>
      <c r="P6" s="35"/>
    </row>
    <row r="7" spans="1:16" ht="4.5" customHeight="1" x14ac:dyDescent="0.2">
      <c r="B7" s="365"/>
      <c r="C7" s="34"/>
      <c r="D7" s="34"/>
      <c r="E7" s="34"/>
      <c r="F7" s="34"/>
      <c r="G7" s="34"/>
      <c r="H7" s="34"/>
      <c r="I7" s="34"/>
      <c r="J7" s="34"/>
      <c r="K7" s="34"/>
      <c r="L7" s="34"/>
      <c r="M7" s="34"/>
      <c r="N7" s="34"/>
      <c r="O7" s="34"/>
      <c r="P7" s="35"/>
    </row>
    <row r="8" spans="1:16" ht="12.75" customHeight="1" x14ac:dyDescent="0.2">
      <c r="B8" s="365" t="s">
        <v>663</v>
      </c>
      <c r="C8" s="1012" t="s">
        <v>90</v>
      </c>
      <c r="D8" s="1012"/>
      <c r="E8" s="1012"/>
      <c r="F8" s="1012"/>
      <c r="G8" s="1012"/>
      <c r="H8" s="1012"/>
      <c r="I8" s="1012"/>
      <c r="J8" s="1012"/>
      <c r="K8" s="1012"/>
      <c r="L8" s="1012"/>
      <c r="M8" s="1012"/>
      <c r="N8" s="1012"/>
      <c r="O8" s="1012"/>
      <c r="P8" s="35"/>
    </row>
    <row r="9" spans="1:16" ht="12.75" customHeight="1" x14ac:dyDescent="0.2">
      <c r="B9" s="365"/>
      <c r="C9" s="1012"/>
      <c r="D9" s="1012"/>
      <c r="E9" s="1012"/>
      <c r="F9" s="1012"/>
      <c r="G9" s="1012"/>
      <c r="H9" s="1012"/>
      <c r="I9" s="1012"/>
      <c r="J9" s="1012"/>
      <c r="K9" s="1012"/>
      <c r="L9" s="1012"/>
      <c r="M9" s="1012"/>
      <c r="N9" s="1012"/>
      <c r="O9" s="1012"/>
      <c r="P9" s="35"/>
    </row>
    <row r="10" spans="1:16" ht="4.5" customHeight="1" x14ac:dyDescent="0.2">
      <c r="B10" s="365"/>
      <c r="C10" s="35"/>
      <c r="D10" s="35"/>
      <c r="E10" s="35"/>
      <c r="F10" s="35"/>
      <c r="G10" s="35"/>
      <c r="H10" s="35"/>
      <c r="I10" s="35"/>
      <c r="J10" s="35"/>
      <c r="K10" s="35"/>
      <c r="L10" s="35"/>
      <c r="M10" s="35"/>
      <c r="N10" s="35"/>
      <c r="O10" s="35"/>
      <c r="P10" s="35"/>
    </row>
    <row r="11" spans="1:16" ht="12.75" customHeight="1" x14ac:dyDescent="0.2">
      <c r="B11" s="365" t="s">
        <v>664</v>
      </c>
      <c r="C11" s="1011" t="s">
        <v>91</v>
      </c>
      <c r="D11" s="1011"/>
      <c r="E11" s="1011"/>
      <c r="F11" s="1011"/>
      <c r="G11" s="1011"/>
      <c r="H11" s="1011"/>
      <c r="I11" s="1011"/>
      <c r="J11" s="1011"/>
      <c r="K11" s="1011"/>
      <c r="L11" s="1011"/>
      <c r="M11" s="1011"/>
      <c r="N11" s="1011"/>
      <c r="O11" s="1011"/>
      <c r="P11" s="35"/>
    </row>
    <row r="12" spans="1:16" ht="24.75" customHeight="1" x14ac:dyDescent="0.2">
      <c r="B12" s="365"/>
      <c r="C12" s="1011"/>
      <c r="D12" s="1011"/>
      <c r="E12" s="1011"/>
      <c r="F12" s="1011"/>
      <c r="G12" s="1011"/>
      <c r="H12" s="1011"/>
      <c r="I12" s="1011"/>
      <c r="J12" s="1011"/>
      <c r="K12" s="1011"/>
      <c r="L12" s="1011"/>
      <c r="M12" s="1011"/>
      <c r="N12" s="1011"/>
      <c r="O12" s="1011"/>
      <c r="P12" s="35"/>
    </row>
    <row r="13" spans="1:16" ht="4.5" customHeight="1" x14ac:dyDescent="0.2">
      <c r="B13" s="365"/>
      <c r="C13" s="34"/>
      <c r="D13" s="35"/>
      <c r="E13" s="35"/>
      <c r="F13" s="35"/>
      <c r="G13" s="35"/>
      <c r="H13" s="35"/>
      <c r="I13" s="35"/>
      <c r="J13" s="35"/>
      <c r="K13" s="35"/>
      <c r="L13" s="35"/>
      <c r="M13" s="35"/>
      <c r="N13" s="35"/>
      <c r="O13" s="35"/>
      <c r="P13" s="35"/>
    </row>
    <row r="14" spans="1:16" ht="12.75" customHeight="1" x14ac:dyDescent="0.2">
      <c r="B14" s="365" t="s">
        <v>343</v>
      </c>
      <c r="C14" s="1114" t="s">
        <v>748</v>
      </c>
      <c r="D14" s="1011"/>
      <c r="E14" s="1011"/>
      <c r="F14" s="1011"/>
      <c r="G14" s="1011"/>
      <c r="H14" s="1011"/>
      <c r="I14" s="1011"/>
      <c r="J14" s="1011"/>
      <c r="K14" s="1011"/>
      <c r="L14" s="1011"/>
      <c r="M14" s="1011"/>
      <c r="N14" s="1011"/>
      <c r="O14" s="1011"/>
      <c r="P14" s="35"/>
    </row>
    <row r="15" spans="1:16" ht="37.5" customHeight="1" x14ac:dyDescent="0.2">
      <c r="B15" s="365"/>
      <c r="C15" s="1011"/>
      <c r="D15" s="1011"/>
      <c r="E15" s="1011"/>
      <c r="F15" s="1011"/>
      <c r="G15" s="1011"/>
      <c r="H15" s="1011"/>
      <c r="I15" s="1011"/>
      <c r="J15" s="1011"/>
      <c r="K15" s="1011"/>
      <c r="L15" s="1011"/>
      <c r="M15" s="1011"/>
      <c r="N15" s="1011"/>
      <c r="O15" s="1011"/>
      <c r="P15" s="35"/>
    </row>
    <row r="16" spans="1:16" ht="5.25" customHeight="1" x14ac:dyDescent="0.2">
      <c r="B16" s="365"/>
      <c r="C16" s="34"/>
      <c r="D16" s="35"/>
      <c r="E16" s="35"/>
      <c r="F16" s="35"/>
      <c r="G16" s="35"/>
      <c r="H16" s="35"/>
      <c r="I16" s="35"/>
      <c r="J16" s="35"/>
      <c r="K16" s="35"/>
      <c r="L16" s="35"/>
      <c r="M16" s="35"/>
      <c r="N16" s="35"/>
      <c r="O16" s="35"/>
      <c r="P16" s="35"/>
    </row>
    <row r="17" spans="1:16" ht="12.75" customHeight="1" x14ac:dyDescent="0.2">
      <c r="B17" s="365" t="s">
        <v>344</v>
      </c>
      <c r="C17" s="1012" t="s">
        <v>74</v>
      </c>
      <c r="D17" s="1012"/>
      <c r="E17" s="1012"/>
      <c r="F17" s="1012"/>
      <c r="G17" s="1012"/>
      <c r="H17" s="1012"/>
      <c r="I17" s="1012"/>
      <c r="J17" s="1012"/>
      <c r="K17" s="1012"/>
      <c r="L17" s="1012"/>
      <c r="M17" s="1012"/>
      <c r="N17" s="1012"/>
      <c r="O17" s="1012"/>
      <c r="P17" s="35"/>
    </row>
    <row r="18" spans="1:16" ht="15.75" customHeight="1" x14ac:dyDescent="0.2">
      <c r="B18" s="365"/>
      <c r="C18" s="1012"/>
      <c r="D18" s="1012"/>
      <c r="E18" s="1012"/>
      <c r="F18" s="1012"/>
      <c r="G18" s="1012"/>
      <c r="H18" s="1012"/>
      <c r="I18" s="1012"/>
      <c r="J18" s="1012"/>
      <c r="K18" s="1012"/>
      <c r="L18" s="1012"/>
      <c r="M18" s="1012"/>
      <c r="N18" s="1012"/>
      <c r="O18" s="1012"/>
      <c r="P18" s="35"/>
    </row>
    <row r="19" spans="1:16" ht="4.5" customHeight="1" x14ac:dyDescent="0.2">
      <c r="B19" s="365"/>
      <c r="C19" s="35"/>
      <c r="D19" s="35"/>
      <c r="E19" s="35"/>
      <c r="F19" s="35"/>
      <c r="G19" s="35"/>
      <c r="H19" s="35"/>
      <c r="I19" s="35"/>
      <c r="J19" s="35"/>
      <c r="K19" s="35"/>
      <c r="L19" s="35"/>
      <c r="M19" s="35"/>
      <c r="N19" s="35"/>
      <c r="O19" s="35"/>
      <c r="P19" s="35"/>
    </row>
    <row r="20" spans="1:16" ht="12.75" customHeight="1" x14ac:dyDescent="0.2">
      <c r="B20" s="365" t="s">
        <v>186</v>
      </c>
      <c r="C20" s="1012" t="s">
        <v>142</v>
      </c>
      <c r="D20" s="1012"/>
      <c r="E20" s="1012"/>
      <c r="F20" s="1012"/>
      <c r="G20" s="1012"/>
      <c r="H20" s="1012"/>
      <c r="I20" s="1012"/>
      <c r="J20" s="1012"/>
      <c r="K20" s="1012"/>
      <c r="L20" s="1012"/>
      <c r="M20" s="1012"/>
      <c r="N20" s="1012"/>
      <c r="O20" s="1012"/>
      <c r="P20" s="35"/>
    </row>
    <row r="21" spans="1:16" ht="15" customHeight="1" x14ac:dyDescent="0.2">
      <c r="B21" s="39"/>
      <c r="C21" s="1012"/>
      <c r="D21" s="1012"/>
      <c r="E21" s="1012"/>
      <c r="F21" s="1012"/>
      <c r="G21" s="1012"/>
      <c r="H21" s="1012"/>
      <c r="I21" s="1012"/>
      <c r="J21" s="1012"/>
      <c r="K21" s="1012"/>
      <c r="L21" s="1012"/>
      <c r="M21" s="1012"/>
      <c r="N21" s="1012"/>
      <c r="O21" s="1012"/>
      <c r="P21" s="35"/>
    </row>
    <row r="22" spans="1:16" ht="12" customHeight="1" x14ac:dyDescent="0.2">
      <c r="B22" s="34"/>
      <c r="C22" s="35"/>
      <c r="D22" s="35"/>
      <c r="E22" s="35"/>
      <c r="F22" s="35"/>
      <c r="G22" s="35"/>
      <c r="H22" s="35"/>
      <c r="I22" s="35"/>
      <c r="J22" s="35"/>
      <c r="K22" s="35"/>
      <c r="L22" s="35"/>
      <c r="M22" s="35"/>
      <c r="N22" s="35"/>
      <c r="O22" s="35"/>
      <c r="P22" s="35"/>
    </row>
    <row r="23" spans="1:16" ht="45.75" customHeight="1" x14ac:dyDescent="0.2">
      <c r="A23" s="4" t="s">
        <v>341</v>
      </c>
      <c r="B23" s="1111" t="s">
        <v>681</v>
      </c>
      <c r="C23" s="1112"/>
      <c r="D23" s="1112"/>
      <c r="E23" s="1112"/>
      <c r="F23" s="1112"/>
      <c r="G23" s="1112"/>
      <c r="H23" s="1112"/>
      <c r="I23" s="1112"/>
      <c r="J23" s="1112"/>
      <c r="K23" s="1112"/>
      <c r="L23" s="1112"/>
      <c r="M23" s="1112"/>
      <c r="N23" s="1112"/>
      <c r="O23" s="1113"/>
      <c r="P23" s="35"/>
    </row>
    <row r="25" spans="1:16" x14ac:dyDescent="0.2">
      <c r="C25" s="7" t="s">
        <v>53</v>
      </c>
      <c r="D25" s="7"/>
      <c r="E25" s="7"/>
      <c r="H25" s="3" t="s">
        <v>657</v>
      </c>
    </row>
    <row r="26" spans="1:16" ht="4.5" customHeight="1" x14ac:dyDescent="0.2"/>
    <row r="27" spans="1:16" ht="12.75" customHeight="1" x14ac:dyDescent="0.2">
      <c r="C27" t="s">
        <v>402</v>
      </c>
      <c r="H27" s="228">
        <v>0</v>
      </c>
    </row>
    <row r="28" spans="1:16" ht="12.75" customHeight="1" x14ac:dyDescent="0.2">
      <c r="C28" t="s">
        <v>403</v>
      </c>
      <c r="H28" s="228">
        <v>0</v>
      </c>
    </row>
    <row r="29" spans="1:16" x14ac:dyDescent="0.2">
      <c r="C29" t="s">
        <v>404</v>
      </c>
      <c r="H29" s="228">
        <v>0</v>
      </c>
    </row>
    <row r="30" spans="1:16" ht="15" customHeight="1" x14ac:dyDescent="0.2">
      <c r="C30" t="s">
        <v>579</v>
      </c>
      <c r="H30" s="228">
        <v>0</v>
      </c>
    </row>
    <row r="31" spans="1:16" ht="17.25" customHeight="1" x14ac:dyDescent="0.2">
      <c r="C31" t="s">
        <v>555</v>
      </c>
      <c r="H31" s="228">
        <v>0</v>
      </c>
    </row>
    <row r="32" spans="1:16" ht="18" customHeight="1" x14ac:dyDescent="0.2">
      <c r="C32" s="215" t="str">
        <f>'Conversion Worksheet'!C158</f>
        <v>Other revenue source #1</v>
      </c>
      <c r="H32" s="228"/>
    </row>
    <row r="33" spans="1:15" x14ac:dyDescent="0.2">
      <c r="C33" s="215" t="str">
        <f>'Conversion Worksheet'!C159</f>
        <v>Other revenue source #2</v>
      </c>
      <c r="H33" s="228"/>
    </row>
    <row r="34" spans="1:15" x14ac:dyDescent="0.2">
      <c r="C34" s="1015" t="s">
        <v>16</v>
      </c>
      <c r="D34" s="1015"/>
      <c r="E34" s="1015"/>
      <c r="F34" s="1015"/>
      <c r="H34" s="228"/>
    </row>
    <row r="35" spans="1:15" x14ac:dyDescent="0.2">
      <c r="C35" s="1015" t="s">
        <v>17</v>
      </c>
      <c r="D35" s="1015"/>
      <c r="E35" s="1015"/>
      <c r="F35" s="1015"/>
      <c r="H35" s="228"/>
    </row>
    <row r="36" spans="1:15" ht="12.75" customHeight="1" x14ac:dyDescent="0.2">
      <c r="H36" s="36"/>
    </row>
    <row r="37" spans="1:15" ht="15" thickBot="1" x14ac:dyDescent="0.25">
      <c r="D37" t="s">
        <v>660</v>
      </c>
      <c r="G37" s="48" t="s">
        <v>144</v>
      </c>
      <c r="H37" s="67">
        <f>SUM(H27:H36)</f>
        <v>0</v>
      </c>
      <c r="L37" s="197"/>
    </row>
    <row r="38" spans="1:15" ht="13.5" thickTop="1" x14ac:dyDescent="0.2">
      <c r="H38" s="49"/>
    </row>
    <row r="39" spans="1:15" ht="36.75" customHeight="1" x14ac:dyDescent="0.2">
      <c r="A39" s="4" t="s">
        <v>342</v>
      </c>
      <c r="B39" s="1119" t="s">
        <v>88</v>
      </c>
      <c r="C39" s="1116"/>
      <c r="D39" s="1116"/>
      <c r="E39" s="1116"/>
      <c r="F39" s="1116"/>
      <c r="G39" s="1116"/>
      <c r="H39" s="1116"/>
      <c r="I39" s="1116"/>
      <c r="J39" s="1116"/>
      <c r="K39" s="1116"/>
      <c r="L39" s="1116"/>
      <c r="M39" s="1116"/>
      <c r="N39" s="1116"/>
      <c r="O39" s="1117"/>
    </row>
    <row r="40" spans="1:15" x14ac:dyDescent="0.2">
      <c r="H40" s="49"/>
    </row>
    <row r="41" spans="1:15" x14ac:dyDescent="0.2">
      <c r="H41" s="51" t="s">
        <v>657</v>
      </c>
    </row>
    <row r="42" spans="1:15" ht="4.5" customHeight="1" x14ac:dyDescent="0.2">
      <c r="H42" s="49"/>
    </row>
    <row r="43" spans="1:15" x14ac:dyDescent="0.2">
      <c r="C43" t="s">
        <v>54</v>
      </c>
      <c r="H43" s="68"/>
    </row>
    <row r="44" spans="1:15" x14ac:dyDescent="0.2">
      <c r="D44" t="s">
        <v>371</v>
      </c>
      <c r="H44" s="228">
        <v>0</v>
      </c>
    </row>
    <row r="45" spans="1:15" x14ac:dyDescent="0.2">
      <c r="D45" t="s">
        <v>372</v>
      </c>
      <c r="H45" s="229">
        <v>0</v>
      </c>
    </row>
    <row r="46" spans="1:15" x14ac:dyDescent="0.2">
      <c r="D46" t="s">
        <v>373</v>
      </c>
      <c r="H46" s="229">
        <v>0</v>
      </c>
    </row>
    <row r="47" spans="1:15" ht="4.5" customHeight="1" x14ac:dyDescent="0.2">
      <c r="H47" s="45"/>
    </row>
    <row r="48" spans="1:15" x14ac:dyDescent="0.2">
      <c r="C48" t="s">
        <v>235</v>
      </c>
      <c r="H48" s="68"/>
    </row>
    <row r="49" spans="3:8" x14ac:dyDescent="0.2">
      <c r="D49" t="s">
        <v>371</v>
      </c>
      <c r="H49" s="229">
        <v>0</v>
      </c>
    </row>
    <row r="50" spans="3:8" x14ac:dyDescent="0.2">
      <c r="D50" t="s">
        <v>372</v>
      </c>
      <c r="H50" s="228">
        <v>0</v>
      </c>
    </row>
    <row r="51" spans="3:8" x14ac:dyDescent="0.2">
      <c r="D51" t="s">
        <v>373</v>
      </c>
      <c r="H51" s="229">
        <v>0</v>
      </c>
    </row>
    <row r="52" spans="3:8" ht="4.5" customHeight="1" x14ac:dyDescent="0.2">
      <c r="H52" s="45"/>
    </row>
    <row r="53" spans="3:8" x14ac:dyDescent="0.2">
      <c r="C53" s="159" t="s">
        <v>236</v>
      </c>
      <c r="H53" s="68"/>
    </row>
    <row r="54" spans="3:8" x14ac:dyDescent="0.2">
      <c r="D54" t="s">
        <v>371</v>
      </c>
      <c r="H54" s="229">
        <v>0</v>
      </c>
    </row>
    <row r="55" spans="3:8" x14ac:dyDescent="0.2">
      <c r="D55" t="s">
        <v>372</v>
      </c>
      <c r="H55" s="229">
        <v>0</v>
      </c>
    </row>
    <row r="56" spans="3:8" x14ac:dyDescent="0.2">
      <c r="D56" t="s">
        <v>373</v>
      </c>
      <c r="H56" s="229">
        <v>0</v>
      </c>
    </row>
    <row r="57" spans="3:8" ht="4.5" customHeight="1" x14ac:dyDescent="0.2">
      <c r="H57" s="44"/>
    </row>
    <row r="58" spans="3:8" x14ac:dyDescent="0.2">
      <c r="C58" s="159" t="s">
        <v>237</v>
      </c>
      <c r="H58" s="44"/>
    </row>
    <row r="59" spans="3:8" x14ac:dyDescent="0.2">
      <c r="D59" t="s">
        <v>371</v>
      </c>
      <c r="H59" s="229">
        <v>0</v>
      </c>
    </row>
    <row r="60" spans="3:8" x14ac:dyDescent="0.2">
      <c r="D60" t="s">
        <v>372</v>
      </c>
      <c r="H60" s="229">
        <v>0</v>
      </c>
    </row>
    <row r="61" spans="3:8" x14ac:dyDescent="0.2">
      <c r="D61" t="s">
        <v>373</v>
      </c>
      <c r="H61" s="229">
        <v>0</v>
      </c>
    </row>
    <row r="62" spans="3:8" ht="4.5" customHeight="1" x14ac:dyDescent="0.2">
      <c r="H62" s="44"/>
    </row>
    <row r="63" spans="3:8" x14ac:dyDescent="0.2">
      <c r="C63" t="s">
        <v>238</v>
      </c>
      <c r="H63" s="44"/>
    </row>
    <row r="64" spans="3:8" x14ac:dyDescent="0.2">
      <c r="D64" t="s">
        <v>371</v>
      </c>
      <c r="H64" s="229">
        <v>0</v>
      </c>
    </row>
    <row r="65" spans="3:8" x14ac:dyDescent="0.2">
      <c r="D65" t="s">
        <v>372</v>
      </c>
      <c r="H65" s="229">
        <v>0</v>
      </c>
    </row>
    <row r="66" spans="3:8" x14ac:dyDescent="0.2">
      <c r="D66" t="s">
        <v>373</v>
      </c>
      <c r="H66" s="229">
        <v>0</v>
      </c>
    </row>
    <row r="67" spans="3:8" ht="4.5" customHeight="1" x14ac:dyDescent="0.2">
      <c r="H67" s="44"/>
    </row>
    <row r="68" spans="3:8" x14ac:dyDescent="0.2">
      <c r="C68" s="159" t="s">
        <v>239</v>
      </c>
      <c r="H68" s="68"/>
    </row>
    <row r="69" spans="3:8" x14ac:dyDescent="0.2">
      <c r="D69" t="s">
        <v>371</v>
      </c>
      <c r="H69" s="229">
        <v>0</v>
      </c>
    </row>
    <row r="70" spans="3:8" x14ac:dyDescent="0.2">
      <c r="D70" t="s">
        <v>372</v>
      </c>
      <c r="H70" s="229">
        <v>0</v>
      </c>
    </row>
    <row r="71" spans="3:8" x14ac:dyDescent="0.2">
      <c r="D71" t="s">
        <v>373</v>
      </c>
      <c r="H71" s="229">
        <v>0</v>
      </c>
    </row>
    <row r="72" spans="3:8" ht="5.25" customHeight="1" x14ac:dyDescent="0.2">
      <c r="H72" s="45"/>
    </row>
    <row r="73" spans="3:8" x14ac:dyDescent="0.2">
      <c r="C73" s="159" t="s">
        <v>240</v>
      </c>
      <c r="H73" s="68"/>
    </row>
    <row r="74" spans="3:8" x14ac:dyDescent="0.2">
      <c r="D74" t="s">
        <v>371</v>
      </c>
      <c r="H74" s="229">
        <v>0</v>
      </c>
    </row>
    <row r="75" spans="3:8" x14ac:dyDescent="0.2">
      <c r="D75" t="s">
        <v>372</v>
      </c>
      <c r="H75" s="229">
        <v>0</v>
      </c>
    </row>
    <row r="76" spans="3:8" x14ac:dyDescent="0.2">
      <c r="D76" t="s">
        <v>373</v>
      </c>
      <c r="H76" s="229">
        <v>0</v>
      </c>
    </row>
    <row r="77" spans="3:8" ht="4.5" customHeight="1" x14ac:dyDescent="0.2">
      <c r="H77" s="45"/>
    </row>
    <row r="78" spans="3:8" x14ac:dyDescent="0.2">
      <c r="C78" s="159" t="s">
        <v>241</v>
      </c>
      <c r="H78" s="68"/>
    </row>
    <row r="79" spans="3:8" x14ac:dyDescent="0.2">
      <c r="D79" t="s">
        <v>371</v>
      </c>
      <c r="H79" s="229">
        <v>0</v>
      </c>
    </row>
    <row r="80" spans="3:8" x14ac:dyDescent="0.2">
      <c r="D80" t="s">
        <v>372</v>
      </c>
      <c r="H80" s="229">
        <v>0</v>
      </c>
    </row>
    <row r="81" spans="3:10" x14ac:dyDescent="0.2">
      <c r="D81" t="s">
        <v>373</v>
      </c>
      <c r="H81" s="229">
        <v>0</v>
      </c>
    </row>
    <row r="82" spans="3:10" ht="4.5" customHeight="1" x14ac:dyDescent="0.2">
      <c r="H82" s="45"/>
    </row>
    <row r="83" spans="3:10" ht="12.75" customHeight="1" x14ac:dyDescent="0.2">
      <c r="C83" s="159" t="s">
        <v>242</v>
      </c>
      <c r="H83" s="45"/>
    </row>
    <row r="84" spans="3:10" ht="12.75" customHeight="1" x14ac:dyDescent="0.2">
      <c r="D84" t="s">
        <v>371</v>
      </c>
      <c r="H84" s="229">
        <v>0</v>
      </c>
    </row>
    <row r="85" spans="3:10" ht="12.75" customHeight="1" x14ac:dyDescent="0.2">
      <c r="D85" t="s">
        <v>372</v>
      </c>
      <c r="H85" s="229">
        <v>0</v>
      </c>
    </row>
    <row r="86" spans="3:10" ht="12.75" customHeight="1" x14ac:dyDescent="0.2">
      <c r="D86" t="s">
        <v>373</v>
      </c>
      <c r="H86" s="229">
        <v>0</v>
      </c>
    </row>
    <row r="87" spans="3:10" ht="4.5" customHeight="1" x14ac:dyDescent="0.2">
      <c r="H87" s="45"/>
    </row>
    <row r="88" spans="3:10" ht="12.75" customHeight="1" x14ac:dyDescent="0.2">
      <c r="C88" s="159" t="s">
        <v>243</v>
      </c>
      <c r="H88" s="45"/>
    </row>
    <row r="89" spans="3:10" ht="12.75" customHeight="1" x14ac:dyDescent="0.2">
      <c r="D89" t="s">
        <v>371</v>
      </c>
      <c r="H89" s="229">
        <v>0</v>
      </c>
    </row>
    <row r="90" spans="3:10" ht="12.75" customHeight="1" x14ac:dyDescent="0.2">
      <c r="D90" t="s">
        <v>372</v>
      </c>
      <c r="H90" s="229">
        <v>0</v>
      </c>
    </row>
    <row r="91" spans="3:10" ht="12.75" customHeight="1" x14ac:dyDescent="0.2">
      <c r="D91" t="s">
        <v>373</v>
      </c>
      <c r="H91" s="229">
        <v>0</v>
      </c>
    </row>
    <row r="92" spans="3:10" ht="4.5" customHeight="1" x14ac:dyDescent="0.2">
      <c r="H92" s="44"/>
    </row>
    <row r="93" spans="3:10" ht="12.75" customHeight="1" x14ac:dyDescent="0.2">
      <c r="C93" s="159" t="s">
        <v>244</v>
      </c>
      <c r="H93" s="44"/>
    </row>
    <row r="94" spans="3:10" ht="12.75" customHeight="1" x14ac:dyDescent="0.2">
      <c r="D94" t="s">
        <v>371</v>
      </c>
      <c r="H94" s="229">
        <v>0</v>
      </c>
      <c r="J94" s="582"/>
    </row>
    <row r="95" spans="3:10" ht="12.75" customHeight="1" x14ac:dyDescent="0.2">
      <c r="D95" t="s">
        <v>372</v>
      </c>
      <c r="H95" s="229">
        <v>0</v>
      </c>
    </row>
    <row r="96" spans="3:10" ht="12.75" customHeight="1" x14ac:dyDescent="0.2">
      <c r="D96" t="s">
        <v>373</v>
      </c>
      <c r="H96" s="229">
        <v>0</v>
      </c>
    </row>
    <row r="97" spans="3:8" ht="4.5" customHeight="1" x14ac:dyDescent="0.2">
      <c r="H97" s="44"/>
    </row>
    <row r="98" spans="3:8" ht="12.75" customHeight="1" x14ac:dyDescent="0.2">
      <c r="C98" s="159" t="s">
        <v>245</v>
      </c>
      <c r="H98" s="44"/>
    </row>
    <row r="99" spans="3:8" ht="12.75" customHeight="1" x14ac:dyDescent="0.2">
      <c r="D99" t="s">
        <v>371</v>
      </c>
      <c r="H99" s="229">
        <v>0</v>
      </c>
    </row>
    <row r="100" spans="3:8" ht="12.75" customHeight="1" x14ac:dyDescent="0.2">
      <c r="D100" t="s">
        <v>372</v>
      </c>
      <c r="H100" s="229">
        <v>0</v>
      </c>
    </row>
    <row r="101" spans="3:8" ht="12.75" customHeight="1" x14ac:dyDescent="0.2">
      <c r="D101" t="s">
        <v>373</v>
      </c>
      <c r="H101" s="229">
        <v>0</v>
      </c>
    </row>
    <row r="102" spans="3:8" ht="4.5" customHeight="1" x14ac:dyDescent="0.2">
      <c r="H102" s="44"/>
    </row>
    <row r="103" spans="3:8" ht="12.75" customHeight="1" x14ac:dyDescent="0.2">
      <c r="C103" s="159" t="s">
        <v>249</v>
      </c>
      <c r="H103" s="44"/>
    </row>
    <row r="104" spans="3:8" ht="12.75" customHeight="1" x14ac:dyDescent="0.2">
      <c r="D104" t="s">
        <v>371</v>
      </c>
      <c r="H104" s="229">
        <v>0</v>
      </c>
    </row>
    <row r="105" spans="3:8" ht="12.75" customHeight="1" x14ac:dyDescent="0.2">
      <c r="D105" t="s">
        <v>372</v>
      </c>
      <c r="H105" s="229">
        <v>0</v>
      </c>
    </row>
    <row r="106" spans="3:8" ht="12.75" customHeight="1" x14ac:dyDescent="0.2">
      <c r="D106" t="s">
        <v>373</v>
      </c>
      <c r="H106" s="229">
        <v>0</v>
      </c>
    </row>
    <row r="107" spans="3:8" ht="4.5" customHeight="1" x14ac:dyDescent="0.2">
      <c r="H107" s="44"/>
    </row>
    <row r="108" spans="3:8" ht="12.75" customHeight="1" x14ac:dyDescent="0.2">
      <c r="C108" s="159" t="s">
        <v>250</v>
      </c>
      <c r="H108" s="44"/>
    </row>
    <row r="109" spans="3:8" ht="12.75" customHeight="1" x14ac:dyDescent="0.2">
      <c r="D109" t="s">
        <v>371</v>
      </c>
      <c r="H109" s="229">
        <v>0</v>
      </c>
    </row>
    <row r="110" spans="3:8" ht="12.75" customHeight="1" x14ac:dyDescent="0.2">
      <c r="D110" t="s">
        <v>372</v>
      </c>
      <c r="H110" s="229">
        <v>0</v>
      </c>
    </row>
    <row r="111" spans="3:8" ht="12.75" customHeight="1" x14ac:dyDescent="0.2">
      <c r="D111" t="s">
        <v>373</v>
      </c>
      <c r="H111" s="229">
        <v>0</v>
      </c>
    </row>
    <row r="112" spans="3:8" ht="4.5" customHeight="1" x14ac:dyDescent="0.2">
      <c r="H112" s="44"/>
    </row>
    <row r="113" spans="3:8" ht="12.75" customHeight="1" x14ac:dyDescent="0.2">
      <c r="C113" s="159" t="s">
        <v>246</v>
      </c>
      <c r="H113" s="44"/>
    </row>
    <row r="114" spans="3:8" ht="12.75" customHeight="1" x14ac:dyDescent="0.2">
      <c r="D114" t="s">
        <v>371</v>
      </c>
      <c r="H114" s="229">
        <v>0</v>
      </c>
    </row>
    <row r="115" spans="3:8" ht="12.75" customHeight="1" x14ac:dyDescent="0.2">
      <c r="D115" t="s">
        <v>372</v>
      </c>
      <c r="H115" s="229">
        <v>0</v>
      </c>
    </row>
    <row r="116" spans="3:8" ht="12.75" customHeight="1" x14ac:dyDescent="0.2">
      <c r="D116" t="s">
        <v>373</v>
      </c>
      <c r="H116" s="229">
        <v>0</v>
      </c>
    </row>
    <row r="117" spans="3:8" ht="4.5" customHeight="1" x14ac:dyDescent="0.2">
      <c r="H117" s="45"/>
    </row>
    <row r="118" spans="3:8" ht="12.75" customHeight="1" x14ac:dyDescent="0.2">
      <c r="C118" t="s">
        <v>247</v>
      </c>
      <c r="H118" s="45"/>
    </row>
    <row r="119" spans="3:8" ht="12.75" customHeight="1" x14ac:dyDescent="0.2">
      <c r="D119" t="s">
        <v>371</v>
      </c>
      <c r="H119" s="229">
        <v>0</v>
      </c>
    </row>
    <row r="120" spans="3:8" ht="12.75" customHeight="1" x14ac:dyDescent="0.2">
      <c r="D120" t="s">
        <v>372</v>
      </c>
      <c r="H120" s="229">
        <v>0</v>
      </c>
    </row>
    <row r="121" spans="3:8" ht="12.75" customHeight="1" x14ac:dyDescent="0.2">
      <c r="D121" t="s">
        <v>373</v>
      </c>
      <c r="H121" s="229">
        <v>0</v>
      </c>
    </row>
    <row r="122" spans="3:8" ht="4.5" customHeight="1" x14ac:dyDescent="0.2">
      <c r="H122" s="45"/>
    </row>
    <row r="123" spans="3:8" ht="12.75" customHeight="1" x14ac:dyDescent="0.2">
      <c r="C123" t="s">
        <v>248</v>
      </c>
      <c r="H123" s="45"/>
    </row>
    <row r="124" spans="3:8" ht="12.75" customHeight="1" x14ac:dyDescent="0.2">
      <c r="D124" t="s">
        <v>371</v>
      </c>
      <c r="H124" s="229">
        <v>0</v>
      </c>
    </row>
    <row r="125" spans="3:8" ht="12.75" customHeight="1" x14ac:dyDescent="0.2">
      <c r="D125" t="s">
        <v>372</v>
      </c>
      <c r="H125" s="229">
        <v>0</v>
      </c>
    </row>
    <row r="126" spans="3:8" ht="12.75" customHeight="1" x14ac:dyDescent="0.2">
      <c r="D126" t="s">
        <v>373</v>
      </c>
      <c r="H126" s="229">
        <v>0</v>
      </c>
    </row>
    <row r="127" spans="3:8" ht="4.5" customHeight="1" x14ac:dyDescent="0.2">
      <c r="H127" s="44"/>
    </row>
    <row r="128" spans="3:8" ht="12.75" customHeight="1" x14ac:dyDescent="0.2">
      <c r="C128" t="s">
        <v>221</v>
      </c>
      <c r="H128" s="44"/>
    </row>
    <row r="129" spans="1:15" ht="12.75" customHeight="1" x14ac:dyDescent="0.2">
      <c r="D129" t="s">
        <v>208</v>
      </c>
      <c r="H129" s="229">
        <v>0</v>
      </c>
    </row>
    <row r="130" spans="1:15" ht="12.75" customHeight="1" x14ac:dyDescent="0.2">
      <c r="D130" t="s">
        <v>673</v>
      </c>
      <c r="H130" s="229">
        <v>0</v>
      </c>
    </row>
    <row r="131" spans="1:15" ht="12.75" customHeight="1" x14ac:dyDescent="0.2">
      <c r="D131" t="s">
        <v>209</v>
      </c>
      <c r="H131" s="229">
        <v>0</v>
      </c>
    </row>
    <row r="132" spans="1:15" ht="12.75" customHeight="1" x14ac:dyDescent="0.2">
      <c r="D132" t="s">
        <v>205</v>
      </c>
      <c r="H132" s="229">
        <v>0</v>
      </c>
    </row>
    <row r="133" spans="1:15" ht="12.75" customHeight="1" x14ac:dyDescent="0.2">
      <c r="D133" t="s">
        <v>222</v>
      </c>
      <c r="H133" s="229">
        <v>0</v>
      </c>
      <c r="N133" s="5"/>
    </row>
    <row r="134" spans="1:15" ht="12.75" customHeight="1" x14ac:dyDescent="0.2">
      <c r="D134" t="s">
        <v>206</v>
      </c>
      <c r="H134" s="229">
        <v>0</v>
      </c>
    </row>
    <row r="135" spans="1:15" ht="12.75" customHeight="1" x14ac:dyDescent="0.2">
      <c r="D135" t="s">
        <v>207</v>
      </c>
      <c r="H135" s="229">
        <v>0</v>
      </c>
    </row>
    <row r="136" spans="1:15" ht="4.5" customHeight="1" x14ac:dyDescent="0.2">
      <c r="H136" s="45"/>
    </row>
    <row r="137" spans="1:15" ht="12.75" customHeight="1" x14ac:dyDescent="0.2">
      <c r="B137" s="2"/>
      <c r="C137" s="1015" t="s">
        <v>580</v>
      </c>
      <c r="D137" s="1015"/>
      <c r="E137" s="1015"/>
      <c r="F137" s="1015"/>
      <c r="H137" s="229">
        <v>0</v>
      </c>
    </row>
    <row r="138" spans="1:15" ht="12.75" customHeight="1" x14ac:dyDescent="0.2">
      <c r="B138" s="2"/>
      <c r="C138" s="1015" t="s">
        <v>581</v>
      </c>
      <c r="D138" s="1015"/>
      <c r="E138" s="1015"/>
      <c r="F138" s="1015"/>
      <c r="H138" s="229">
        <v>0</v>
      </c>
      <c r="J138" s="1118" t="str">
        <f>IF(H37=H140," ","Recheck numbers in Sections A or B. Entry out of balance.")</f>
        <v xml:space="preserve"> </v>
      </c>
    </row>
    <row r="139" spans="1:15" ht="12.75" customHeight="1" x14ac:dyDescent="0.2">
      <c r="H139" s="44"/>
      <c r="J139" s="1118"/>
      <c r="N139" s="197"/>
    </row>
    <row r="140" spans="1:15" ht="22.5" customHeight="1" thickBot="1" x14ac:dyDescent="0.25">
      <c r="D140" t="s">
        <v>159</v>
      </c>
      <c r="G140" s="48" t="s">
        <v>144</v>
      </c>
      <c r="H140" s="67">
        <f>SUM(H43:H139)</f>
        <v>0</v>
      </c>
      <c r="J140" s="1118"/>
    </row>
    <row r="141" spans="1:15" ht="12.75" customHeight="1" thickTop="1" x14ac:dyDescent="0.2"/>
    <row r="143" spans="1:15" ht="26.25" customHeight="1" x14ac:dyDescent="0.2">
      <c r="A143" s="4" t="s">
        <v>527</v>
      </c>
      <c r="B143" s="1115" t="s">
        <v>117</v>
      </c>
      <c r="C143" s="1116"/>
      <c r="D143" s="1116"/>
      <c r="E143" s="1116"/>
      <c r="F143" s="1116"/>
      <c r="G143" s="1116"/>
      <c r="H143" s="1116"/>
      <c r="I143" s="1116"/>
      <c r="J143" s="1116"/>
      <c r="K143" s="1116"/>
      <c r="L143" s="1116"/>
      <c r="M143" s="1116"/>
      <c r="N143" s="1116"/>
      <c r="O143" s="1117"/>
    </row>
    <row r="144" spans="1:15" ht="12.75" customHeight="1" x14ac:dyDescent="0.2">
      <c r="A144" s="4"/>
      <c r="B144" s="41"/>
      <c r="C144" s="41"/>
      <c r="D144" s="41"/>
      <c r="E144" s="41"/>
      <c r="F144" s="41"/>
      <c r="G144" s="41"/>
      <c r="H144" s="41"/>
      <c r="I144" s="41"/>
      <c r="J144" s="41"/>
      <c r="K144" s="41"/>
      <c r="L144" s="41"/>
      <c r="M144" s="41"/>
      <c r="N144" s="41"/>
      <c r="O144" s="41"/>
    </row>
    <row r="145" spans="2:14" x14ac:dyDescent="0.2">
      <c r="K145" s="37"/>
      <c r="L145" s="46" t="s">
        <v>658</v>
      </c>
      <c r="N145" s="46" t="s">
        <v>659</v>
      </c>
    </row>
    <row r="146" spans="2:14" ht="6" customHeight="1" x14ac:dyDescent="0.2">
      <c r="K146" s="37"/>
      <c r="L146" s="37"/>
      <c r="N146" s="37"/>
    </row>
    <row r="147" spans="2:14" ht="12.75" customHeight="1" x14ac:dyDescent="0.2">
      <c r="B147" t="s">
        <v>402</v>
      </c>
      <c r="K147" s="37"/>
      <c r="L147" s="189">
        <f t="shared" ref="L147:L155" si="0">H27</f>
        <v>0</v>
      </c>
      <c r="N147" s="100"/>
    </row>
    <row r="148" spans="2:14" ht="12.75" customHeight="1" x14ac:dyDescent="0.2">
      <c r="B148" t="s">
        <v>403</v>
      </c>
      <c r="K148" s="37"/>
      <c r="L148" s="189">
        <f t="shared" si="0"/>
        <v>0</v>
      </c>
      <c r="N148" s="100"/>
    </row>
    <row r="149" spans="2:14" x14ac:dyDescent="0.2">
      <c r="B149" t="s">
        <v>404</v>
      </c>
      <c r="I149" s="11"/>
      <c r="K149" s="78"/>
      <c r="L149" s="69">
        <f t="shared" si="0"/>
        <v>0</v>
      </c>
      <c r="N149" s="69"/>
    </row>
    <row r="150" spans="2:14" x14ac:dyDescent="0.2">
      <c r="B150" t="s">
        <v>579</v>
      </c>
      <c r="I150" s="11"/>
      <c r="K150" s="78"/>
      <c r="L150" s="69">
        <f t="shared" si="0"/>
        <v>0</v>
      </c>
      <c r="N150" s="69"/>
    </row>
    <row r="151" spans="2:14" x14ac:dyDescent="0.2">
      <c r="B151" t="s">
        <v>555</v>
      </c>
      <c r="K151" s="78"/>
      <c r="L151" s="69">
        <f t="shared" si="0"/>
        <v>0</v>
      </c>
      <c r="N151" s="69"/>
    </row>
    <row r="152" spans="2:14" x14ac:dyDescent="0.2">
      <c r="B152" t="str">
        <f>C32</f>
        <v>Other revenue source #1</v>
      </c>
      <c r="K152" s="78"/>
      <c r="L152" s="69">
        <f t="shared" si="0"/>
        <v>0</v>
      </c>
      <c r="N152" s="69"/>
    </row>
    <row r="153" spans="2:14" x14ac:dyDescent="0.2">
      <c r="B153" t="str">
        <f>C33</f>
        <v>Other revenue source #2</v>
      </c>
      <c r="K153" s="78"/>
      <c r="L153" s="69">
        <f t="shared" si="0"/>
        <v>0</v>
      </c>
      <c r="N153" s="69"/>
    </row>
    <row r="154" spans="2:14" x14ac:dyDescent="0.2">
      <c r="B154" s="1015" t="s">
        <v>16</v>
      </c>
      <c r="C154" s="1015"/>
      <c r="D154" s="1015"/>
      <c r="E154" s="1015"/>
      <c r="K154" s="78"/>
      <c r="L154" s="69">
        <f t="shared" si="0"/>
        <v>0</v>
      </c>
      <c r="N154" s="69"/>
    </row>
    <row r="155" spans="2:14" x14ac:dyDescent="0.2">
      <c r="B155" s="1015" t="s">
        <v>17</v>
      </c>
      <c r="C155" s="1015"/>
      <c r="D155" s="1015"/>
      <c r="E155" s="1015"/>
      <c r="K155" s="78"/>
      <c r="L155" s="69">
        <f t="shared" si="0"/>
        <v>0</v>
      </c>
      <c r="N155" s="69"/>
    </row>
    <row r="156" spans="2:14" x14ac:dyDescent="0.2">
      <c r="K156" s="78"/>
      <c r="L156" s="69"/>
      <c r="N156" s="69"/>
    </row>
    <row r="157" spans="2:14" ht="12.75" customHeight="1" x14ac:dyDescent="0.2">
      <c r="C157" t="s">
        <v>72</v>
      </c>
      <c r="F157" s="121" t="s">
        <v>582</v>
      </c>
      <c r="K157" s="11"/>
      <c r="L157" s="69"/>
      <c r="N157" s="69">
        <f>H44</f>
        <v>0</v>
      </c>
    </row>
    <row r="158" spans="2:14" ht="12.75" customHeight="1" x14ac:dyDescent="0.2">
      <c r="C158" t="s">
        <v>72</v>
      </c>
      <c r="F158" s="121" t="s">
        <v>583</v>
      </c>
      <c r="K158" s="11"/>
      <c r="L158" s="69"/>
      <c r="N158" s="69">
        <f>H45</f>
        <v>0</v>
      </c>
    </row>
    <row r="159" spans="2:14" ht="12.75" customHeight="1" x14ac:dyDescent="0.2">
      <c r="C159" t="s">
        <v>72</v>
      </c>
      <c r="F159" s="121" t="s">
        <v>73</v>
      </c>
      <c r="K159" s="11"/>
      <c r="L159" s="69"/>
      <c r="N159" s="69">
        <f>H46</f>
        <v>0</v>
      </c>
    </row>
    <row r="160" spans="2:14" ht="5.45" customHeight="1" x14ac:dyDescent="0.2">
      <c r="F160" s="121"/>
      <c r="K160" s="11"/>
      <c r="L160" s="69"/>
      <c r="N160" s="69"/>
    </row>
    <row r="161" spans="3:14" ht="12.75" customHeight="1" x14ac:dyDescent="0.2">
      <c r="C161" t="s">
        <v>251</v>
      </c>
      <c r="F161" s="121" t="s">
        <v>582</v>
      </c>
      <c r="K161" s="11"/>
      <c r="L161" s="69"/>
      <c r="N161" s="69">
        <f>H49</f>
        <v>0</v>
      </c>
    </row>
    <row r="162" spans="3:14" ht="12.75" customHeight="1" x14ac:dyDescent="0.2">
      <c r="C162" t="s">
        <v>251</v>
      </c>
      <c r="F162" s="121" t="s">
        <v>583</v>
      </c>
      <c r="K162" s="11"/>
      <c r="L162" s="69"/>
      <c r="M162" s="48"/>
      <c r="N162" s="69">
        <f>H50</f>
        <v>0</v>
      </c>
    </row>
    <row r="163" spans="3:14" ht="12.75" customHeight="1" x14ac:dyDescent="0.2">
      <c r="C163" t="s">
        <v>251</v>
      </c>
      <c r="F163" s="121" t="s">
        <v>73</v>
      </c>
      <c r="K163" s="11"/>
      <c r="L163" s="69"/>
      <c r="N163" s="69">
        <f>H51</f>
        <v>0</v>
      </c>
    </row>
    <row r="164" spans="3:14" ht="5.45" customHeight="1" x14ac:dyDescent="0.2">
      <c r="F164" s="121"/>
      <c r="K164" s="11"/>
      <c r="L164" s="69"/>
      <c r="N164" s="69"/>
    </row>
    <row r="165" spans="3:14" ht="12.75" customHeight="1" x14ac:dyDescent="0.2">
      <c r="C165" t="s">
        <v>252</v>
      </c>
      <c r="F165" s="121" t="s">
        <v>582</v>
      </c>
      <c r="K165" s="11"/>
      <c r="L165" s="69"/>
      <c r="N165" s="69">
        <f>H54</f>
        <v>0</v>
      </c>
    </row>
    <row r="166" spans="3:14" ht="12.75" customHeight="1" x14ac:dyDescent="0.2">
      <c r="C166" t="s">
        <v>252</v>
      </c>
      <c r="F166" s="121" t="s">
        <v>583</v>
      </c>
      <c r="K166" s="11"/>
      <c r="L166" s="69"/>
      <c r="N166" s="69">
        <f>H55</f>
        <v>0</v>
      </c>
    </row>
    <row r="167" spans="3:14" ht="12.75" customHeight="1" x14ac:dyDescent="0.2">
      <c r="C167" t="s">
        <v>252</v>
      </c>
      <c r="F167" s="121" t="s">
        <v>73</v>
      </c>
      <c r="K167" s="11"/>
      <c r="L167" s="69"/>
      <c r="N167" s="69">
        <f>H56</f>
        <v>0</v>
      </c>
    </row>
    <row r="168" spans="3:14" ht="5.45" customHeight="1" x14ac:dyDescent="0.2">
      <c r="F168" s="121"/>
      <c r="K168" s="11"/>
      <c r="L168" s="69"/>
      <c r="N168" s="69"/>
    </row>
    <row r="169" spans="3:14" ht="12.75" customHeight="1" x14ac:dyDescent="0.2">
      <c r="C169" t="s">
        <v>253</v>
      </c>
      <c r="F169" s="121" t="s">
        <v>582</v>
      </c>
      <c r="K169" s="11"/>
      <c r="L169" s="69"/>
      <c r="N169" s="69">
        <f>H59</f>
        <v>0</v>
      </c>
    </row>
    <row r="170" spans="3:14" ht="12.75" customHeight="1" x14ac:dyDescent="0.2">
      <c r="C170" t="s">
        <v>253</v>
      </c>
      <c r="F170" s="121" t="s">
        <v>583</v>
      </c>
      <c r="K170" s="11"/>
      <c r="L170" s="69"/>
      <c r="N170" s="69">
        <f>H60</f>
        <v>0</v>
      </c>
    </row>
    <row r="171" spans="3:14" ht="12.75" customHeight="1" x14ac:dyDescent="0.2">
      <c r="C171" t="s">
        <v>253</v>
      </c>
      <c r="F171" s="121" t="s">
        <v>73</v>
      </c>
      <c r="K171" s="11"/>
      <c r="L171" s="69"/>
      <c r="N171" s="69">
        <f>H61</f>
        <v>0</v>
      </c>
    </row>
    <row r="172" spans="3:14" ht="5.45" customHeight="1" x14ac:dyDescent="0.2">
      <c r="F172" s="121"/>
      <c r="K172" s="11"/>
      <c r="L172" s="69"/>
      <c r="N172" s="69"/>
    </row>
    <row r="173" spans="3:14" ht="12.75" customHeight="1" x14ac:dyDescent="0.2">
      <c r="C173" t="s">
        <v>254</v>
      </c>
      <c r="F173" s="121" t="s">
        <v>582</v>
      </c>
      <c r="K173" s="11"/>
      <c r="L173" s="69"/>
      <c r="N173" s="69">
        <f>H64</f>
        <v>0</v>
      </c>
    </row>
    <row r="174" spans="3:14" ht="12.75" customHeight="1" x14ac:dyDescent="0.2">
      <c r="C174" t="s">
        <v>254</v>
      </c>
      <c r="F174" s="121" t="s">
        <v>583</v>
      </c>
      <c r="K174" s="11"/>
      <c r="L174" s="69"/>
      <c r="N174" s="69">
        <f>H65</f>
        <v>0</v>
      </c>
    </row>
    <row r="175" spans="3:14" ht="12.75" customHeight="1" x14ac:dyDescent="0.2">
      <c r="C175" t="s">
        <v>254</v>
      </c>
      <c r="F175" s="121" t="s">
        <v>73</v>
      </c>
      <c r="K175" s="11"/>
      <c r="L175" s="69"/>
      <c r="N175" s="69">
        <f>H66</f>
        <v>0</v>
      </c>
    </row>
    <row r="176" spans="3:14" ht="5.45" customHeight="1" x14ac:dyDescent="0.2">
      <c r="F176" s="121"/>
      <c r="K176" s="11"/>
      <c r="L176" s="69"/>
      <c r="N176" s="69"/>
    </row>
    <row r="177" spans="3:14" ht="12.75" customHeight="1" x14ac:dyDescent="0.2">
      <c r="C177" t="s">
        <v>255</v>
      </c>
      <c r="F177" s="121" t="s">
        <v>582</v>
      </c>
      <c r="K177" s="11"/>
      <c r="L177" s="69"/>
      <c r="N177" s="69">
        <f>H69</f>
        <v>0</v>
      </c>
    </row>
    <row r="178" spans="3:14" ht="12.75" customHeight="1" x14ac:dyDescent="0.2">
      <c r="C178" t="s">
        <v>255</v>
      </c>
      <c r="F178" s="121" t="s">
        <v>583</v>
      </c>
      <c r="K178" s="11"/>
      <c r="L178" s="69"/>
      <c r="N178" s="69">
        <f>H70</f>
        <v>0</v>
      </c>
    </row>
    <row r="179" spans="3:14" ht="12.75" customHeight="1" x14ac:dyDescent="0.2">
      <c r="C179" t="s">
        <v>255</v>
      </c>
      <c r="F179" s="121" t="s">
        <v>73</v>
      </c>
      <c r="K179" s="11"/>
      <c r="L179" s="69"/>
      <c r="N179" s="69">
        <f>H71</f>
        <v>0</v>
      </c>
    </row>
    <row r="180" spans="3:14" ht="5.45" customHeight="1" x14ac:dyDescent="0.2">
      <c r="F180" s="121"/>
      <c r="K180" s="11"/>
      <c r="L180" s="69"/>
      <c r="N180" s="69"/>
    </row>
    <row r="181" spans="3:14" ht="12.75" customHeight="1" x14ac:dyDescent="0.2">
      <c r="C181" t="s">
        <v>256</v>
      </c>
      <c r="F181" s="121" t="s">
        <v>582</v>
      </c>
      <c r="K181" s="11"/>
      <c r="L181" s="69"/>
      <c r="N181" s="69">
        <f>H74</f>
        <v>0</v>
      </c>
    </row>
    <row r="182" spans="3:14" ht="12.75" customHeight="1" x14ac:dyDescent="0.2">
      <c r="C182" t="s">
        <v>256</v>
      </c>
      <c r="F182" s="121" t="s">
        <v>583</v>
      </c>
      <c r="K182" s="11"/>
      <c r="L182" s="69"/>
      <c r="N182" s="69">
        <f>H75</f>
        <v>0</v>
      </c>
    </row>
    <row r="183" spans="3:14" ht="12.75" customHeight="1" x14ac:dyDescent="0.2">
      <c r="C183" t="s">
        <v>256</v>
      </c>
      <c r="F183" s="121" t="s">
        <v>73</v>
      </c>
      <c r="K183" s="11"/>
      <c r="L183" s="69"/>
      <c r="N183" s="69">
        <f>H76</f>
        <v>0</v>
      </c>
    </row>
    <row r="184" spans="3:14" ht="5.45" customHeight="1" x14ac:dyDescent="0.2">
      <c r="F184" s="121"/>
      <c r="K184" s="11"/>
      <c r="L184" s="69"/>
      <c r="N184" s="69"/>
    </row>
    <row r="185" spans="3:14" ht="12.75" customHeight="1" x14ac:dyDescent="0.2">
      <c r="C185" t="s">
        <v>257</v>
      </c>
      <c r="F185" s="121" t="s">
        <v>582</v>
      </c>
      <c r="K185" s="11"/>
      <c r="L185" s="69"/>
      <c r="N185" s="69">
        <f>H79</f>
        <v>0</v>
      </c>
    </row>
    <row r="186" spans="3:14" ht="12.75" customHeight="1" x14ac:dyDescent="0.2">
      <c r="C186" t="s">
        <v>257</v>
      </c>
      <c r="F186" s="121" t="s">
        <v>583</v>
      </c>
      <c r="K186" s="11"/>
      <c r="L186" s="69"/>
      <c r="N186" s="69">
        <f>H80</f>
        <v>0</v>
      </c>
    </row>
    <row r="187" spans="3:14" ht="12.75" customHeight="1" x14ac:dyDescent="0.2">
      <c r="C187" t="s">
        <v>257</v>
      </c>
      <c r="F187" s="121" t="s">
        <v>73</v>
      </c>
      <c r="K187" s="11"/>
      <c r="L187" s="69"/>
      <c r="N187" s="69">
        <f>H81</f>
        <v>0</v>
      </c>
    </row>
    <row r="188" spans="3:14" ht="5.45" customHeight="1" x14ac:dyDescent="0.2">
      <c r="F188" s="121"/>
      <c r="K188" s="11"/>
      <c r="L188" s="69"/>
      <c r="N188" s="69"/>
    </row>
    <row r="189" spans="3:14" ht="12.75" customHeight="1" x14ac:dyDescent="0.2">
      <c r="C189" t="s">
        <v>258</v>
      </c>
      <c r="F189" s="121" t="s">
        <v>582</v>
      </c>
      <c r="K189" s="11"/>
      <c r="L189" s="69"/>
      <c r="N189" s="69">
        <f>H84</f>
        <v>0</v>
      </c>
    </row>
    <row r="190" spans="3:14" ht="12.75" customHeight="1" x14ac:dyDescent="0.2">
      <c r="C190" t="s">
        <v>258</v>
      </c>
      <c r="F190" s="121" t="s">
        <v>583</v>
      </c>
      <c r="K190" s="11"/>
      <c r="L190" s="69"/>
      <c r="N190" s="69">
        <f>H85</f>
        <v>0</v>
      </c>
    </row>
    <row r="191" spans="3:14" ht="12.75" customHeight="1" x14ac:dyDescent="0.2">
      <c r="C191" t="s">
        <v>258</v>
      </c>
      <c r="F191" s="121" t="s">
        <v>73</v>
      </c>
      <c r="K191" s="11"/>
      <c r="L191" s="69"/>
      <c r="N191" s="69">
        <f>H86</f>
        <v>0</v>
      </c>
    </row>
    <row r="192" spans="3:14" ht="5.45" customHeight="1" x14ac:dyDescent="0.2">
      <c r="F192" s="121"/>
      <c r="K192" s="11"/>
      <c r="L192" s="69"/>
      <c r="N192" s="69"/>
    </row>
    <row r="193" spans="3:14" ht="12.75" customHeight="1" x14ac:dyDescent="0.2">
      <c r="C193" t="s">
        <v>259</v>
      </c>
      <c r="F193" s="121" t="s">
        <v>582</v>
      </c>
      <c r="K193" s="11"/>
      <c r="L193" s="69"/>
      <c r="N193" s="69">
        <f>H89</f>
        <v>0</v>
      </c>
    </row>
    <row r="194" spans="3:14" ht="12.75" customHeight="1" x14ac:dyDescent="0.2">
      <c r="C194" t="s">
        <v>259</v>
      </c>
      <c r="F194" s="121" t="s">
        <v>583</v>
      </c>
      <c r="K194" s="11"/>
      <c r="L194" s="69"/>
      <c r="N194" s="69">
        <f>H90</f>
        <v>0</v>
      </c>
    </row>
    <row r="195" spans="3:14" ht="12.75" customHeight="1" x14ac:dyDescent="0.2">
      <c r="C195" t="s">
        <v>259</v>
      </c>
      <c r="F195" s="121" t="s">
        <v>73</v>
      </c>
      <c r="K195" s="11"/>
      <c r="L195" s="69"/>
      <c r="N195" s="69">
        <f>H91</f>
        <v>0</v>
      </c>
    </row>
    <row r="196" spans="3:14" ht="5.45" customHeight="1" x14ac:dyDescent="0.2">
      <c r="F196" s="121"/>
      <c r="K196" s="11"/>
      <c r="L196" s="69"/>
      <c r="N196" s="69"/>
    </row>
    <row r="197" spans="3:14" ht="12.75" customHeight="1" x14ac:dyDescent="0.2">
      <c r="C197" t="s">
        <v>260</v>
      </c>
      <c r="F197" s="121" t="s">
        <v>582</v>
      </c>
      <c r="K197" s="11"/>
      <c r="L197" s="69"/>
      <c r="N197" s="69">
        <f>H94</f>
        <v>0</v>
      </c>
    </row>
    <row r="198" spans="3:14" ht="12.75" customHeight="1" x14ac:dyDescent="0.2">
      <c r="C198" t="s">
        <v>260</v>
      </c>
      <c r="F198" s="121" t="s">
        <v>583</v>
      </c>
      <c r="K198" s="11"/>
      <c r="L198" s="69"/>
      <c r="N198" s="69">
        <f>H95</f>
        <v>0</v>
      </c>
    </row>
    <row r="199" spans="3:14" ht="12.75" customHeight="1" x14ac:dyDescent="0.2">
      <c r="C199" t="s">
        <v>260</v>
      </c>
      <c r="F199" s="121" t="s">
        <v>73</v>
      </c>
      <c r="K199" s="11"/>
      <c r="L199" s="69"/>
      <c r="N199" s="69">
        <f>H96</f>
        <v>0</v>
      </c>
    </row>
    <row r="200" spans="3:14" ht="5.45" customHeight="1" x14ac:dyDescent="0.2">
      <c r="F200" s="121"/>
      <c r="K200" s="11"/>
      <c r="L200" s="69"/>
      <c r="N200" s="69"/>
    </row>
    <row r="201" spans="3:14" ht="12.75" customHeight="1" x14ac:dyDescent="0.2">
      <c r="C201" t="s">
        <v>261</v>
      </c>
      <c r="F201" s="121" t="s">
        <v>582</v>
      </c>
      <c r="K201" s="11"/>
      <c r="L201" s="69"/>
      <c r="N201" s="69">
        <f>H99</f>
        <v>0</v>
      </c>
    </row>
    <row r="202" spans="3:14" ht="12.75" customHeight="1" x14ac:dyDescent="0.2">
      <c r="C202" t="s">
        <v>261</v>
      </c>
      <c r="F202" s="121" t="s">
        <v>583</v>
      </c>
      <c r="K202" s="11"/>
      <c r="L202" s="69"/>
      <c r="N202" s="69">
        <f>H100</f>
        <v>0</v>
      </c>
    </row>
    <row r="203" spans="3:14" ht="12.75" customHeight="1" x14ac:dyDescent="0.2">
      <c r="C203" t="s">
        <v>261</v>
      </c>
      <c r="F203" s="121" t="s">
        <v>73</v>
      </c>
      <c r="K203" s="11"/>
      <c r="L203" s="69"/>
      <c r="N203" s="69">
        <f>H101</f>
        <v>0</v>
      </c>
    </row>
    <row r="204" spans="3:14" ht="5.45" customHeight="1" x14ac:dyDescent="0.2">
      <c r="F204" s="121"/>
      <c r="K204" s="11"/>
      <c r="L204" s="69"/>
      <c r="N204" s="69"/>
    </row>
    <row r="205" spans="3:14" ht="12.75" customHeight="1" x14ac:dyDescent="0.2">
      <c r="C205" t="s">
        <v>264</v>
      </c>
      <c r="F205" s="121" t="s">
        <v>582</v>
      </c>
      <c r="K205" s="11"/>
      <c r="L205" s="69"/>
      <c r="N205" s="69">
        <f>H104</f>
        <v>0</v>
      </c>
    </row>
    <row r="206" spans="3:14" ht="12.75" customHeight="1" x14ac:dyDescent="0.2">
      <c r="C206" t="s">
        <v>264</v>
      </c>
      <c r="F206" s="121" t="s">
        <v>583</v>
      </c>
      <c r="K206" s="11"/>
      <c r="L206" s="69"/>
      <c r="N206" s="69">
        <f>H105</f>
        <v>0</v>
      </c>
    </row>
    <row r="207" spans="3:14" ht="12.75" customHeight="1" x14ac:dyDescent="0.2">
      <c r="C207" t="s">
        <v>264</v>
      </c>
      <c r="F207" s="121" t="s">
        <v>73</v>
      </c>
      <c r="K207" s="11"/>
      <c r="L207" s="69"/>
      <c r="N207" s="69">
        <f>H106</f>
        <v>0</v>
      </c>
    </row>
    <row r="208" spans="3:14" ht="5.45" customHeight="1" x14ac:dyDescent="0.2">
      <c r="F208" s="121"/>
      <c r="K208" s="11"/>
      <c r="L208" s="69"/>
      <c r="N208" s="69"/>
    </row>
    <row r="209" spans="3:14" ht="12.75" customHeight="1" x14ac:dyDescent="0.2">
      <c r="C209" t="s">
        <v>265</v>
      </c>
      <c r="F209" s="121" t="s">
        <v>582</v>
      </c>
      <c r="K209" s="11"/>
      <c r="L209" s="69"/>
      <c r="N209" s="69">
        <f>H109</f>
        <v>0</v>
      </c>
    </row>
    <row r="210" spans="3:14" ht="12.75" customHeight="1" x14ac:dyDescent="0.2">
      <c r="C210" t="s">
        <v>265</v>
      </c>
      <c r="F210" s="121" t="s">
        <v>583</v>
      </c>
      <c r="K210" s="11"/>
      <c r="L210" s="69"/>
      <c r="N210" s="69">
        <f>H110</f>
        <v>0</v>
      </c>
    </row>
    <row r="211" spans="3:14" ht="12.75" customHeight="1" x14ac:dyDescent="0.2">
      <c r="C211" t="s">
        <v>265</v>
      </c>
      <c r="F211" s="121" t="s">
        <v>73</v>
      </c>
      <c r="K211" s="11"/>
      <c r="L211" s="69"/>
      <c r="N211" s="69">
        <f>H111</f>
        <v>0</v>
      </c>
    </row>
    <row r="212" spans="3:14" ht="5.45" customHeight="1" x14ac:dyDescent="0.2">
      <c r="F212" s="121"/>
      <c r="K212" s="11"/>
      <c r="L212" s="69"/>
      <c r="N212" s="69"/>
    </row>
    <row r="213" spans="3:14" x14ac:dyDescent="0.2">
      <c r="C213" s="159" t="s">
        <v>262</v>
      </c>
      <c r="F213" s="121" t="s">
        <v>582</v>
      </c>
      <c r="K213" s="11"/>
      <c r="L213" s="69"/>
      <c r="N213" s="69">
        <f>H114</f>
        <v>0</v>
      </c>
    </row>
    <row r="214" spans="3:14" ht="12.75" customHeight="1" x14ac:dyDescent="0.2">
      <c r="C214" s="159" t="s">
        <v>262</v>
      </c>
      <c r="F214" s="121" t="s">
        <v>211</v>
      </c>
      <c r="K214" s="11"/>
      <c r="L214" s="69"/>
      <c r="N214" s="69">
        <f>H115</f>
        <v>0</v>
      </c>
    </row>
    <row r="215" spans="3:14" ht="12.75" customHeight="1" x14ac:dyDescent="0.2">
      <c r="C215" s="159" t="s">
        <v>262</v>
      </c>
      <c r="F215" s="121" t="s">
        <v>212</v>
      </c>
      <c r="K215" s="11"/>
      <c r="L215" s="69"/>
      <c r="N215" s="69">
        <f>H116</f>
        <v>0</v>
      </c>
    </row>
    <row r="216" spans="3:14" ht="5.45" customHeight="1" x14ac:dyDescent="0.2">
      <c r="F216" s="121"/>
      <c r="K216" s="11"/>
      <c r="L216" s="69"/>
      <c r="N216" s="69"/>
    </row>
    <row r="217" spans="3:14" ht="12.75" customHeight="1" x14ac:dyDescent="0.2">
      <c r="C217" t="s">
        <v>263</v>
      </c>
      <c r="F217" s="121" t="s">
        <v>582</v>
      </c>
      <c r="K217" s="11"/>
      <c r="L217" s="69"/>
      <c r="N217" s="69">
        <f>H119</f>
        <v>0</v>
      </c>
    </row>
    <row r="218" spans="3:14" ht="12.75" customHeight="1" x14ac:dyDescent="0.2">
      <c r="C218" t="s">
        <v>263</v>
      </c>
      <c r="F218" s="121" t="s">
        <v>583</v>
      </c>
      <c r="K218" s="11"/>
      <c r="L218" s="69"/>
      <c r="N218" s="69">
        <f>H120</f>
        <v>0</v>
      </c>
    </row>
    <row r="219" spans="3:14" ht="12.75" customHeight="1" x14ac:dyDescent="0.2">
      <c r="C219" t="s">
        <v>263</v>
      </c>
      <c r="F219" s="121" t="s">
        <v>73</v>
      </c>
      <c r="K219" s="11"/>
      <c r="L219" s="69"/>
      <c r="N219" s="69">
        <f>H121</f>
        <v>0</v>
      </c>
    </row>
    <row r="220" spans="3:14" ht="5.45" customHeight="1" x14ac:dyDescent="0.2">
      <c r="F220" s="121"/>
      <c r="K220" s="11"/>
      <c r="L220" s="69"/>
      <c r="N220" s="69"/>
    </row>
    <row r="221" spans="3:14" ht="12.75" customHeight="1" x14ac:dyDescent="0.2">
      <c r="C221" t="s">
        <v>55</v>
      </c>
      <c r="F221" s="121" t="s">
        <v>582</v>
      </c>
      <c r="K221" s="11"/>
      <c r="L221" s="69"/>
      <c r="N221" s="69">
        <f>H124</f>
        <v>0</v>
      </c>
    </row>
    <row r="222" spans="3:14" ht="12.75" customHeight="1" x14ac:dyDescent="0.2">
      <c r="C222" t="s">
        <v>55</v>
      </c>
      <c r="F222" s="121" t="s">
        <v>583</v>
      </c>
      <c r="K222" s="11"/>
      <c r="L222" s="69"/>
      <c r="N222" s="69">
        <f>H125</f>
        <v>0</v>
      </c>
    </row>
    <row r="223" spans="3:14" ht="12.75" customHeight="1" x14ac:dyDescent="0.2">
      <c r="C223" t="s">
        <v>55</v>
      </c>
      <c r="F223" s="121" t="s">
        <v>73</v>
      </c>
      <c r="K223" s="11"/>
      <c r="L223" s="69"/>
      <c r="N223" s="69">
        <f>H126</f>
        <v>0</v>
      </c>
    </row>
    <row r="224" spans="3:14" ht="5.45" customHeight="1" x14ac:dyDescent="0.2">
      <c r="F224" s="121"/>
      <c r="K224" s="11"/>
      <c r="L224" s="69"/>
      <c r="N224" s="69"/>
    </row>
    <row r="225" spans="2:15" ht="12.75" customHeight="1" x14ac:dyDescent="0.2">
      <c r="C225" t="s">
        <v>221</v>
      </c>
      <c r="F225" t="s">
        <v>208</v>
      </c>
      <c r="K225" s="11"/>
      <c r="L225" s="69"/>
      <c r="N225" s="69">
        <f t="shared" ref="N225:N231" si="1">H129</f>
        <v>0</v>
      </c>
    </row>
    <row r="226" spans="2:15" ht="12.75" customHeight="1" x14ac:dyDescent="0.2">
      <c r="C226" t="s">
        <v>221</v>
      </c>
      <c r="F226" t="s">
        <v>673</v>
      </c>
      <c r="K226" s="11"/>
      <c r="L226" s="69"/>
      <c r="N226" s="69">
        <f t="shared" si="1"/>
        <v>0</v>
      </c>
    </row>
    <row r="227" spans="2:15" ht="12.75" customHeight="1" x14ac:dyDescent="0.2">
      <c r="C227" t="s">
        <v>221</v>
      </c>
      <c r="F227" t="s">
        <v>209</v>
      </c>
      <c r="K227" s="11"/>
      <c r="L227" s="69"/>
      <c r="N227" s="69">
        <f t="shared" si="1"/>
        <v>0</v>
      </c>
    </row>
    <row r="228" spans="2:15" ht="12.75" customHeight="1" x14ac:dyDescent="0.2">
      <c r="C228" t="s">
        <v>221</v>
      </c>
      <c r="F228" t="s">
        <v>205</v>
      </c>
      <c r="K228" s="11"/>
      <c r="L228" s="69"/>
      <c r="N228" s="69">
        <f t="shared" si="1"/>
        <v>0</v>
      </c>
    </row>
    <row r="229" spans="2:15" ht="12.75" customHeight="1" x14ac:dyDescent="0.2">
      <c r="C229" t="s">
        <v>221</v>
      </c>
      <c r="F229" t="s">
        <v>222</v>
      </c>
      <c r="K229" s="11"/>
      <c r="L229" s="69"/>
      <c r="N229" s="69">
        <f t="shared" si="1"/>
        <v>0</v>
      </c>
    </row>
    <row r="230" spans="2:15" ht="12.75" customHeight="1" x14ac:dyDescent="0.2">
      <c r="C230" t="s">
        <v>221</v>
      </c>
      <c r="F230" t="s">
        <v>206</v>
      </c>
      <c r="K230" s="11"/>
      <c r="L230" s="69"/>
      <c r="N230" s="69">
        <f t="shared" si="1"/>
        <v>0</v>
      </c>
    </row>
    <row r="231" spans="2:15" ht="12.75" customHeight="1" x14ac:dyDescent="0.2">
      <c r="C231" t="s">
        <v>221</v>
      </c>
      <c r="F231" s="35" t="s">
        <v>210</v>
      </c>
      <c r="K231" s="11"/>
      <c r="L231" s="69"/>
      <c r="N231" s="69">
        <f t="shared" si="1"/>
        <v>0</v>
      </c>
    </row>
    <row r="232" spans="2:15" ht="12.75" customHeight="1" x14ac:dyDescent="0.2">
      <c r="C232" t="s">
        <v>348</v>
      </c>
      <c r="K232" s="11"/>
      <c r="L232" s="69"/>
      <c r="N232" s="69">
        <f>H137</f>
        <v>0</v>
      </c>
    </row>
    <row r="233" spans="2:15" ht="12.75" customHeight="1" x14ac:dyDescent="0.2">
      <c r="C233" t="s">
        <v>653</v>
      </c>
      <c r="K233" s="11"/>
      <c r="L233" s="69"/>
      <c r="N233" s="69">
        <f>H138</f>
        <v>0</v>
      </c>
    </row>
    <row r="234" spans="2:15" ht="13.5" thickBot="1" x14ac:dyDescent="0.25">
      <c r="K234" s="8">
        <f>SUM(K149:K233)</f>
        <v>0</v>
      </c>
      <c r="L234" s="66">
        <f>SUM(L147:L233)</f>
        <v>0</v>
      </c>
      <c r="N234" s="66">
        <f>SUM(N147:N233)</f>
        <v>0</v>
      </c>
    </row>
    <row r="235" spans="2:15" ht="13.5" thickTop="1" x14ac:dyDescent="0.2"/>
    <row r="238" spans="2:15" ht="24" customHeight="1" x14ac:dyDescent="0.2">
      <c r="B238" s="23"/>
      <c r="C238" s="1011" t="s">
        <v>588</v>
      </c>
      <c r="D238" s="1011"/>
      <c r="E238" s="1011"/>
      <c r="F238" s="1011"/>
      <c r="G238" s="1011"/>
      <c r="H238" s="1011"/>
      <c r="I238" s="1011"/>
      <c r="J238" s="1011"/>
      <c r="K238" s="1011"/>
      <c r="L238" s="1011"/>
      <c r="M238" s="1011"/>
      <c r="N238" s="1011"/>
      <c r="O238" s="1011"/>
    </row>
    <row r="240" spans="2:15" x14ac:dyDescent="0.2">
      <c r="C240" s="1011" t="s">
        <v>679</v>
      </c>
      <c r="D240" s="1011"/>
      <c r="E240" s="1011"/>
      <c r="F240" s="1011"/>
      <c r="G240" s="1011"/>
      <c r="H240" s="1011"/>
      <c r="I240" s="1011"/>
      <c r="J240" s="1011"/>
      <c r="K240" s="1011"/>
      <c r="L240" s="1011"/>
      <c r="M240" s="1011"/>
      <c r="N240" s="1011"/>
      <c r="O240" s="1011"/>
    </row>
    <row r="241" spans="3:15" x14ac:dyDescent="0.2">
      <c r="C241" s="1011"/>
      <c r="D241" s="1011"/>
      <c r="E241" s="1011"/>
      <c r="F241" s="1011"/>
      <c r="G241" s="1011"/>
      <c r="H241" s="1011"/>
      <c r="I241" s="1011"/>
      <c r="J241" s="1011"/>
      <c r="K241" s="1011"/>
      <c r="L241" s="1011"/>
      <c r="M241" s="1011"/>
      <c r="N241" s="1011"/>
      <c r="O241" s="1011"/>
    </row>
  </sheetData>
  <sheetProtection algorithmName="SHA-512" hashValue="9DbNaAIOwaKRjHGV5dXUWzhlrgapgiFzCW2J6oRYSMBNZ6qTH93NJrwOJwYR4S+cmFFv+9/2jZWROruXFqt1Qg==" saltValue="tk+dCzwifxjMfGpQcmIaeg==" spinCount="100000" sheet="1" objects="1" scenarios="1"/>
  <mergeCells count="20">
    <mergeCell ref="B154:E154"/>
    <mergeCell ref="C240:O241"/>
    <mergeCell ref="B155:E155"/>
    <mergeCell ref="C20:O21"/>
    <mergeCell ref="C238:O238"/>
    <mergeCell ref="B143:O143"/>
    <mergeCell ref="J138:J140"/>
    <mergeCell ref="C34:F34"/>
    <mergeCell ref="C138:F138"/>
    <mergeCell ref="C137:F137"/>
    <mergeCell ref="B39:O39"/>
    <mergeCell ref="A2:O2"/>
    <mergeCell ref="B4:P4"/>
    <mergeCell ref="C6:O6"/>
    <mergeCell ref="C8:O9"/>
    <mergeCell ref="C35:F35"/>
    <mergeCell ref="B23:O23"/>
    <mergeCell ref="C11:O12"/>
    <mergeCell ref="C14:O15"/>
    <mergeCell ref="C17:O18"/>
  </mergeCells>
  <phoneticPr fontId="0" type="noConversion"/>
  <printOptions horizontalCentered="1"/>
  <pageMargins left="0.5" right="0.45" top="0.66" bottom="0.76" header="0.5" footer="0.5"/>
  <pageSetup scale="65" orientation="portrait" r:id="rId1"/>
  <headerFooter alignWithMargins="0">
    <oddHeader>&amp;REntry A</oddHeader>
    <oddFooter>&amp;R&amp;P</oddFooter>
  </headerFooter>
  <rowBreaks count="1" manualBreakCount="1">
    <brk id="71" max="15" man="1"/>
  </rowBreaks>
  <ignoredErrors>
    <ignoredError sqref="B6 B8 B11 B14 B17 B20" numberStoredAsText="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N80"/>
  <sheetViews>
    <sheetView topLeftCell="A61" workbookViewId="0">
      <selection activeCell="A11" sqref="A11"/>
    </sheetView>
  </sheetViews>
  <sheetFormatPr defaultRowHeight="12.75" x14ac:dyDescent="0.2"/>
  <cols>
    <col min="1" max="1" width="3.42578125" customWidth="1"/>
    <col min="2" max="2" width="3.28515625" customWidth="1"/>
    <col min="3" max="3" width="24.140625" customWidth="1"/>
    <col min="5" max="5" width="10.28515625" customWidth="1"/>
    <col min="7" max="7" width="12.140625" bestFit="1" customWidth="1"/>
    <col min="8" max="8" width="1.140625" customWidth="1"/>
    <col min="9" max="9" width="12.7109375" customWidth="1"/>
    <col min="10" max="10" width="13.7109375" customWidth="1"/>
    <col min="11" max="11" width="1.42578125" customWidth="1"/>
    <col min="12" max="12" width="15.7109375" customWidth="1"/>
    <col min="13" max="13" width="12.42578125" customWidth="1"/>
    <col min="14" max="14" width="8.5703125" customWidth="1"/>
  </cols>
  <sheetData>
    <row r="1" spans="1:14" ht="9" customHeight="1" x14ac:dyDescent="0.2"/>
    <row r="2" spans="1:14" ht="24" customHeight="1" x14ac:dyDescent="0.25">
      <c r="A2" s="1107" t="s">
        <v>347</v>
      </c>
      <c r="B2" s="1108"/>
      <c r="C2" s="1108"/>
      <c r="D2" s="1108"/>
      <c r="E2" s="1108"/>
      <c r="F2" s="1108"/>
      <c r="G2" s="1108"/>
      <c r="H2" s="1108"/>
      <c r="I2" s="1108"/>
      <c r="J2" s="1108"/>
      <c r="K2" s="1108"/>
      <c r="L2" s="1108"/>
      <c r="M2" s="1108"/>
      <c r="N2" s="1109"/>
    </row>
    <row r="3" spans="1:14" ht="3" customHeight="1" x14ac:dyDescent="0.2"/>
    <row r="4" spans="1:14" ht="78" customHeight="1" x14ac:dyDescent="0.2">
      <c r="A4" s="1012" t="s">
        <v>614</v>
      </c>
      <c r="B4" s="1012"/>
      <c r="C4" s="1012"/>
      <c r="D4" s="1012"/>
      <c r="E4" s="1012"/>
      <c r="F4" s="1012"/>
      <c r="G4" s="1012"/>
      <c r="H4" s="1012"/>
      <c r="I4" s="1012"/>
      <c r="J4" s="1012"/>
      <c r="K4" s="1012"/>
      <c r="L4" s="1012"/>
      <c r="M4" s="1012"/>
      <c r="N4" s="1012"/>
    </row>
    <row r="5" spans="1:14" ht="39.75" customHeight="1" x14ac:dyDescent="0.2">
      <c r="A5" s="1011" t="s">
        <v>407</v>
      </c>
      <c r="B5" s="1011"/>
      <c r="C5" s="1011"/>
      <c r="D5" s="1011"/>
      <c r="E5" s="1011"/>
      <c r="F5" s="1011"/>
      <c r="G5" s="1011"/>
      <c r="H5" s="1011"/>
      <c r="I5" s="1011"/>
      <c r="J5" s="1011"/>
      <c r="K5" s="1011"/>
      <c r="L5" s="1011"/>
      <c r="M5" s="1011"/>
      <c r="N5" s="1011"/>
    </row>
    <row r="6" spans="1:14" ht="5.25" customHeight="1" x14ac:dyDescent="0.2"/>
    <row r="7" spans="1:14" ht="12.75" customHeight="1" x14ac:dyDescent="0.2">
      <c r="B7" s="38" t="s">
        <v>662</v>
      </c>
      <c r="C7" s="1011" t="s">
        <v>313</v>
      </c>
      <c r="D7" s="1011"/>
      <c r="E7" s="1011"/>
      <c r="F7" s="1011"/>
      <c r="G7" s="1011"/>
      <c r="H7" s="1011"/>
      <c r="I7" s="1011"/>
      <c r="J7" s="1011"/>
      <c r="K7" s="1011"/>
      <c r="L7" s="1011"/>
      <c r="M7" s="1011"/>
      <c r="N7" s="1011"/>
    </row>
    <row r="8" spans="1:14" ht="12" customHeight="1" x14ac:dyDescent="0.2">
      <c r="B8" s="38"/>
      <c r="C8" s="1011"/>
      <c r="D8" s="1011"/>
      <c r="E8" s="1011"/>
      <c r="F8" s="1011"/>
      <c r="G8" s="1011"/>
      <c r="H8" s="1011"/>
      <c r="I8" s="1011"/>
      <c r="J8" s="1011"/>
      <c r="K8" s="1011"/>
      <c r="L8" s="1011"/>
      <c r="M8" s="1011"/>
      <c r="N8" s="1011"/>
    </row>
    <row r="9" spans="1:14" ht="6" customHeight="1" x14ac:dyDescent="0.2"/>
    <row r="10" spans="1:14" ht="12.75" customHeight="1" x14ac:dyDescent="0.2">
      <c r="B10" s="38" t="s">
        <v>663</v>
      </c>
      <c r="C10" s="1015" t="s">
        <v>267</v>
      </c>
      <c r="D10" s="1015"/>
      <c r="E10" s="1015"/>
      <c r="F10" s="1015"/>
      <c r="G10" s="1015"/>
      <c r="H10" s="1015"/>
      <c r="I10" s="1015"/>
      <c r="J10" s="1015"/>
      <c r="K10" s="1015"/>
      <c r="L10" s="1015"/>
      <c r="M10" s="1015"/>
      <c r="N10" s="1015"/>
    </row>
    <row r="11" spans="1:14" ht="5.25" customHeight="1" x14ac:dyDescent="0.2"/>
    <row r="12" spans="1:14" x14ac:dyDescent="0.2">
      <c r="B12" s="38" t="s">
        <v>664</v>
      </c>
      <c r="C12" s="1015" t="s">
        <v>266</v>
      </c>
      <c r="D12" s="1015"/>
      <c r="E12" s="1015"/>
      <c r="F12" s="1015"/>
      <c r="G12" s="1015"/>
      <c r="H12" s="1015"/>
      <c r="I12" s="1015"/>
      <c r="J12" s="1015"/>
      <c r="K12" s="1015"/>
      <c r="L12" s="1015"/>
      <c r="M12" s="1015"/>
      <c r="N12" s="1015"/>
    </row>
    <row r="13" spans="1:14" ht="12" customHeight="1" x14ac:dyDescent="0.2"/>
    <row r="14" spans="1:14" ht="25.5" customHeight="1" x14ac:dyDescent="0.2">
      <c r="A14" s="4" t="s">
        <v>341</v>
      </c>
      <c r="B14" s="1120" t="s">
        <v>268</v>
      </c>
      <c r="C14" s="1121"/>
      <c r="D14" s="1121"/>
      <c r="E14" s="1121"/>
      <c r="F14" s="1121"/>
      <c r="G14" s="1121"/>
      <c r="H14" s="1121"/>
      <c r="I14" s="1121"/>
      <c r="J14" s="1121"/>
      <c r="K14" s="1121"/>
      <c r="L14" s="1121"/>
      <c r="M14" s="1121"/>
      <c r="N14" s="1122"/>
    </row>
    <row r="15" spans="1:14" ht="7.5" customHeight="1" x14ac:dyDescent="0.2"/>
    <row r="16" spans="1:14" x14ac:dyDescent="0.2">
      <c r="B16" s="7" t="s">
        <v>405</v>
      </c>
      <c r="C16" s="7"/>
      <c r="D16" s="7"/>
      <c r="E16" s="7"/>
      <c r="G16" s="3" t="s">
        <v>657</v>
      </c>
    </row>
    <row r="17" spans="3:7" ht="5.25" customHeight="1" x14ac:dyDescent="0.2">
      <c r="G17" s="43"/>
    </row>
    <row r="18" spans="3:7" x14ac:dyDescent="0.2">
      <c r="C18" t="s">
        <v>269</v>
      </c>
      <c r="G18" s="228">
        <v>0</v>
      </c>
    </row>
    <row r="19" spans="3:7" x14ac:dyDescent="0.2">
      <c r="C19" t="s">
        <v>270</v>
      </c>
      <c r="G19" s="228">
        <v>0</v>
      </c>
    </row>
    <row r="20" spans="3:7" x14ac:dyDescent="0.2">
      <c r="C20" t="s">
        <v>271</v>
      </c>
      <c r="G20" s="228">
        <v>0</v>
      </c>
    </row>
    <row r="21" spans="3:7" x14ac:dyDescent="0.2">
      <c r="C21" t="s">
        <v>272</v>
      </c>
      <c r="G21" s="228">
        <v>0</v>
      </c>
    </row>
    <row r="22" spans="3:7" x14ac:dyDescent="0.2">
      <c r="C22" t="s">
        <v>273</v>
      </c>
      <c r="G22" s="228">
        <v>0</v>
      </c>
    </row>
    <row r="23" spans="3:7" x14ac:dyDescent="0.2">
      <c r="C23" t="s">
        <v>274</v>
      </c>
      <c r="G23" s="228">
        <v>0</v>
      </c>
    </row>
    <row r="24" spans="3:7" x14ac:dyDescent="0.2">
      <c r="C24" t="s">
        <v>275</v>
      </c>
      <c r="G24" s="228">
        <v>0</v>
      </c>
    </row>
    <row r="25" spans="3:7" x14ac:dyDescent="0.2">
      <c r="C25" t="s">
        <v>387</v>
      </c>
      <c r="G25" s="228">
        <v>0</v>
      </c>
    </row>
    <row r="26" spans="3:7" x14ac:dyDescent="0.2">
      <c r="C26" t="s">
        <v>276</v>
      </c>
      <c r="G26" s="228">
        <v>0</v>
      </c>
    </row>
    <row r="27" spans="3:7" x14ac:dyDescent="0.2">
      <c r="C27" t="s">
        <v>243</v>
      </c>
      <c r="G27" s="228">
        <v>0</v>
      </c>
    </row>
    <row r="28" spans="3:7" x14ac:dyDescent="0.2">
      <c r="C28" t="s">
        <v>244</v>
      </c>
      <c r="G28" s="228">
        <v>0</v>
      </c>
    </row>
    <row r="29" spans="3:7" x14ac:dyDescent="0.2">
      <c r="C29" t="s">
        <v>277</v>
      </c>
      <c r="G29" s="228">
        <v>0</v>
      </c>
    </row>
    <row r="30" spans="3:7" x14ac:dyDescent="0.2">
      <c r="C30" t="s">
        <v>279</v>
      </c>
      <c r="G30" s="228">
        <v>0</v>
      </c>
    </row>
    <row r="31" spans="3:7" x14ac:dyDescent="0.2">
      <c r="C31" t="s">
        <v>280</v>
      </c>
      <c r="G31" s="228">
        <v>0</v>
      </c>
    </row>
    <row r="32" spans="3:7" x14ac:dyDescent="0.2">
      <c r="C32" t="s">
        <v>278</v>
      </c>
      <c r="G32" s="228">
        <v>0</v>
      </c>
    </row>
    <row r="33" spans="1:14" x14ac:dyDescent="0.2">
      <c r="C33" t="s">
        <v>263</v>
      </c>
      <c r="G33" s="228">
        <v>0</v>
      </c>
    </row>
    <row r="34" spans="1:14" x14ac:dyDescent="0.2">
      <c r="C34" t="s">
        <v>55</v>
      </c>
      <c r="G34" s="228">
        <v>0</v>
      </c>
    </row>
    <row r="35" spans="1:14" x14ac:dyDescent="0.2">
      <c r="C35" t="s">
        <v>668</v>
      </c>
      <c r="G35" s="228">
        <v>0</v>
      </c>
    </row>
    <row r="36" spans="1:14" ht="15" thickBot="1" x14ac:dyDescent="0.25">
      <c r="F36" s="359" t="s">
        <v>144</v>
      </c>
      <c r="G36" s="62">
        <f>SUM(G18:G35)</f>
        <v>0</v>
      </c>
    </row>
    <row r="37" spans="1:14" ht="13.5" thickTop="1" x14ac:dyDescent="0.2"/>
    <row r="38" spans="1:14" ht="25.5" customHeight="1" x14ac:dyDescent="0.2">
      <c r="A38" s="4" t="s">
        <v>342</v>
      </c>
      <c r="B38" s="1115" t="s">
        <v>141</v>
      </c>
      <c r="C38" s="1116"/>
      <c r="D38" s="1116"/>
      <c r="E38" s="1116"/>
      <c r="F38" s="1116"/>
      <c r="G38" s="1116"/>
      <c r="H38" s="1116"/>
      <c r="I38" s="1116"/>
      <c r="J38" s="1116"/>
      <c r="K38" s="1116"/>
      <c r="L38" s="1116"/>
      <c r="M38" s="1116"/>
      <c r="N38" s="1117"/>
    </row>
    <row r="39" spans="1:14" ht="4.5" customHeight="1" x14ac:dyDescent="0.2"/>
    <row r="40" spans="1:14" x14ac:dyDescent="0.2">
      <c r="B40" s="7" t="s">
        <v>406</v>
      </c>
      <c r="C40" s="7"/>
      <c r="D40" s="7"/>
      <c r="E40" s="7"/>
      <c r="G40" s="3" t="s">
        <v>657</v>
      </c>
      <c r="M40" s="36"/>
    </row>
    <row r="41" spans="1:14" ht="4.5" customHeight="1" x14ac:dyDescent="0.2">
      <c r="G41" s="43"/>
      <c r="M41" s="36"/>
    </row>
    <row r="42" spans="1:14" x14ac:dyDescent="0.2">
      <c r="C42" s="104" t="str">
        <f>'Conversion Worksheet'!C29</f>
        <v>Buildings</v>
      </c>
      <c r="D42" s="12"/>
      <c r="G42" s="228">
        <v>0</v>
      </c>
      <c r="M42" s="36"/>
    </row>
    <row r="43" spans="1:14" x14ac:dyDescent="0.2">
      <c r="C43" s="11" t="str">
        <f>'Conversion Worksheet'!C34</f>
        <v>Equipment and Furniture</v>
      </c>
      <c r="G43" s="228">
        <v>0</v>
      </c>
      <c r="M43" s="36"/>
    </row>
    <row r="44" spans="1:14" x14ac:dyDescent="0.2">
      <c r="C44" s="11" t="str">
        <f>'Conversion Worksheet'!C44</f>
        <v>Library Books</v>
      </c>
      <c r="G44" s="228">
        <v>0</v>
      </c>
      <c r="M44" s="36"/>
    </row>
    <row r="45" spans="1:14" x14ac:dyDescent="0.2">
      <c r="C45" s="11" t="str">
        <f>'Conversion Worksheet'!C39</f>
        <v>Vehicles &amp; Motorized Equipment</v>
      </c>
      <c r="G45" s="228">
        <v>0</v>
      </c>
      <c r="M45" s="36"/>
    </row>
    <row r="46" spans="1:14" x14ac:dyDescent="0.2">
      <c r="C46" s="338" t="str">
        <f>'Conversion Worksheet'!C49</f>
        <v>Computer equipment</v>
      </c>
      <c r="G46" s="228">
        <v>0</v>
      </c>
    </row>
    <row r="47" spans="1:14" x14ac:dyDescent="0.2">
      <c r="C47" s="338" t="str">
        <f>'Conversion Worksheet'!C54</f>
        <v>Other Asset Class 1</v>
      </c>
      <c r="G47" s="228">
        <v>0</v>
      </c>
      <c r="I47" s="1118" t="str">
        <f>IF(G36=G48," ","Recheck numbers in sections A and B. Entry is out of balance.")</f>
        <v xml:space="preserve"> </v>
      </c>
      <c r="J47" s="1118"/>
    </row>
    <row r="48" spans="1:14" ht="17.25" customHeight="1" thickBot="1" x14ac:dyDescent="0.25">
      <c r="F48" s="359" t="s">
        <v>144</v>
      </c>
      <c r="G48" s="62">
        <f>SUM(G42:G47)</f>
        <v>0</v>
      </c>
      <c r="I48" s="1118"/>
      <c r="J48" s="1118"/>
    </row>
    <row r="49" spans="1:14" ht="13.5" thickTop="1" x14ac:dyDescent="0.2"/>
    <row r="50" spans="1:14" ht="26.25" customHeight="1" x14ac:dyDescent="0.2">
      <c r="A50" s="4" t="s">
        <v>527</v>
      </c>
      <c r="B50" s="1115" t="s">
        <v>385</v>
      </c>
      <c r="C50" s="1116"/>
      <c r="D50" s="1116"/>
      <c r="E50" s="1116"/>
      <c r="F50" s="1116"/>
      <c r="G50" s="1116"/>
      <c r="H50" s="1116"/>
      <c r="I50" s="1116"/>
      <c r="J50" s="1116"/>
      <c r="K50" s="1116"/>
      <c r="L50" s="1116"/>
      <c r="M50" s="1116"/>
      <c r="N50" s="1117"/>
    </row>
    <row r="51" spans="1:14" ht="4.5" customHeight="1" x14ac:dyDescent="0.2"/>
    <row r="52" spans="1:14" x14ac:dyDescent="0.2">
      <c r="J52" s="46" t="s">
        <v>658</v>
      </c>
      <c r="K52" s="50"/>
      <c r="L52" s="46" t="s">
        <v>659</v>
      </c>
    </row>
    <row r="53" spans="1:14" ht="6.75" customHeight="1" x14ac:dyDescent="0.2">
      <c r="J53" s="50"/>
      <c r="K53" s="50"/>
      <c r="L53" s="50"/>
    </row>
    <row r="54" spans="1:14" x14ac:dyDescent="0.2">
      <c r="A54" s="106" t="s">
        <v>285</v>
      </c>
      <c r="B54" t="s">
        <v>269</v>
      </c>
      <c r="J54" s="64">
        <f>G18</f>
        <v>0</v>
      </c>
      <c r="K54" s="11"/>
      <c r="L54" s="65"/>
    </row>
    <row r="55" spans="1:14" x14ac:dyDescent="0.2">
      <c r="A55" s="106"/>
      <c r="B55" t="s">
        <v>270</v>
      </c>
      <c r="J55" s="64">
        <f t="shared" ref="J55:J70" si="0">G19</f>
        <v>0</v>
      </c>
      <c r="K55" s="11"/>
      <c r="L55" s="65"/>
    </row>
    <row r="56" spans="1:14" x14ac:dyDescent="0.2">
      <c r="A56" s="106"/>
      <c r="B56" t="s">
        <v>271</v>
      </c>
      <c r="J56" s="64">
        <f t="shared" si="0"/>
        <v>0</v>
      </c>
      <c r="K56" s="11"/>
      <c r="L56" s="65"/>
    </row>
    <row r="57" spans="1:14" x14ac:dyDescent="0.2">
      <c r="A57" s="106"/>
      <c r="B57" t="s">
        <v>272</v>
      </c>
      <c r="J57" s="64">
        <f t="shared" si="0"/>
        <v>0</v>
      </c>
      <c r="K57" s="11"/>
      <c r="L57" s="65"/>
    </row>
    <row r="58" spans="1:14" x14ac:dyDescent="0.2">
      <c r="A58" s="106"/>
      <c r="B58" t="s">
        <v>273</v>
      </c>
      <c r="J58" s="64">
        <f t="shared" si="0"/>
        <v>0</v>
      </c>
      <c r="K58" s="11"/>
      <c r="L58" s="65"/>
    </row>
    <row r="59" spans="1:14" x14ac:dyDescent="0.2">
      <c r="A59" s="106"/>
      <c r="B59" t="s">
        <v>274</v>
      </c>
      <c r="J59" s="64">
        <f t="shared" si="0"/>
        <v>0</v>
      </c>
      <c r="K59" s="11"/>
      <c r="L59" s="65"/>
    </row>
    <row r="60" spans="1:14" x14ac:dyDescent="0.2">
      <c r="A60" s="106"/>
      <c r="B60" t="s">
        <v>275</v>
      </c>
      <c r="J60" s="64">
        <f t="shared" si="0"/>
        <v>0</v>
      </c>
      <c r="K60" s="11"/>
      <c r="L60" s="65"/>
    </row>
    <row r="61" spans="1:14" x14ac:dyDescent="0.2">
      <c r="A61" s="106"/>
      <c r="B61" t="s">
        <v>387</v>
      </c>
      <c r="J61" s="64">
        <f t="shared" si="0"/>
        <v>0</v>
      </c>
      <c r="K61" s="11"/>
      <c r="L61" s="65"/>
    </row>
    <row r="62" spans="1:14" x14ac:dyDescent="0.2">
      <c r="A62" s="106"/>
      <c r="B62" t="s">
        <v>276</v>
      </c>
      <c r="J62" s="64">
        <f t="shared" si="0"/>
        <v>0</v>
      </c>
      <c r="K62" s="11"/>
      <c r="L62" s="65"/>
    </row>
    <row r="63" spans="1:14" x14ac:dyDescent="0.2">
      <c r="A63" s="106"/>
      <c r="B63" t="s">
        <v>243</v>
      </c>
      <c r="J63" s="64">
        <f t="shared" si="0"/>
        <v>0</v>
      </c>
      <c r="K63" s="11"/>
      <c r="L63" s="65"/>
    </row>
    <row r="64" spans="1:14" x14ac:dyDescent="0.2">
      <c r="A64" s="106"/>
      <c r="B64" t="s">
        <v>244</v>
      </c>
      <c r="J64" s="64">
        <f t="shared" si="0"/>
        <v>0</v>
      </c>
      <c r="K64" s="11"/>
      <c r="L64" s="65"/>
    </row>
    <row r="65" spans="1:14" x14ac:dyDescent="0.2">
      <c r="A65" s="106"/>
      <c r="B65" t="s">
        <v>277</v>
      </c>
      <c r="J65" s="64">
        <f t="shared" si="0"/>
        <v>0</v>
      </c>
      <c r="K65" s="11"/>
      <c r="L65" s="65"/>
    </row>
    <row r="66" spans="1:14" x14ac:dyDescent="0.2">
      <c r="A66" s="106"/>
      <c r="B66" t="s">
        <v>279</v>
      </c>
      <c r="J66" s="64">
        <f t="shared" si="0"/>
        <v>0</v>
      </c>
      <c r="K66" s="11"/>
      <c r="L66" s="65"/>
    </row>
    <row r="67" spans="1:14" x14ac:dyDescent="0.2">
      <c r="A67" s="106"/>
      <c r="B67" t="s">
        <v>280</v>
      </c>
      <c r="J67" s="64">
        <f t="shared" si="0"/>
        <v>0</v>
      </c>
      <c r="K67" s="11"/>
      <c r="L67" s="65"/>
    </row>
    <row r="68" spans="1:14" x14ac:dyDescent="0.2">
      <c r="B68" t="s">
        <v>278</v>
      </c>
      <c r="J68" s="64">
        <f t="shared" si="0"/>
        <v>0</v>
      </c>
      <c r="K68" s="11"/>
      <c r="L68" s="65"/>
    </row>
    <row r="69" spans="1:14" x14ac:dyDescent="0.2">
      <c r="B69" t="s">
        <v>263</v>
      </c>
      <c r="J69" s="64">
        <f t="shared" si="0"/>
        <v>0</v>
      </c>
      <c r="K69" s="11"/>
      <c r="L69" s="65"/>
    </row>
    <row r="70" spans="1:14" x14ac:dyDescent="0.2">
      <c r="B70" t="s">
        <v>55</v>
      </c>
      <c r="J70" s="64">
        <f t="shared" si="0"/>
        <v>0</v>
      </c>
      <c r="K70" s="11"/>
      <c r="L70" s="65"/>
    </row>
    <row r="71" spans="1:14" x14ac:dyDescent="0.2">
      <c r="B71" t="s">
        <v>668</v>
      </c>
      <c r="J71" s="64">
        <f>G35</f>
        <v>0</v>
      </c>
      <c r="K71" s="11"/>
      <c r="L71" s="65"/>
    </row>
    <row r="72" spans="1:14" ht="3" customHeight="1" x14ac:dyDescent="0.2">
      <c r="J72" s="64"/>
      <c r="K72" s="11"/>
      <c r="L72" s="65"/>
    </row>
    <row r="73" spans="1:14" x14ac:dyDescent="0.2">
      <c r="C73" t="str">
        <f t="shared" ref="C73:C78" si="1">CONCATENATE("Accumulated depreciation - ", C42)</f>
        <v>Accumulated depreciation - Buildings</v>
      </c>
      <c r="D73" s="104"/>
      <c r="J73" s="64"/>
      <c r="K73" s="11"/>
      <c r="L73" s="64">
        <f t="shared" ref="L73:L78" si="2">G42</f>
        <v>0</v>
      </c>
    </row>
    <row r="74" spans="1:14" x14ac:dyDescent="0.2">
      <c r="C74" t="str">
        <f t="shared" si="1"/>
        <v>Accumulated depreciation - Equipment and Furniture</v>
      </c>
      <c r="D74" s="11"/>
      <c r="J74" s="65"/>
      <c r="K74" s="11"/>
      <c r="L74" s="64">
        <f t="shared" si="2"/>
        <v>0</v>
      </c>
    </row>
    <row r="75" spans="1:14" x14ac:dyDescent="0.2">
      <c r="C75" t="str">
        <f t="shared" si="1"/>
        <v>Accumulated depreciation - Library Books</v>
      </c>
      <c r="D75" s="11"/>
      <c r="J75" s="65"/>
      <c r="K75" s="11"/>
      <c r="L75" s="64">
        <f t="shared" si="2"/>
        <v>0</v>
      </c>
    </row>
    <row r="76" spans="1:14" x14ac:dyDescent="0.2">
      <c r="C76" t="str">
        <f t="shared" si="1"/>
        <v>Accumulated depreciation - Vehicles &amp; Motorized Equipment</v>
      </c>
      <c r="D76" s="11"/>
      <c r="J76" s="65"/>
      <c r="K76" s="11"/>
      <c r="L76" s="64">
        <f t="shared" si="2"/>
        <v>0</v>
      </c>
    </row>
    <row r="77" spans="1:14" x14ac:dyDescent="0.2">
      <c r="C77" t="str">
        <f t="shared" si="1"/>
        <v>Accumulated depreciation - Computer equipment</v>
      </c>
      <c r="D77" s="216"/>
      <c r="J77" s="65"/>
      <c r="K77" s="11"/>
      <c r="L77" s="64">
        <f t="shared" si="2"/>
        <v>0</v>
      </c>
    </row>
    <row r="78" spans="1:14" x14ac:dyDescent="0.2">
      <c r="C78" t="str">
        <f t="shared" si="1"/>
        <v>Accumulated depreciation - Other Asset Class 1</v>
      </c>
      <c r="D78" s="216"/>
      <c r="J78" s="65"/>
      <c r="K78" s="11"/>
      <c r="L78" s="64">
        <f t="shared" si="2"/>
        <v>0</v>
      </c>
    </row>
    <row r="79" spans="1:14" ht="13.5" thickBot="1" x14ac:dyDescent="0.25">
      <c r="J79" s="66">
        <f>SUM(J54:J78)</f>
        <v>0</v>
      </c>
      <c r="K79" s="11"/>
      <c r="L79" s="66">
        <f>SUM(L54:L78)</f>
        <v>0</v>
      </c>
      <c r="N79" s="12"/>
    </row>
    <row r="80" spans="1:14" ht="13.5" thickTop="1" x14ac:dyDescent="0.2">
      <c r="K80" s="11"/>
    </row>
  </sheetData>
  <sheetProtection algorithmName="SHA-512" hashValue="Li+ywnlX6GkpydEFL4b2vHdQs8Fak/nZVgtl4n1KGaDwLX5W0VlsxYzmyStZqZzSvkYCvdrhQYWNkm30qUZ0Wg==" saltValue="r0UZMaqwJfacQ3puDh0BQQ==" spinCount="100000" sheet="1" objects="1" scenarios="1"/>
  <mergeCells count="10">
    <mergeCell ref="B50:N50"/>
    <mergeCell ref="A2:N2"/>
    <mergeCell ref="C10:N10"/>
    <mergeCell ref="C12:N12"/>
    <mergeCell ref="B14:N14"/>
    <mergeCell ref="B38:N38"/>
    <mergeCell ref="A4:N4"/>
    <mergeCell ref="A5:N5"/>
    <mergeCell ref="I47:J48"/>
    <mergeCell ref="C7:N8"/>
  </mergeCells>
  <phoneticPr fontId="0" type="noConversion"/>
  <printOptions horizontalCentered="1"/>
  <pageMargins left="0.36" right="0.48" top="0.66" bottom="0.65" header="0.5" footer="0.5"/>
  <pageSetup scale="67" orientation="portrait" r:id="rId1"/>
  <headerFooter alignWithMargins="0">
    <oddHeader>&amp;R&amp;"Arial,Bold"&amp;12Entry  B</oddHeader>
    <oddFooter>&amp;R&amp;P</oddFooter>
  </headerFooter>
  <ignoredErrors>
    <ignoredError sqref="B7 B10 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M165"/>
  <sheetViews>
    <sheetView topLeftCell="A64" workbookViewId="0">
      <selection activeCell="A11" sqref="A11"/>
    </sheetView>
  </sheetViews>
  <sheetFormatPr defaultRowHeight="12.75" x14ac:dyDescent="0.2"/>
  <cols>
    <col min="1" max="1" width="2.85546875" style="4" customWidth="1"/>
    <col min="2" max="2" width="2.28515625" customWidth="1"/>
    <col min="3" max="3" width="38.7109375" customWidth="1"/>
    <col min="4" max="4" width="9.28515625" customWidth="1"/>
    <col min="5" max="5" width="16.7109375" customWidth="1"/>
    <col min="6" max="6" width="14.140625" bestFit="1" customWidth="1"/>
    <col min="7" max="7" width="1.5703125" style="36" customWidth="1"/>
    <col min="8" max="8" width="10.5703125" customWidth="1"/>
    <col min="9" max="9" width="14.140625" customWidth="1"/>
    <col min="10" max="10" width="11.28515625" bestFit="1" customWidth="1"/>
    <col min="11" max="11" width="13" customWidth="1"/>
    <col min="12" max="12" width="9.28515625" customWidth="1"/>
    <col min="13" max="13" width="14.42578125" customWidth="1"/>
  </cols>
  <sheetData>
    <row r="1" spans="1:13" ht="33.75" customHeight="1" x14ac:dyDescent="0.25">
      <c r="A1" s="1107" t="s">
        <v>1698</v>
      </c>
      <c r="B1" s="1108"/>
      <c r="C1" s="1108"/>
      <c r="D1" s="1108"/>
      <c r="E1" s="1108"/>
      <c r="F1" s="1108"/>
      <c r="G1" s="1108"/>
      <c r="H1" s="1108"/>
      <c r="I1" s="1108"/>
      <c r="J1" s="1108"/>
      <c r="K1" s="1108"/>
      <c r="L1" s="1108"/>
      <c r="M1" s="1109"/>
    </row>
    <row r="2" spans="1:13" ht="5.25" customHeight="1" x14ac:dyDescent="0.2"/>
    <row r="3" spans="1:13" ht="76.5" customHeight="1" x14ac:dyDescent="0.2">
      <c r="B3" s="1134" t="s">
        <v>749</v>
      </c>
      <c r="C3" s="1012"/>
      <c r="D3" s="1012"/>
      <c r="E3" s="1012"/>
      <c r="F3" s="1012"/>
      <c r="G3" s="1012"/>
      <c r="H3" s="1012"/>
      <c r="I3" s="1012"/>
      <c r="J3" s="1012"/>
      <c r="K3" s="1012"/>
      <c r="L3" s="1012"/>
      <c r="M3" s="1012"/>
    </row>
    <row r="4" spans="1:13" ht="3.75" customHeight="1" x14ac:dyDescent="0.2"/>
    <row r="5" spans="1:13" ht="27" customHeight="1" x14ac:dyDescent="0.2">
      <c r="B5" s="1011" t="s">
        <v>525</v>
      </c>
      <c r="C5" s="1011"/>
      <c r="D5" s="1011"/>
      <c r="E5" s="1011"/>
      <c r="F5" s="1011"/>
      <c r="G5" s="1011"/>
      <c r="H5" s="1011"/>
      <c r="I5" s="1011"/>
      <c r="J5" s="1011"/>
      <c r="K5" s="1011"/>
      <c r="L5" s="1011"/>
      <c r="M5" s="1011"/>
    </row>
    <row r="6" spans="1:13" ht="3" customHeight="1" x14ac:dyDescent="0.2"/>
    <row r="7" spans="1:13" ht="12.75" customHeight="1" x14ac:dyDescent="0.2">
      <c r="B7" s="38" t="s">
        <v>662</v>
      </c>
      <c r="C7" s="1012" t="s">
        <v>424</v>
      </c>
      <c r="D7" s="1012"/>
      <c r="E7" s="1012"/>
      <c r="F7" s="1012"/>
      <c r="G7" s="1012"/>
      <c r="H7" s="1012"/>
      <c r="I7" s="1012"/>
      <c r="J7" s="1012"/>
      <c r="K7" s="1012"/>
      <c r="L7" s="1012"/>
      <c r="M7" s="1012"/>
    </row>
    <row r="8" spans="1:13" ht="50.25" customHeight="1" x14ac:dyDescent="0.2">
      <c r="B8" s="38"/>
      <c r="C8" s="1012"/>
      <c r="D8" s="1012"/>
      <c r="E8" s="1012"/>
      <c r="F8" s="1012"/>
      <c r="G8" s="1012"/>
      <c r="H8" s="1012"/>
      <c r="I8" s="1012"/>
      <c r="J8" s="1012"/>
      <c r="K8" s="1012"/>
      <c r="L8" s="1012"/>
      <c r="M8" s="1012"/>
    </row>
    <row r="9" spans="1:13" ht="3" customHeight="1" x14ac:dyDescent="0.2">
      <c r="B9" s="38"/>
      <c r="C9" s="34"/>
      <c r="D9" s="34"/>
      <c r="E9" s="34"/>
      <c r="F9" s="34"/>
      <c r="G9" s="34"/>
      <c r="H9" s="34"/>
      <c r="I9" s="34"/>
      <c r="J9" s="34"/>
      <c r="K9" s="34"/>
      <c r="L9" s="34"/>
      <c r="M9" s="34"/>
    </row>
    <row r="10" spans="1:13" ht="12.75" customHeight="1" x14ac:dyDescent="0.2">
      <c r="B10" s="163" t="s">
        <v>663</v>
      </c>
      <c r="C10" s="1015" t="s">
        <v>60</v>
      </c>
      <c r="D10" s="1015"/>
      <c r="E10" s="1015"/>
      <c r="F10" s="1015"/>
      <c r="G10" s="1015"/>
      <c r="H10" s="1015"/>
      <c r="I10" s="1015"/>
      <c r="J10" s="1015"/>
      <c r="K10" s="1015"/>
      <c r="L10" s="1015"/>
      <c r="M10" s="1015"/>
    </row>
    <row r="11" spans="1:13" ht="3" customHeight="1" x14ac:dyDescent="0.2">
      <c r="G11"/>
    </row>
    <row r="12" spans="1:13" ht="15" customHeight="1" x14ac:dyDescent="0.2">
      <c r="B12" s="38" t="s">
        <v>664</v>
      </c>
      <c r="C12" s="1135" t="s">
        <v>425</v>
      </c>
      <c r="D12" s="1135"/>
      <c r="E12" s="1135"/>
      <c r="F12" s="1135"/>
      <c r="G12" s="1135"/>
      <c r="H12" s="1135"/>
      <c r="I12" s="1135"/>
      <c r="J12" s="1135"/>
      <c r="K12" s="1135"/>
      <c r="L12" s="1135"/>
      <c r="M12" s="1135"/>
    </row>
    <row r="13" spans="1:13" ht="14.25" customHeight="1" x14ac:dyDescent="0.2">
      <c r="B13" s="38"/>
      <c r="C13" s="1135"/>
      <c r="D13" s="1135"/>
      <c r="E13" s="1135"/>
      <c r="F13" s="1135"/>
      <c r="G13" s="1135"/>
      <c r="H13" s="1135"/>
      <c r="I13" s="1135"/>
      <c r="J13" s="1135"/>
      <c r="K13" s="1135"/>
      <c r="L13" s="1135"/>
      <c r="M13" s="1135"/>
    </row>
    <row r="14" spans="1:13" ht="33.75" customHeight="1" x14ac:dyDescent="0.2">
      <c r="C14" s="1135"/>
      <c r="D14" s="1135"/>
      <c r="E14" s="1135"/>
      <c r="F14" s="1135"/>
      <c r="G14" s="1135"/>
      <c r="H14" s="1135"/>
      <c r="I14" s="1135"/>
      <c r="J14" s="1135"/>
      <c r="K14" s="1135"/>
      <c r="L14" s="1135"/>
      <c r="M14" s="1135"/>
    </row>
    <row r="15" spans="1:13" ht="6" customHeight="1" x14ac:dyDescent="0.2"/>
    <row r="16" spans="1:13" ht="39" customHeight="1" x14ac:dyDescent="0.2">
      <c r="A16" s="4" t="s">
        <v>341</v>
      </c>
      <c r="B16" s="1119" t="s">
        <v>750</v>
      </c>
      <c r="C16" s="1123"/>
      <c r="D16" s="1123"/>
      <c r="E16" s="1123"/>
      <c r="F16" s="1123"/>
      <c r="G16" s="1123"/>
      <c r="H16" s="1123"/>
      <c r="I16" s="1123"/>
      <c r="J16" s="1123"/>
      <c r="K16" s="1123"/>
      <c r="L16" s="1123"/>
      <c r="M16" s="1124"/>
    </row>
    <row r="17" spans="2:13" ht="5.25" customHeight="1" x14ac:dyDescent="0.2">
      <c r="B17" s="41"/>
      <c r="C17" s="32"/>
      <c r="D17" s="32"/>
      <c r="E17" s="32"/>
      <c r="F17" s="32"/>
      <c r="G17" s="44"/>
      <c r="H17" s="32"/>
      <c r="I17" s="32"/>
      <c r="J17" s="32"/>
      <c r="K17" s="32"/>
      <c r="L17" s="32"/>
      <c r="M17" s="32"/>
    </row>
    <row r="18" spans="2:13" x14ac:dyDescent="0.2">
      <c r="B18" s="38" t="s">
        <v>662</v>
      </c>
      <c r="C18" s="377" t="s">
        <v>38</v>
      </c>
      <c r="D18" s="376"/>
      <c r="E18" s="376"/>
      <c r="F18" s="3" t="s">
        <v>161</v>
      </c>
      <c r="G18"/>
      <c r="I18" s="7" t="s">
        <v>160</v>
      </c>
      <c r="K18" s="3" t="s">
        <v>374</v>
      </c>
      <c r="M18" s="3" t="s">
        <v>540</v>
      </c>
    </row>
    <row r="19" spans="2:13" ht="3" customHeight="1" x14ac:dyDescent="0.2">
      <c r="G19"/>
    </row>
    <row r="20" spans="2:13" x14ac:dyDescent="0.2">
      <c r="C20" s="121" t="s">
        <v>436</v>
      </c>
      <c r="F20" s="230">
        <v>0</v>
      </c>
      <c r="G20"/>
      <c r="I20" s="231">
        <v>0</v>
      </c>
      <c r="K20" s="375" t="s">
        <v>99</v>
      </c>
      <c r="M20" s="64">
        <f>F20+I20</f>
        <v>0</v>
      </c>
    </row>
    <row r="21" spans="2:13" x14ac:dyDescent="0.2">
      <c r="C21" s="121" t="s">
        <v>437</v>
      </c>
      <c r="F21" s="230">
        <v>0</v>
      </c>
      <c r="G21"/>
      <c r="I21" s="231">
        <v>0</v>
      </c>
      <c r="K21" s="375" t="s">
        <v>99</v>
      </c>
      <c r="M21" s="64">
        <f>F21+I21</f>
        <v>0</v>
      </c>
    </row>
    <row r="22" spans="2:13" x14ac:dyDescent="0.2">
      <c r="C22" s="121" t="s">
        <v>438</v>
      </c>
      <c r="F22" s="370">
        <v>0</v>
      </c>
      <c r="G22"/>
      <c r="I22" s="371">
        <v>0</v>
      </c>
      <c r="K22" s="375" t="s">
        <v>99</v>
      </c>
      <c r="M22" s="64">
        <f>F22+I22</f>
        <v>0</v>
      </c>
    </row>
    <row r="23" spans="2:13" x14ac:dyDescent="0.2">
      <c r="C23" s="121" t="s">
        <v>39</v>
      </c>
      <c r="F23" s="375" t="s">
        <v>99</v>
      </c>
      <c r="G23" s="322"/>
      <c r="H23" s="322"/>
      <c r="I23" s="375" t="s">
        <v>99</v>
      </c>
      <c r="K23" s="371">
        <v>0</v>
      </c>
      <c r="M23" s="64">
        <f>K23</f>
        <v>0</v>
      </c>
    </row>
    <row r="24" spans="2:13" ht="15.75" thickBot="1" x14ac:dyDescent="0.25">
      <c r="C24" s="360" t="s">
        <v>162</v>
      </c>
      <c r="F24" s="62">
        <f>SUM(F20:F23)</f>
        <v>0</v>
      </c>
      <c r="G24"/>
      <c r="H24" s="364" t="s">
        <v>145</v>
      </c>
      <c r="I24" s="62">
        <f>SUM(I20:I23)</f>
        <v>0</v>
      </c>
      <c r="K24" s="62">
        <f>SUM(K20:K23)</f>
        <v>0</v>
      </c>
      <c r="M24" s="62">
        <f>SUM(M20:M23)</f>
        <v>0</v>
      </c>
    </row>
    <row r="25" spans="2:13" ht="3.75" customHeight="1" thickTop="1" x14ac:dyDescent="0.2">
      <c r="F25" s="44"/>
      <c r="G25" s="11"/>
      <c r="H25" s="11"/>
      <c r="I25" s="44"/>
      <c r="J25" s="11"/>
      <c r="K25" s="44"/>
      <c r="L25" s="11"/>
      <c r="M25" s="44"/>
    </row>
    <row r="26" spans="2:13" x14ac:dyDescent="0.2">
      <c r="B26" s="38" t="s">
        <v>663</v>
      </c>
      <c r="C26" s="7" t="s">
        <v>201</v>
      </c>
      <c r="D26" s="7"/>
      <c r="F26" s="44"/>
      <c r="G26" s="11"/>
      <c r="H26" s="11"/>
      <c r="I26" s="44"/>
      <c r="J26" s="11"/>
      <c r="K26" s="44"/>
      <c r="L26" s="11"/>
      <c r="M26" s="44"/>
    </row>
    <row r="27" spans="2:13" x14ac:dyDescent="0.2">
      <c r="C27" t="s">
        <v>269</v>
      </c>
      <c r="F27" s="229">
        <v>0</v>
      </c>
      <c r="G27"/>
      <c r="I27" s="375" t="s">
        <v>99</v>
      </c>
      <c r="K27" s="375" t="s">
        <v>539</v>
      </c>
      <c r="M27" s="44" t="s">
        <v>99</v>
      </c>
    </row>
    <row r="28" spans="2:13" x14ac:dyDescent="0.2">
      <c r="C28" t="s">
        <v>270</v>
      </c>
      <c r="F28" s="229">
        <v>0</v>
      </c>
      <c r="G28"/>
      <c r="I28" s="375" t="s">
        <v>99</v>
      </c>
      <c r="K28" s="375" t="s">
        <v>539</v>
      </c>
      <c r="M28" s="44" t="s">
        <v>99</v>
      </c>
    </row>
    <row r="29" spans="2:13" x14ac:dyDescent="0.2">
      <c r="C29" t="s">
        <v>271</v>
      </c>
      <c r="F29" s="229">
        <v>0</v>
      </c>
      <c r="G29"/>
      <c r="I29" s="375" t="s">
        <v>99</v>
      </c>
      <c r="K29" s="375" t="s">
        <v>539</v>
      </c>
      <c r="M29" s="44" t="s">
        <v>99</v>
      </c>
    </row>
    <row r="30" spans="2:13" x14ac:dyDescent="0.2">
      <c r="C30" t="s">
        <v>272</v>
      </c>
      <c r="F30" s="229">
        <v>0</v>
      </c>
      <c r="G30"/>
      <c r="I30" s="375" t="s">
        <v>99</v>
      </c>
      <c r="K30" s="375" t="s">
        <v>539</v>
      </c>
      <c r="M30" s="44" t="s">
        <v>99</v>
      </c>
    </row>
    <row r="31" spans="2:13" x14ac:dyDescent="0.2">
      <c r="C31" t="s">
        <v>273</v>
      </c>
      <c r="F31" s="229">
        <v>0</v>
      </c>
      <c r="G31"/>
      <c r="I31" s="375" t="s">
        <v>99</v>
      </c>
      <c r="K31" s="375" t="s">
        <v>539</v>
      </c>
      <c r="M31" s="44" t="s">
        <v>99</v>
      </c>
    </row>
    <row r="32" spans="2:13" x14ac:dyDescent="0.2">
      <c r="C32" t="s">
        <v>274</v>
      </c>
      <c r="F32" s="229">
        <v>0</v>
      </c>
      <c r="G32"/>
      <c r="I32" s="375" t="s">
        <v>99</v>
      </c>
      <c r="K32" s="375" t="s">
        <v>539</v>
      </c>
      <c r="M32" s="44" t="s">
        <v>99</v>
      </c>
    </row>
    <row r="33" spans="1:13" x14ac:dyDescent="0.2">
      <c r="C33" t="s">
        <v>275</v>
      </c>
      <c r="F33" s="229">
        <v>0</v>
      </c>
      <c r="G33"/>
      <c r="I33" s="375" t="s">
        <v>99</v>
      </c>
      <c r="K33" s="375" t="s">
        <v>539</v>
      </c>
      <c r="M33" s="44" t="s">
        <v>99</v>
      </c>
    </row>
    <row r="34" spans="1:13" x14ac:dyDescent="0.2">
      <c r="C34" t="s">
        <v>387</v>
      </c>
      <c r="F34" s="229">
        <v>0</v>
      </c>
      <c r="G34"/>
      <c r="I34" s="375" t="s">
        <v>99</v>
      </c>
      <c r="K34" s="375" t="s">
        <v>539</v>
      </c>
      <c r="M34" s="44" t="s">
        <v>99</v>
      </c>
    </row>
    <row r="35" spans="1:13" x14ac:dyDescent="0.2">
      <c r="C35" t="s">
        <v>276</v>
      </c>
      <c r="F35" s="229">
        <v>0</v>
      </c>
      <c r="G35"/>
      <c r="I35" s="375" t="s">
        <v>99</v>
      </c>
      <c r="K35" s="375" t="s">
        <v>539</v>
      </c>
      <c r="M35" s="44" t="s">
        <v>99</v>
      </c>
    </row>
    <row r="36" spans="1:13" x14ac:dyDescent="0.2">
      <c r="A36" s="4" t="s">
        <v>359</v>
      </c>
      <c r="C36" t="s">
        <v>243</v>
      </c>
      <c r="F36" s="229">
        <v>0</v>
      </c>
      <c r="G36"/>
      <c r="I36" s="375" t="s">
        <v>99</v>
      </c>
      <c r="K36" s="375" t="s">
        <v>539</v>
      </c>
      <c r="M36" s="44" t="s">
        <v>99</v>
      </c>
    </row>
    <row r="37" spans="1:13" x14ac:dyDescent="0.2">
      <c r="C37" t="s">
        <v>244</v>
      </c>
      <c r="F37" s="229">
        <v>0</v>
      </c>
      <c r="G37"/>
      <c r="I37" s="375" t="s">
        <v>99</v>
      </c>
      <c r="K37" s="375" t="s">
        <v>539</v>
      </c>
      <c r="M37" s="44" t="s">
        <v>99</v>
      </c>
    </row>
    <row r="38" spans="1:13" x14ac:dyDescent="0.2">
      <c r="C38" t="s">
        <v>277</v>
      </c>
      <c r="F38" s="229">
        <v>0</v>
      </c>
      <c r="G38"/>
      <c r="I38" s="375" t="s">
        <v>99</v>
      </c>
      <c r="K38" s="375" t="s">
        <v>539</v>
      </c>
      <c r="M38" s="44" t="s">
        <v>99</v>
      </c>
    </row>
    <row r="39" spans="1:13" x14ac:dyDescent="0.2">
      <c r="C39" t="s">
        <v>279</v>
      </c>
      <c r="F39" s="229">
        <v>0</v>
      </c>
      <c r="G39"/>
      <c r="I39" s="375" t="s">
        <v>99</v>
      </c>
      <c r="K39" s="375" t="s">
        <v>539</v>
      </c>
      <c r="M39" s="44" t="s">
        <v>99</v>
      </c>
    </row>
    <row r="40" spans="1:13" x14ac:dyDescent="0.2">
      <c r="C40" t="s">
        <v>280</v>
      </c>
      <c r="F40" s="229">
        <v>0</v>
      </c>
      <c r="G40"/>
      <c r="I40" s="375" t="s">
        <v>99</v>
      </c>
      <c r="K40" s="375" t="s">
        <v>539</v>
      </c>
      <c r="M40" s="44" t="s">
        <v>99</v>
      </c>
    </row>
    <row r="41" spans="1:13" x14ac:dyDescent="0.2">
      <c r="C41" t="s">
        <v>278</v>
      </c>
      <c r="F41" s="229">
        <v>0</v>
      </c>
      <c r="G41"/>
      <c r="I41" s="375" t="s">
        <v>99</v>
      </c>
      <c r="K41" s="375" t="s">
        <v>539</v>
      </c>
      <c r="M41" s="44" t="s">
        <v>99</v>
      </c>
    </row>
    <row r="42" spans="1:13" ht="12" customHeight="1" x14ac:dyDescent="0.2">
      <c r="C42" t="s">
        <v>263</v>
      </c>
      <c r="F42" s="229">
        <v>0</v>
      </c>
      <c r="G42"/>
      <c r="I42" s="375" t="s">
        <v>99</v>
      </c>
      <c r="K42" s="375" t="s">
        <v>539</v>
      </c>
      <c r="M42" s="44" t="s">
        <v>99</v>
      </c>
    </row>
    <row r="43" spans="1:13" x14ac:dyDescent="0.2">
      <c r="C43" t="s">
        <v>55</v>
      </c>
      <c r="F43" s="229">
        <v>0</v>
      </c>
      <c r="G43"/>
      <c r="I43" s="375" t="s">
        <v>99</v>
      </c>
      <c r="K43" s="375" t="s">
        <v>539</v>
      </c>
      <c r="M43" s="44" t="s">
        <v>99</v>
      </c>
    </row>
    <row r="44" spans="1:13" ht="15.75" thickBot="1" x14ac:dyDescent="0.25">
      <c r="C44" s="121" t="s">
        <v>541</v>
      </c>
      <c r="E44" s="364" t="s">
        <v>144</v>
      </c>
      <c r="F44" s="66">
        <f>F24+SUM(F27:F43)</f>
        <v>0</v>
      </c>
      <c r="G44"/>
      <c r="I44" s="375" t="s">
        <v>99</v>
      </c>
      <c r="K44" s="375" t="s">
        <v>539</v>
      </c>
      <c r="M44" s="44" t="s">
        <v>99</v>
      </c>
    </row>
    <row r="45" spans="1:13" ht="7.5" customHeight="1" thickTop="1" x14ac:dyDescent="0.2">
      <c r="G45"/>
      <c r="I45" s="44"/>
      <c r="M45" s="44"/>
    </row>
    <row r="46" spans="1:13" ht="24" customHeight="1" x14ac:dyDescent="0.2">
      <c r="A46" s="4" t="s">
        <v>342</v>
      </c>
      <c r="B46" s="1115" t="s">
        <v>666</v>
      </c>
      <c r="C46" s="1116"/>
      <c r="D46" s="1116"/>
      <c r="E46" s="1116"/>
      <c r="F46" s="1116"/>
      <c r="G46" s="1116"/>
      <c r="H46" s="1116"/>
      <c r="I46" s="1116"/>
      <c r="J46" s="1116"/>
      <c r="K46" s="1116"/>
      <c r="L46" s="1116"/>
      <c r="M46" s="1117"/>
    </row>
    <row r="47" spans="1:13" ht="3" hidden="1" customHeight="1" x14ac:dyDescent="0.2">
      <c r="G47" s="45"/>
      <c r="H47" s="45"/>
      <c r="I47" s="45"/>
      <c r="J47" s="45"/>
      <c r="K47" s="45"/>
      <c r="L47" s="45"/>
      <c r="M47" s="45"/>
    </row>
    <row r="48" spans="1:13" x14ac:dyDescent="0.2">
      <c r="F48" s="3" t="s">
        <v>657</v>
      </c>
      <c r="G48" s="45"/>
      <c r="H48" s="45"/>
      <c r="I48" s="45"/>
      <c r="J48" s="45"/>
      <c r="K48" s="45"/>
      <c r="L48" s="45"/>
      <c r="M48" s="45"/>
    </row>
    <row r="49" spans="1:13" x14ac:dyDescent="0.2">
      <c r="C49" s="464" t="str">
        <f>'Conversion Worksheet'!C25</f>
        <v>Land</v>
      </c>
      <c r="F49" s="229">
        <v>0</v>
      </c>
      <c r="G49" s="45"/>
      <c r="H49" s="45"/>
      <c r="I49" s="45"/>
      <c r="J49" s="45"/>
      <c r="K49" s="45"/>
      <c r="L49" s="45"/>
      <c r="M49" s="45"/>
    </row>
    <row r="50" spans="1:13" x14ac:dyDescent="0.2">
      <c r="C50" s="464" t="str">
        <f>'Conversion Worksheet'!C28</f>
        <v>Construction in progress</v>
      </c>
      <c r="F50" s="229">
        <v>0</v>
      </c>
      <c r="G50" s="45"/>
      <c r="H50" s="45"/>
      <c r="I50" s="45"/>
      <c r="J50" s="45"/>
      <c r="K50" s="45"/>
      <c r="L50" s="45"/>
      <c r="M50" s="45"/>
    </row>
    <row r="51" spans="1:13" ht="12" customHeight="1" x14ac:dyDescent="0.2">
      <c r="C51" s="464" t="str">
        <f>'Conversion Worksheet'!C29</f>
        <v>Buildings</v>
      </c>
      <c r="F51" s="229">
        <v>0</v>
      </c>
      <c r="G51" s="45"/>
      <c r="H51" s="45"/>
      <c r="I51" s="1137" t="s">
        <v>21</v>
      </c>
      <c r="J51" s="1137"/>
      <c r="K51" s="1137"/>
      <c r="L51" s="1137"/>
      <c r="M51" s="1137"/>
    </row>
    <row r="52" spans="1:13" x14ac:dyDescent="0.2">
      <c r="C52" s="464" t="str">
        <f>'Conversion Worksheet'!C44</f>
        <v>Library Books</v>
      </c>
      <c r="F52" s="229">
        <v>0</v>
      </c>
      <c r="G52" s="45"/>
      <c r="H52" s="45"/>
      <c r="I52" s="1137"/>
      <c r="J52" s="1137"/>
      <c r="K52" s="1137"/>
      <c r="L52" s="1137"/>
      <c r="M52" s="1137"/>
    </row>
    <row r="53" spans="1:13" x14ac:dyDescent="0.2">
      <c r="C53" s="464" t="str">
        <f>'Conversion Worksheet'!C34</f>
        <v>Equipment and Furniture</v>
      </c>
      <c r="F53" s="229">
        <v>0</v>
      </c>
      <c r="G53" s="45"/>
      <c r="H53" s="45"/>
      <c r="I53" s="1137"/>
      <c r="J53" s="1137"/>
      <c r="K53" s="1137"/>
      <c r="L53" s="1137"/>
      <c r="M53" s="1137"/>
    </row>
    <row r="54" spans="1:13" x14ac:dyDescent="0.2">
      <c r="C54" s="464" t="str">
        <f>'Conversion Worksheet'!C39</f>
        <v>Vehicles &amp; Motorized Equipment</v>
      </c>
      <c r="F54" s="229">
        <v>0</v>
      </c>
      <c r="G54" s="45"/>
      <c r="H54" s="45"/>
      <c r="I54" s="45"/>
      <c r="J54" s="45"/>
      <c r="K54" s="45"/>
      <c r="L54" s="45"/>
      <c r="M54" s="45"/>
    </row>
    <row r="55" spans="1:13" x14ac:dyDescent="0.2">
      <c r="C55" s="465" t="str">
        <f>'Conversion Worksheet'!C49</f>
        <v>Computer equipment</v>
      </c>
      <c r="F55" s="229">
        <v>0</v>
      </c>
      <c r="G55" s="45"/>
      <c r="H55" s="45"/>
      <c r="I55" s="45"/>
      <c r="J55" s="45"/>
      <c r="K55" s="45"/>
      <c r="L55" s="45"/>
      <c r="M55" s="45"/>
    </row>
    <row r="56" spans="1:13" x14ac:dyDescent="0.2">
      <c r="C56" s="465" t="str">
        <f>'Conversion Worksheet'!C54</f>
        <v>Other Asset Class 1</v>
      </c>
      <c r="F56" s="232">
        <v>0</v>
      </c>
      <c r="G56" s="45"/>
      <c r="H56" s="1136" t="str">
        <f>IF(F44=F57," ","Recheck numbers in Section A or B. Entry is out of balance.")</f>
        <v xml:space="preserve"> </v>
      </c>
      <c r="I56" s="1136"/>
      <c r="J56" s="45"/>
      <c r="K56" s="45"/>
      <c r="L56" s="45"/>
      <c r="M56" s="45"/>
    </row>
    <row r="57" spans="1:13" ht="15.75" thickBot="1" x14ac:dyDescent="0.25">
      <c r="E57" s="364" t="s">
        <v>144</v>
      </c>
      <c r="F57" s="72">
        <f>SUM(F49:F56)</f>
        <v>0</v>
      </c>
      <c r="G57" s="45"/>
      <c r="H57" s="1136"/>
      <c r="I57" s="1136"/>
      <c r="J57" s="45"/>
      <c r="K57" s="45"/>
      <c r="L57" s="45"/>
      <c r="M57" s="45"/>
    </row>
    <row r="58" spans="1:13" ht="6" customHeight="1" thickTop="1" x14ac:dyDescent="0.35">
      <c r="F58" s="8"/>
      <c r="G58" s="45"/>
      <c r="H58" s="53"/>
      <c r="I58" s="45"/>
      <c r="J58" s="45"/>
      <c r="K58" s="45"/>
      <c r="L58" s="45"/>
      <c r="M58" s="45"/>
    </row>
    <row r="59" spans="1:13" ht="12.75" customHeight="1" x14ac:dyDescent="0.2">
      <c r="A59" s="4" t="s">
        <v>527</v>
      </c>
      <c r="B59" s="1125" t="s">
        <v>435</v>
      </c>
      <c r="C59" s="1126"/>
      <c r="D59" s="1126"/>
      <c r="E59" s="1126"/>
      <c r="F59" s="1126"/>
      <c r="G59" s="1126"/>
      <c r="H59" s="1126"/>
      <c r="I59" s="1126"/>
      <c r="J59" s="1126"/>
      <c r="K59" s="1126"/>
      <c r="L59" s="1126"/>
      <c r="M59" s="1127"/>
    </row>
    <row r="60" spans="1:13" x14ac:dyDescent="0.2">
      <c r="B60" s="1128"/>
      <c r="C60" s="1129"/>
      <c r="D60" s="1129"/>
      <c r="E60" s="1129"/>
      <c r="F60" s="1129"/>
      <c r="G60" s="1129"/>
      <c r="H60" s="1129"/>
      <c r="I60" s="1129"/>
      <c r="J60" s="1129"/>
      <c r="K60" s="1129"/>
      <c r="L60" s="1129"/>
      <c r="M60" s="1130"/>
    </row>
    <row r="61" spans="1:13" ht="39" customHeight="1" x14ac:dyDescent="0.2">
      <c r="B61" s="1131"/>
      <c r="C61" s="1132"/>
      <c r="D61" s="1132"/>
      <c r="E61" s="1132"/>
      <c r="F61" s="1132"/>
      <c r="G61" s="1132"/>
      <c r="H61" s="1132"/>
      <c r="I61" s="1132"/>
      <c r="J61" s="1132"/>
      <c r="K61" s="1132"/>
      <c r="L61" s="1132"/>
      <c r="M61" s="1133"/>
    </row>
    <row r="62" spans="1:13" ht="16.5" x14ac:dyDescent="0.35">
      <c r="F62" s="361" t="s">
        <v>202</v>
      </c>
      <c r="G62" s="45"/>
      <c r="H62" s="53"/>
      <c r="I62" s="362" t="s">
        <v>203</v>
      </c>
      <c r="J62" s="45"/>
      <c r="K62" s="362" t="s">
        <v>204</v>
      </c>
      <c r="L62" s="45"/>
      <c r="M62" s="363" t="s">
        <v>466</v>
      </c>
    </row>
    <row r="63" spans="1:13" s="35" customFormat="1" ht="13.5" customHeight="1" x14ac:dyDescent="0.35">
      <c r="A63" s="99"/>
      <c r="C63" s="165" t="s">
        <v>560</v>
      </c>
      <c r="F63" s="430"/>
      <c r="G63" s="431"/>
      <c r="H63" s="432"/>
      <c r="I63" s="237"/>
      <c r="J63" s="431"/>
      <c r="K63" s="430"/>
      <c r="L63" s="431"/>
      <c r="M63" s="433">
        <f>F63+I63+K63</f>
        <v>0</v>
      </c>
    </row>
    <row r="64" spans="1:13" s="35" customFormat="1" ht="13.5" customHeight="1" x14ac:dyDescent="0.35">
      <c r="A64" s="99"/>
      <c r="C64" s="437" t="s">
        <v>331</v>
      </c>
      <c r="F64" s="430"/>
      <c r="G64" s="431"/>
      <c r="H64" s="432"/>
      <c r="I64" s="237"/>
      <c r="J64" s="431"/>
      <c r="K64" s="430"/>
      <c r="L64" s="431"/>
      <c r="M64" s="433">
        <f>F64+I64+K64</f>
        <v>0</v>
      </c>
    </row>
    <row r="65" spans="1:13" s="35" customFormat="1" ht="13.5" customHeight="1" x14ac:dyDescent="0.35">
      <c r="A65" s="99"/>
      <c r="C65" s="35" t="s">
        <v>269</v>
      </c>
      <c r="F65" s="434" t="s">
        <v>99</v>
      </c>
      <c r="G65" s="431"/>
      <c r="H65" s="432"/>
      <c r="I65" s="237"/>
      <c r="J65" s="431"/>
      <c r="K65" s="434" t="s">
        <v>539</v>
      </c>
      <c r="L65" s="431"/>
      <c r="M65" s="433">
        <f t="shared" ref="M65:M74" si="0">I65</f>
        <v>0</v>
      </c>
    </row>
    <row r="66" spans="1:13" s="35" customFormat="1" ht="13.5" customHeight="1" x14ac:dyDescent="0.35">
      <c r="A66" s="99"/>
      <c r="C66" s="35" t="s">
        <v>270</v>
      </c>
      <c r="F66" s="434" t="s">
        <v>99</v>
      </c>
      <c r="G66" s="431"/>
      <c r="H66" s="432"/>
      <c r="I66" s="237"/>
      <c r="J66" s="431"/>
      <c r="K66" s="434" t="s">
        <v>539</v>
      </c>
      <c r="L66" s="431"/>
      <c r="M66" s="433">
        <f t="shared" si="0"/>
        <v>0</v>
      </c>
    </row>
    <row r="67" spans="1:13" s="35" customFormat="1" ht="13.5" customHeight="1" x14ac:dyDescent="0.35">
      <c r="A67" s="99"/>
      <c r="C67" s="35" t="s">
        <v>271</v>
      </c>
      <c r="F67" s="434" t="s">
        <v>99</v>
      </c>
      <c r="G67" s="431"/>
      <c r="H67" s="432"/>
      <c r="I67" s="237"/>
      <c r="J67" s="431"/>
      <c r="K67" s="434" t="s">
        <v>539</v>
      </c>
      <c r="L67" s="431"/>
      <c r="M67" s="433">
        <f t="shared" si="0"/>
        <v>0</v>
      </c>
    </row>
    <row r="68" spans="1:13" s="35" customFormat="1" ht="13.5" customHeight="1" x14ac:dyDescent="0.35">
      <c r="A68" s="99"/>
      <c r="C68" s="35" t="s">
        <v>272</v>
      </c>
      <c r="F68" s="434" t="s">
        <v>99</v>
      </c>
      <c r="G68" s="431"/>
      <c r="H68" s="432"/>
      <c r="I68" s="237"/>
      <c r="J68" s="431"/>
      <c r="K68" s="434" t="s">
        <v>539</v>
      </c>
      <c r="L68" s="431"/>
      <c r="M68" s="433">
        <f t="shared" si="0"/>
        <v>0</v>
      </c>
    </row>
    <row r="69" spans="1:13" s="35" customFormat="1" ht="13.5" customHeight="1" x14ac:dyDescent="0.35">
      <c r="A69" s="99"/>
      <c r="C69" s="35" t="s">
        <v>273</v>
      </c>
      <c r="F69" s="434" t="s">
        <v>99</v>
      </c>
      <c r="G69" s="431"/>
      <c r="H69" s="432"/>
      <c r="I69" s="237"/>
      <c r="J69" s="431"/>
      <c r="K69" s="434" t="s">
        <v>539</v>
      </c>
      <c r="L69" s="431"/>
      <c r="M69" s="433">
        <f t="shared" si="0"/>
        <v>0</v>
      </c>
    </row>
    <row r="70" spans="1:13" s="35" customFormat="1" ht="13.5" customHeight="1" x14ac:dyDescent="0.35">
      <c r="A70" s="99"/>
      <c r="C70" s="35" t="s">
        <v>274</v>
      </c>
      <c r="F70" s="434" t="s">
        <v>99</v>
      </c>
      <c r="G70" s="431"/>
      <c r="H70" s="432"/>
      <c r="I70" s="237"/>
      <c r="J70" s="431"/>
      <c r="K70" s="434" t="s">
        <v>539</v>
      </c>
      <c r="L70" s="431"/>
      <c r="M70" s="433">
        <f t="shared" si="0"/>
        <v>0</v>
      </c>
    </row>
    <row r="71" spans="1:13" s="35" customFormat="1" ht="13.5" customHeight="1" x14ac:dyDescent="0.35">
      <c r="A71" s="99"/>
      <c r="C71" s="35" t="s">
        <v>275</v>
      </c>
      <c r="F71" s="434" t="s">
        <v>99</v>
      </c>
      <c r="G71" s="431"/>
      <c r="H71" s="432"/>
      <c r="I71" s="237"/>
      <c r="J71" s="431"/>
      <c r="K71" s="434" t="s">
        <v>539</v>
      </c>
      <c r="L71" s="431"/>
      <c r="M71" s="433">
        <f t="shared" si="0"/>
        <v>0</v>
      </c>
    </row>
    <row r="72" spans="1:13" s="35" customFormat="1" ht="13.5" customHeight="1" x14ac:dyDescent="0.35">
      <c r="A72" s="99"/>
      <c r="C72" s="35" t="s">
        <v>387</v>
      </c>
      <c r="F72" s="434" t="s">
        <v>99</v>
      </c>
      <c r="G72" s="431"/>
      <c r="H72" s="432"/>
      <c r="I72" s="237"/>
      <c r="J72" s="431"/>
      <c r="K72" s="434" t="s">
        <v>539</v>
      </c>
      <c r="L72" s="431"/>
      <c r="M72" s="433">
        <f t="shared" si="0"/>
        <v>0</v>
      </c>
    </row>
    <row r="73" spans="1:13" s="35" customFormat="1" ht="13.5" customHeight="1" x14ac:dyDescent="0.35">
      <c r="A73" s="99"/>
      <c r="C73" s="35" t="s">
        <v>276</v>
      </c>
      <c r="F73" s="434" t="s">
        <v>99</v>
      </c>
      <c r="G73" s="431"/>
      <c r="H73" s="432"/>
      <c r="I73" s="237"/>
      <c r="J73" s="431"/>
      <c r="K73" s="434" t="s">
        <v>539</v>
      </c>
      <c r="L73" s="431"/>
      <c r="M73" s="433">
        <f t="shared" si="0"/>
        <v>0</v>
      </c>
    </row>
    <row r="74" spans="1:13" s="35" customFormat="1" ht="13.5" customHeight="1" x14ac:dyDescent="0.35">
      <c r="A74" s="99"/>
      <c r="C74" s="35" t="s">
        <v>243</v>
      </c>
      <c r="F74" s="434" t="s">
        <v>99</v>
      </c>
      <c r="G74" s="431"/>
      <c r="H74" s="432"/>
      <c r="I74" s="237"/>
      <c r="J74" s="431"/>
      <c r="K74" s="434" t="s">
        <v>539</v>
      </c>
      <c r="L74" s="431"/>
      <c r="M74" s="433">
        <f t="shared" si="0"/>
        <v>0</v>
      </c>
    </row>
    <row r="75" spans="1:13" s="35" customFormat="1" ht="13.5" customHeight="1" x14ac:dyDescent="0.35">
      <c r="A75" s="99"/>
      <c r="C75" s="35" t="s">
        <v>244</v>
      </c>
      <c r="F75" s="430">
        <v>0</v>
      </c>
      <c r="G75" s="431"/>
      <c r="H75" s="432"/>
      <c r="I75" s="237">
        <v>0</v>
      </c>
      <c r="J75" s="431"/>
      <c r="K75" s="430"/>
      <c r="L75" s="431"/>
      <c r="M75" s="433">
        <f>K75+I75+F75</f>
        <v>0</v>
      </c>
    </row>
    <row r="76" spans="1:13" s="35" customFormat="1" ht="13.5" customHeight="1" x14ac:dyDescent="0.35">
      <c r="A76" s="99"/>
      <c r="C76" s="35" t="s">
        <v>277</v>
      </c>
      <c r="F76" s="434" t="s">
        <v>99</v>
      </c>
      <c r="G76" s="431"/>
      <c r="H76" s="432"/>
      <c r="I76" s="237"/>
      <c r="J76" s="431"/>
      <c r="K76" s="434" t="s">
        <v>539</v>
      </c>
      <c r="L76" s="431"/>
      <c r="M76" s="433">
        <f t="shared" ref="M76:M81" si="1">I76</f>
        <v>0</v>
      </c>
    </row>
    <row r="77" spans="1:13" s="35" customFormat="1" ht="13.5" customHeight="1" x14ac:dyDescent="0.35">
      <c r="A77" s="99"/>
      <c r="C77" s="35" t="s">
        <v>279</v>
      </c>
      <c r="F77" s="434" t="s">
        <v>99</v>
      </c>
      <c r="G77" s="431"/>
      <c r="H77" s="432"/>
      <c r="I77" s="237"/>
      <c r="J77" s="431"/>
      <c r="K77" s="434" t="s">
        <v>539</v>
      </c>
      <c r="L77" s="431"/>
      <c r="M77" s="433">
        <f t="shared" si="1"/>
        <v>0</v>
      </c>
    </row>
    <row r="78" spans="1:13" s="35" customFormat="1" ht="13.5" customHeight="1" x14ac:dyDescent="0.35">
      <c r="A78" s="99"/>
      <c r="C78" s="35" t="s">
        <v>280</v>
      </c>
      <c r="F78" s="434" t="s">
        <v>99</v>
      </c>
      <c r="G78" s="431"/>
      <c r="H78" s="432"/>
      <c r="I78" s="237"/>
      <c r="J78" s="431"/>
      <c r="K78" s="434" t="s">
        <v>539</v>
      </c>
      <c r="L78" s="431"/>
      <c r="M78" s="433">
        <f t="shared" si="1"/>
        <v>0</v>
      </c>
    </row>
    <row r="79" spans="1:13" s="35" customFormat="1" ht="13.5" customHeight="1" x14ac:dyDescent="0.35">
      <c r="A79" s="99"/>
      <c r="C79" s="35" t="s">
        <v>278</v>
      </c>
      <c r="F79" s="434" t="s">
        <v>99</v>
      </c>
      <c r="G79" s="431"/>
      <c r="H79" s="432"/>
      <c r="I79" s="237"/>
      <c r="J79" s="431"/>
      <c r="K79" s="434" t="s">
        <v>539</v>
      </c>
      <c r="L79" s="431"/>
      <c r="M79" s="433">
        <f t="shared" si="1"/>
        <v>0</v>
      </c>
    </row>
    <row r="80" spans="1:13" s="35" customFormat="1" ht="13.5" customHeight="1" x14ac:dyDescent="0.35">
      <c r="A80" s="99"/>
      <c r="C80" s="35" t="s">
        <v>263</v>
      </c>
      <c r="F80" s="434" t="s">
        <v>99</v>
      </c>
      <c r="G80" s="431"/>
      <c r="H80" s="432"/>
      <c r="I80" s="237"/>
      <c r="J80" s="431"/>
      <c r="K80" s="434" t="s">
        <v>539</v>
      </c>
      <c r="L80" s="431"/>
      <c r="M80" s="433">
        <f t="shared" si="1"/>
        <v>0</v>
      </c>
    </row>
    <row r="81" spans="1:13" s="35" customFormat="1" ht="13.5" customHeight="1" x14ac:dyDescent="0.35">
      <c r="A81" s="99"/>
      <c r="C81" s="35" t="s">
        <v>55</v>
      </c>
      <c r="F81" s="434" t="s">
        <v>99</v>
      </c>
      <c r="G81" s="431"/>
      <c r="H81" s="432"/>
      <c r="I81" s="237"/>
      <c r="J81" s="431"/>
      <c r="K81" s="434" t="s">
        <v>539</v>
      </c>
      <c r="L81" s="431"/>
      <c r="M81" s="433">
        <f t="shared" si="1"/>
        <v>0</v>
      </c>
    </row>
    <row r="82" spans="1:13" ht="38.25" customHeight="1" thickBot="1" x14ac:dyDescent="0.25">
      <c r="C82" s="460" t="s">
        <v>751</v>
      </c>
      <c r="F82" s="66">
        <f>SUM(F63:F81)</f>
        <v>0</v>
      </c>
      <c r="G82" s="45"/>
      <c r="I82" s="66">
        <f>SUM(I63:I81)</f>
        <v>0</v>
      </c>
      <c r="J82" s="45"/>
      <c r="K82" s="66">
        <f>SUM(K63:K81)</f>
        <v>0</v>
      </c>
      <c r="L82" s="364" t="s">
        <v>145</v>
      </c>
      <c r="M82" s="66">
        <f>SUM(M63:M81)</f>
        <v>0</v>
      </c>
    </row>
    <row r="83" spans="1:13" ht="17.25" thickTop="1" x14ac:dyDescent="0.35">
      <c r="C83" t="s">
        <v>359</v>
      </c>
      <c r="G83" s="45"/>
      <c r="I83" s="53" t="str">
        <f>IF(I24=M82," ","Recheck numbers in Section A or C. Entry is out of balance.")</f>
        <v xml:space="preserve"> </v>
      </c>
      <c r="J83" s="45"/>
      <c r="K83" s="45"/>
    </row>
    <row r="84" spans="1:13" ht="25.5" customHeight="1" x14ac:dyDescent="0.2">
      <c r="A84" s="4" t="s">
        <v>529</v>
      </c>
      <c r="B84" s="1120" t="s">
        <v>547</v>
      </c>
      <c r="C84" s="1121"/>
      <c r="D84" s="1121"/>
      <c r="E84" s="1121"/>
      <c r="F84" s="1121"/>
      <c r="G84" s="1121"/>
      <c r="H84" s="1121"/>
      <c r="I84" s="1121"/>
      <c r="J84" s="1121"/>
      <c r="K84" s="1121"/>
      <c r="L84" s="1121"/>
      <c r="M84" s="1122"/>
    </row>
    <row r="85" spans="1:13" ht="4.5" customHeight="1" x14ac:dyDescent="0.2">
      <c r="A85"/>
      <c r="G85"/>
    </row>
    <row r="86" spans="1:13" ht="39" customHeight="1" x14ac:dyDescent="0.2">
      <c r="A86"/>
      <c r="B86" s="4" t="s">
        <v>546</v>
      </c>
      <c r="E86" s="46" t="s">
        <v>530</v>
      </c>
      <c r="F86" s="46" t="s">
        <v>549</v>
      </c>
      <c r="G86"/>
      <c r="H86" s="295" t="s">
        <v>641</v>
      </c>
      <c r="I86" s="295" t="s">
        <v>642</v>
      </c>
      <c r="J86" s="295" t="s">
        <v>315</v>
      </c>
      <c r="K86" s="435" t="str">
        <f>C55</f>
        <v>Computer equipment</v>
      </c>
      <c r="L86" s="435" t="str">
        <f>C56</f>
        <v>Other Asset Class 1</v>
      </c>
      <c r="M86" s="56" t="s">
        <v>466</v>
      </c>
    </row>
    <row r="87" spans="1:13" ht="12.75" customHeight="1" x14ac:dyDescent="0.2">
      <c r="A87"/>
      <c r="B87" t="s">
        <v>61</v>
      </c>
      <c r="C87" s="1011" t="s">
        <v>482</v>
      </c>
      <c r="D87" s="1011"/>
      <c r="E87" s="1140"/>
      <c r="F87" s="1140"/>
      <c r="G87" s="34"/>
      <c r="H87" s="1140"/>
      <c r="I87" s="1140"/>
      <c r="J87" s="1140">
        <v>0</v>
      </c>
      <c r="K87" s="1142"/>
      <c r="L87" s="1142"/>
      <c r="M87" s="1138">
        <f>SUM(E87:L87)</f>
        <v>0</v>
      </c>
    </row>
    <row r="88" spans="1:13" ht="39.75" customHeight="1" x14ac:dyDescent="0.2">
      <c r="A88"/>
      <c r="C88" s="1011"/>
      <c r="D88" s="1011"/>
      <c r="E88" s="1141"/>
      <c r="F88" s="1141"/>
      <c r="G88" s="34"/>
      <c r="H88" s="1141"/>
      <c r="I88" s="1141"/>
      <c r="J88" s="1141"/>
      <c r="K88" s="1143"/>
      <c r="L88" s="1143"/>
      <c r="M88" s="1139"/>
    </row>
    <row r="89" spans="1:13" ht="3.75" customHeight="1" x14ac:dyDescent="0.2">
      <c r="A89"/>
      <c r="C89" s="34"/>
      <c r="D89" s="34"/>
      <c r="E89" s="34"/>
      <c r="F89" s="34"/>
      <c r="G89" s="34"/>
      <c r="H89" s="34"/>
      <c r="I89" s="34"/>
      <c r="J89" s="57"/>
      <c r="K89" s="57"/>
      <c r="L89" s="57"/>
      <c r="M89" s="11"/>
    </row>
    <row r="90" spans="1:13" ht="14.25" customHeight="1" x14ac:dyDescent="0.35">
      <c r="B90" s="38" t="s">
        <v>63</v>
      </c>
      <c r="C90" s="1015" t="s">
        <v>83</v>
      </c>
      <c r="D90" s="1015"/>
      <c r="E90" s="1015"/>
      <c r="F90" s="45"/>
      <c r="G90" s="53"/>
      <c r="H90" s="45"/>
      <c r="I90" s="45"/>
      <c r="J90" s="229"/>
      <c r="K90" s="45"/>
      <c r="L90" s="45"/>
    </row>
    <row r="91" spans="1:13" ht="4.5" customHeight="1" x14ac:dyDescent="0.35">
      <c r="F91" s="45"/>
      <c r="G91" s="53"/>
      <c r="H91" s="45"/>
      <c r="I91" s="45"/>
      <c r="J91" s="45"/>
      <c r="L91" s="383"/>
      <c r="M91" s="383"/>
    </row>
    <row r="92" spans="1:13" ht="14.25" customHeight="1" x14ac:dyDescent="0.35">
      <c r="B92" s="38" t="s">
        <v>451</v>
      </c>
      <c r="C92" s="1011" t="s">
        <v>101</v>
      </c>
      <c r="D92" s="1011"/>
      <c r="E92" s="1011"/>
      <c r="F92" s="34"/>
      <c r="G92" s="53"/>
      <c r="H92" s="45"/>
      <c r="I92" s="45"/>
      <c r="J92" s="1141"/>
      <c r="K92" s="1144" t="s">
        <v>82</v>
      </c>
      <c r="L92" s="1144"/>
      <c r="M92" s="1144"/>
    </row>
    <row r="93" spans="1:13" ht="13.5" customHeight="1" x14ac:dyDescent="0.35">
      <c r="B93" s="38"/>
      <c r="C93" s="1011"/>
      <c r="D93" s="1011"/>
      <c r="E93" s="1011"/>
      <c r="F93" s="34"/>
      <c r="G93" s="53"/>
      <c r="H93" s="45"/>
      <c r="I93" s="45"/>
      <c r="J93" s="1141"/>
      <c r="K93" s="1144"/>
      <c r="L93" s="1144"/>
      <c r="M93" s="1144"/>
    </row>
    <row r="94" spans="1:13" ht="9" customHeight="1" x14ac:dyDescent="0.2">
      <c r="F94" s="10"/>
      <c r="G94" s="45"/>
      <c r="H94" s="45"/>
      <c r="I94" s="45"/>
      <c r="J94" s="45"/>
      <c r="K94" s="1144"/>
      <c r="L94" s="1144"/>
      <c r="M94" s="1144"/>
    </row>
    <row r="95" spans="1:13" ht="4.5" customHeight="1" x14ac:dyDescent="0.2">
      <c r="F95" s="10"/>
      <c r="G95" s="45"/>
      <c r="H95" s="45"/>
      <c r="I95" s="45"/>
      <c r="J95" s="45"/>
      <c r="K95" s="384"/>
      <c r="L95" s="384"/>
      <c r="M95" s="384"/>
    </row>
    <row r="96" spans="1:13" ht="25.5" customHeight="1" x14ac:dyDescent="0.2">
      <c r="A96" s="4" t="s">
        <v>534</v>
      </c>
      <c r="B96" s="1119" t="s">
        <v>182</v>
      </c>
      <c r="C96" s="1123"/>
      <c r="D96" s="1123"/>
      <c r="E96" s="1123"/>
      <c r="F96" s="1123"/>
      <c r="G96" s="1123"/>
      <c r="H96" s="1123"/>
      <c r="I96" s="1123"/>
      <c r="J96" s="1123"/>
      <c r="K96" s="1123"/>
      <c r="L96" s="1123"/>
      <c r="M96" s="1124"/>
    </row>
    <row r="97" spans="4:13" ht="3" customHeight="1" x14ac:dyDescent="0.2"/>
    <row r="98" spans="4:13" x14ac:dyDescent="0.2">
      <c r="K98" s="46" t="s">
        <v>658</v>
      </c>
      <c r="M98" s="46" t="s">
        <v>659</v>
      </c>
    </row>
    <row r="99" spans="4:13" ht="3" customHeight="1" x14ac:dyDescent="0.2"/>
    <row r="100" spans="4:13" ht="12.75" customHeight="1" x14ac:dyDescent="0.2">
      <c r="D100" t="s">
        <v>294</v>
      </c>
      <c r="E100" s="11" t="str">
        <f t="shared" ref="E100:E107" si="2">C49</f>
        <v>Land</v>
      </c>
      <c r="K100" s="69">
        <f t="shared" ref="K100:K107" si="3">F49</f>
        <v>0</v>
      </c>
      <c r="M100" s="69"/>
    </row>
    <row r="101" spans="4:13" x14ac:dyDescent="0.2">
      <c r="E101" s="11" t="str">
        <f t="shared" si="2"/>
        <v>Construction in progress</v>
      </c>
      <c r="K101" s="69">
        <f t="shared" si="3"/>
        <v>0</v>
      </c>
      <c r="M101" s="69"/>
    </row>
    <row r="102" spans="4:13" x14ac:dyDescent="0.2">
      <c r="E102" s="11" t="str">
        <f t="shared" si="2"/>
        <v>Buildings</v>
      </c>
      <c r="K102" s="69">
        <f t="shared" si="3"/>
        <v>0</v>
      </c>
      <c r="M102" s="69"/>
    </row>
    <row r="103" spans="4:13" x14ac:dyDescent="0.2">
      <c r="E103" s="11" t="str">
        <f t="shared" si="2"/>
        <v>Library Books</v>
      </c>
      <c r="K103" s="69">
        <f t="shared" si="3"/>
        <v>0</v>
      </c>
      <c r="M103" s="69"/>
    </row>
    <row r="104" spans="4:13" x14ac:dyDescent="0.2">
      <c r="E104" s="11" t="str">
        <f t="shared" si="2"/>
        <v>Equipment and Furniture</v>
      </c>
      <c r="K104" s="69">
        <f t="shared" si="3"/>
        <v>0</v>
      </c>
      <c r="M104" s="69"/>
    </row>
    <row r="105" spans="4:13" x14ac:dyDescent="0.2">
      <c r="E105" s="11" t="str">
        <f t="shared" si="2"/>
        <v>Vehicles &amp; Motorized Equipment</v>
      </c>
      <c r="K105" s="69">
        <f t="shared" si="3"/>
        <v>0</v>
      </c>
      <c r="M105" s="69"/>
    </row>
    <row r="106" spans="4:13" x14ac:dyDescent="0.2">
      <c r="E106" s="11" t="str">
        <f t="shared" si="2"/>
        <v>Computer equipment</v>
      </c>
      <c r="K106" s="69">
        <f t="shared" si="3"/>
        <v>0</v>
      </c>
      <c r="M106" s="69"/>
    </row>
    <row r="107" spans="4:13" x14ac:dyDescent="0.2">
      <c r="E107" s="11" t="str">
        <f t="shared" si="2"/>
        <v>Other Asset Class 1</v>
      </c>
      <c r="K107" s="69">
        <f t="shared" si="3"/>
        <v>0</v>
      </c>
      <c r="M107" s="69"/>
    </row>
    <row r="108" spans="4:13" x14ac:dyDescent="0.2">
      <c r="F108" s="436" t="s">
        <v>269</v>
      </c>
      <c r="G108"/>
      <c r="H108" s="36"/>
      <c r="K108" s="69"/>
      <c r="M108" s="69">
        <f>F27</f>
        <v>0</v>
      </c>
    </row>
    <row r="109" spans="4:13" x14ac:dyDescent="0.2">
      <c r="F109" s="436" t="s">
        <v>270</v>
      </c>
      <c r="G109"/>
      <c r="H109" s="36"/>
      <c r="K109" s="69"/>
      <c r="M109" s="69">
        <f t="shared" ref="M109:M124" si="4">F28</f>
        <v>0</v>
      </c>
    </row>
    <row r="110" spans="4:13" x14ac:dyDescent="0.2">
      <c r="F110" s="436" t="s">
        <v>271</v>
      </c>
      <c r="G110"/>
      <c r="H110" s="36"/>
      <c r="K110" s="69"/>
      <c r="M110" s="69">
        <f t="shared" si="4"/>
        <v>0</v>
      </c>
    </row>
    <row r="111" spans="4:13" x14ac:dyDescent="0.2">
      <c r="F111" s="436" t="s">
        <v>272</v>
      </c>
      <c r="G111"/>
      <c r="H111" s="36"/>
      <c r="K111" s="69"/>
      <c r="M111" s="69">
        <f t="shared" si="4"/>
        <v>0</v>
      </c>
    </row>
    <row r="112" spans="4:13" x14ac:dyDescent="0.2">
      <c r="F112" s="436" t="s">
        <v>273</v>
      </c>
      <c r="G112"/>
      <c r="H112" s="36"/>
      <c r="K112" s="69"/>
      <c r="M112" s="69">
        <f t="shared" si="4"/>
        <v>0</v>
      </c>
    </row>
    <row r="113" spans="6:13" x14ac:dyDescent="0.2">
      <c r="F113" s="436" t="s">
        <v>274</v>
      </c>
      <c r="G113"/>
      <c r="H113" s="36"/>
      <c r="K113" s="69"/>
      <c r="M113" s="69">
        <f t="shared" si="4"/>
        <v>0</v>
      </c>
    </row>
    <row r="114" spans="6:13" x14ac:dyDescent="0.2">
      <c r="F114" s="436" t="s">
        <v>275</v>
      </c>
      <c r="G114"/>
      <c r="H114" s="36"/>
      <c r="K114" s="69"/>
      <c r="M114" s="69">
        <f t="shared" si="4"/>
        <v>0</v>
      </c>
    </row>
    <row r="115" spans="6:13" x14ac:dyDescent="0.2">
      <c r="F115" s="436" t="s">
        <v>387</v>
      </c>
      <c r="G115"/>
      <c r="H115" s="36"/>
      <c r="K115" s="69"/>
      <c r="M115" s="69">
        <f t="shared" si="4"/>
        <v>0</v>
      </c>
    </row>
    <row r="116" spans="6:13" x14ac:dyDescent="0.2">
      <c r="F116" s="436" t="s">
        <v>276</v>
      </c>
      <c r="G116"/>
      <c r="H116" s="36"/>
      <c r="K116" s="69"/>
      <c r="M116" s="69">
        <f t="shared" si="4"/>
        <v>0</v>
      </c>
    </row>
    <row r="117" spans="6:13" x14ac:dyDescent="0.2">
      <c r="F117" s="436" t="s">
        <v>243</v>
      </c>
      <c r="G117"/>
      <c r="H117" s="36"/>
      <c r="K117" s="69"/>
      <c r="M117" s="69">
        <f t="shared" si="4"/>
        <v>0</v>
      </c>
    </row>
    <row r="118" spans="6:13" x14ac:dyDescent="0.2">
      <c r="F118" s="436" t="s">
        <v>244</v>
      </c>
      <c r="G118"/>
      <c r="H118" s="36"/>
      <c r="K118" s="69"/>
      <c r="M118" s="69">
        <f t="shared" si="4"/>
        <v>0</v>
      </c>
    </row>
    <row r="119" spans="6:13" x14ac:dyDescent="0.2">
      <c r="F119" s="436" t="s">
        <v>277</v>
      </c>
      <c r="G119"/>
      <c r="H119" s="36"/>
      <c r="K119" s="69"/>
      <c r="M119" s="69">
        <f t="shared" si="4"/>
        <v>0</v>
      </c>
    </row>
    <row r="120" spans="6:13" x14ac:dyDescent="0.2">
      <c r="F120" s="436" t="s">
        <v>279</v>
      </c>
      <c r="G120"/>
      <c r="H120" s="36"/>
      <c r="K120" s="69"/>
      <c r="M120" s="69">
        <f t="shared" si="4"/>
        <v>0</v>
      </c>
    </row>
    <row r="121" spans="6:13" x14ac:dyDescent="0.2">
      <c r="F121" s="436" t="s">
        <v>280</v>
      </c>
      <c r="G121"/>
      <c r="H121" s="36"/>
      <c r="K121" s="69"/>
      <c r="M121" s="69">
        <f t="shared" si="4"/>
        <v>0</v>
      </c>
    </row>
    <row r="122" spans="6:13" x14ac:dyDescent="0.2">
      <c r="F122" s="436" t="s">
        <v>278</v>
      </c>
      <c r="G122"/>
      <c r="H122" s="36"/>
      <c r="K122" s="69"/>
      <c r="M122" s="69">
        <f t="shared" si="4"/>
        <v>0</v>
      </c>
    </row>
    <row r="123" spans="6:13" x14ac:dyDescent="0.2">
      <c r="F123" s="436" t="s">
        <v>263</v>
      </c>
      <c r="G123"/>
      <c r="H123" s="36"/>
      <c r="K123" s="69"/>
      <c r="M123" s="69">
        <f t="shared" si="4"/>
        <v>0</v>
      </c>
    </row>
    <row r="124" spans="6:13" x14ac:dyDescent="0.2">
      <c r="F124" s="436" t="s">
        <v>55</v>
      </c>
      <c r="G124"/>
      <c r="H124" s="36"/>
      <c r="K124" s="69"/>
      <c r="M124" s="69">
        <f t="shared" si="4"/>
        <v>0</v>
      </c>
    </row>
    <row r="125" spans="6:13" x14ac:dyDescent="0.2">
      <c r="F125" s="436" t="s">
        <v>300</v>
      </c>
      <c r="K125" s="69"/>
      <c r="M125" s="69">
        <f>F20</f>
        <v>0</v>
      </c>
    </row>
    <row r="126" spans="6:13" x14ac:dyDescent="0.2">
      <c r="F126" s="436" t="s">
        <v>301</v>
      </c>
      <c r="K126" s="69"/>
      <c r="M126" s="69">
        <f>F21</f>
        <v>0</v>
      </c>
    </row>
    <row r="127" spans="6:13" x14ac:dyDescent="0.2">
      <c r="F127" s="436" t="s">
        <v>302</v>
      </c>
      <c r="K127" s="69"/>
      <c r="M127" s="69">
        <f>F22</f>
        <v>0</v>
      </c>
    </row>
    <row r="128" spans="6:13" ht="13.5" thickBot="1" x14ac:dyDescent="0.25">
      <c r="F128" s="436"/>
      <c r="K128" s="62">
        <f>SUM(K100:K127)</f>
        <v>0</v>
      </c>
      <c r="M128" s="62">
        <f>SUM(M100:M127)</f>
        <v>0</v>
      </c>
    </row>
    <row r="129" spans="4:13" ht="13.5" thickTop="1" x14ac:dyDescent="0.2"/>
    <row r="130" spans="4:13" x14ac:dyDescent="0.2">
      <c r="D130" t="s">
        <v>295</v>
      </c>
      <c r="E130" t="s">
        <v>560</v>
      </c>
      <c r="K130" s="64">
        <f>M63</f>
        <v>0</v>
      </c>
      <c r="M130" s="65"/>
    </row>
    <row r="131" spans="4:13" x14ac:dyDescent="0.2">
      <c r="E131" t="s">
        <v>331</v>
      </c>
      <c r="K131" s="64">
        <f>M64</f>
        <v>0</v>
      </c>
      <c r="M131" s="65"/>
    </row>
    <row r="132" spans="4:13" x14ac:dyDescent="0.2">
      <c r="E132" s="436" t="s">
        <v>269</v>
      </c>
      <c r="K132" s="64">
        <f t="shared" ref="K132:K148" si="5">M65</f>
        <v>0</v>
      </c>
      <c r="M132" s="65"/>
    </row>
    <row r="133" spans="4:13" x14ac:dyDescent="0.2">
      <c r="E133" s="436" t="s">
        <v>270</v>
      </c>
      <c r="K133" s="64">
        <f t="shared" si="5"/>
        <v>0</v>
      </c>
      <c r="M133" s="65"/>
    </row>
    <row r="134" spans="4:13" x14ac:dyDescent="0.2">
      <c r="E134" s="436" t="s">
        <v>271</v>
      </c>
      <c r="K134" s="64">
        <f t="shared" si="5"/>
        <v>0</v>
      </c>
      <c r="M134" s="65"/>
    </row>
    <row r="135" spans="4:13" x14ac:dyDescent="0.2">
      <c r="E135" s="436" t="s">
        <v>272</v>
      </c>
      <c r="K135" s="64">
        <f t="shared" si="5"/>
        <v>0</v>
      </c>
      <c r="M135" s="65"/>
    </row>
    <row r="136" spans="4:13" x14ac:dyDescent="0.2">
      <c r="E136" s="436" t="s">
        <v>273</v>
      </c>
      <c r="K136" s="64">
        <f t="shared" si="5"/>
        <v>0</v>
      </c>
      <c r="M136" s="65"/>
    </row>
    <row r="137" spans="4:13" x14ac:dyDescent="0.2">
      <c r="E137" s="436" t="s">
        <v>274</v>
      </c>
      <c r="K137" s="64">
        <f t="shared" si="5"/>
        <v>0</v>
      </c>
      <c r="M137" s="65"/>
    </row>
    <row r="138" spans="4:13" x14ac:dyDescent="0.2">
      <c r="E138" s="436" t="s">
        <v>275</v>
      </c>
      <c r="K138" s="64">
        <f t="shared" si="5"/>
        <v>0</v>
      </c>
      <c r="M138" s="65"/>
    </row>
    <row r="139" spans="4:13" x14ac:dyDescent="0.2">
      <c r="E139" s="436" t="s">
        <v>387</v>
      </c>
      <c r="K139" s="64">
        <f t="shared" si="5"/>
        <v>0</v>
      </c>
      <c r="M139" s="65"/>
    </row>
    <row r="140" spans="4:13" x14ac:dyDescent="0.2">
      <c r="E140" s="436" t="s">
        <v>276</v>
      </c>
      <c r="K140" s="64">
        <f t="shared" si="5"/>
        <v>0</v>
      </c>
      <c r="M140" s="65"/>
    </row>
    <row r="141" spans="4:13" x14ac:dyDescent="0.2">
      <c r="E141" s="436" t="s">
        <v>243</v>
      </c>
      <c r="K141" s="64">
        <f t="shared" si="5"/>
        <v>0</v>
      </c>
      <c r="M141" s="65"/>
    </row>
    <row r="142" spans="4:13" x14ac:dyDescent="0.2">
      <c r="E142" s="436" t="s">
        <v>244</v>
      </c>
      <c r="K142" s="64">
        <f t="shared" si="5"/>
        <v>0</v>
      </c>
      <c r="M142" s="65"/>
    </row>
    <row r="143" spans="4:13" x14ac:dyDescent="0.2">
      <c r="E143" s="436" t="s">
        <v>277</v>
      </c>
      <c r="K143" s="64">
        <f t="shared" si="5"/>
        <v>0</v>
      </c>
      <c r="M143" s="65"/>
    </row>
    <row r="144" spans="4:13" x14ac:dyDescent="0.2">
      <c r="E144" s="436" t="s">
        <v>279</v>
      </c>
      <c r="K144" s="64">
        <f t="shared" si="5"/>
        <v>0</v>
      </c>
      <c r="M144" s="65"/>
    </row>
    <row r="145" spans="4:13" x14ac:dyDescent="0.2">
      <c r="E145" s="436" t="s">
        <v>280</v>
      </c>
      <c r="K145" s="64">
        <f t="shared" si="5"/>
        <v>0</v>
      </c>
      <c r="M145" s="65"/>
    </row>
    <row r="146" spans="4:13" x14ac:dyDescent="0.2">
      <c r="E146" s="436" t="s">
        <v>278</v>
      </c>
      <c r="K146" s="64">
        <f t="shared" si="5"/>
        <v>0</v>
      </c>
      <c r="M146" s="65"/>
    </row>
    <row r="147" spans="4:13" x14ac:dyDescent="0.2">
      <c r="E147" s="436" t="s">
        <v>263</v>
      </c>
      <c r="K147" s="64">
        <f t="shared" si="5"/>
        <v>0</v>
      </c>
      <c r="M147" s="65"/>
    </row>
    <row r="148" spans="4:13" x14ac:dyDescent="0.2">
      <c r="E148" s="436" t="s">
        <v>55</v>
      </c>
      <c r="K148" s="64">
        <f t="shared" si="5"/>
        <v>0</v>
      </c>
      <c r="M148" s="65"/>
    </row>
    <row r="149" spans="4:13" x14ac:dyDescent="0.2">
      <c r="E149" s="360" t="s">
        <v>77</v>
      </c>
      <c r="K149" s="65"/>
      <c r="M149" s="64">
        <f>I20</f>
        <v>0</v>
      </c>
    </row>
    <row r="150" spans="4:13" x14ac:dyDescent="0.2">
      <c r="E150" s="360" t="s">
        <v>75</v>
      </c>
      <c r="K150" s="65"/>
      <c r="M150" s="64">
        <f>I21</f>
        <v>0</v>
      </c>
    </row>
    <row r="151" spans="4:13" x14ac:dyDescent="0.2">
      <c r="E151" s="360" t="s">
        <v>76</v>
      </c>
      <c r="K151" s="65"/>
      <c r="M151" s="64">
        <f>I22</f>
        <v>0</v>
      </c>
    </row>
    <row r="152" spans="4:13" ht="13.5" thickBot="1" x14ac:dyDescent="0.25">
      <c r="K152" s="66">
        <f>SUM(K130:K151)</f>
        <v>0</v>
      </c>
      <c r="M152" s="66">
        <f>SUM(M130:M151)</f>
        <v>0</v>
      </c>
    </row>
    <row r="153" spans="4:13" ht="13.5" thickTop="1" x14ac:dyDescent="0.2"/>
    <row r="154" spans="4:13" x14ac:dyDescent="0.2">
      <c r="D154" t="s">
        <v>327</v>
      </c>
      <c r="E154" s="11" t="str">
        <f>E86</f>
        <v>Land</v>
      </c>
      <c r="K154" s="64">
        <f>E87</f>
        <v>0</v>
      </c>
      <c r="M154" s="65"/>
    </row>
    <row r="155" spans="4:13" x14ac:dyDescent="0.2">
      <c r="E155" s="11" t="str">
        <f>F86</f>
        <v>Building</v>
      </c>
      <c r="K155" s="64">
        <f>F87</f>
        <v>0</v>
      </c>
      <c r="M155" s="65"/>
    </row>
    <row r="156" spans="4:13" x14ac:dyDescent="0.2">
      <c r="E156" s="11" t="str">
        <f>H86</f>
        <v>Equipment and Furniture</v>
      </c>
      <c r="K156" s="64">
        <f>H87</f>
        <v>0</v>
      </c>
      <c r="M156" s="65"/>
    </row>
    <row r="157" spans="4:13" x14ac:dyDescent="0.2">
      <c r="E157" s="11" t="str">
        <f>I86</f>
        <v>Library Books</v>
      </c>
      <c r="K157" s="64">
        <f>I87</f>
        <v>0</v>
      </c>
      <c r="M157" s="65"/>
    </row>
    <row r="158" spans="4:13" x14ac:dyDescent="0.2">
      <c r="E158" s="11" t="str">
        <f>J86</f>
        <v>Vehicles and Mot. Equip</v>
      </c>
      <c r="K158" s="64">
        <f>J87</f>
        <v>0</v>
      </c>
      <c r="M158" s="65"/>
    </row>
    <row r="159" spans="4:13" x14ac:dyDescent="0.2">
      <c r="E159" s="322" t="str">
        <f>K86</f>
        <v>Computer equipment</v>
      </c>
      <c r="K159" s="69">
        <f>K87</f>
        <v>0</v>
      </c>
      <c r="M159" s="65"/>
    </row>
    <row r="160" spans="4:13" x14ac:dyDescent="0.2">
      <c r="E160" s="322" t="str">
        <f>L86</f>
        <v>Other Asset Class 1</v>
      </c>
      <c r="K160" s="69">
        <f>L87</f>
        <v>0</v>
      </c>
      <c r="M160" s="64"/>
    </row>
    <row r="161" spans="5:13" x14ac:dyDescent="0.2">
      <c r="E161" s="360" t="s">
        <v>164</v>
      </c>
      <c r="K161" s="65"/>
      <c r="M161" s="64">
        <f>M87-(+J90+J92)</f>
        <v>0</v>
      </c>
    </row>
    <row r="162" spans="5:13" x14ac:dyDescent="0.2">
      <c r="E162" s="360" t="s">
        <v>136</v>
      </c>
      <c r="K162" s="65"/>
      <c r="M162" s="64">
        <f>J90</f>
        <v>0</v>
      </c>
    </row>
    <row r="163" spans="5:13" x14ac:dyDescent="0.2">
      <c r="E163" s="360" t="s">
        <v>30</v>
      </c>
      <c r="K163" s="65"/>
      <c r="M163" s="64">
        <f>J92</f>
        <v>0</v>
      </c>
    </row>
    <row r="164" spans="5:13" ht="13.5" thickBot="1" x14ac:dyDescent="0.25">
      <c r="K164" s="66">
        <f>SUM(K154:K161)</f>
        <v>0</v>
      </c>
      <c r="M164" s="66">
        <f>SUM(M154:M163)</f>
        <v>0</v>
      </c>
    </row>
    <row r="165" spans="5:13" ht="13.5" thickTop="1" x14ac:dyDescent="0.2"/>
  </sheetData>
  <sheetProtection algorithmName="SHA-512" hashValue="zjP1YpHZOSN9n4beSKpv5WBcdmPWIDtEfv4RgXkyrnOhyaQwXdyaXRbHJKjJ/iIvrpgqRKHW78lqlVZkmSw4HA==" saltValue="yIh4b84Gn3KJSBI6EuiG1Q==" spinCount="100000" sheet="1" objects="1" scenarios="1"/>
  <mergeCells count="26">
    <mergeCell ref="B96:M96"/>
    <mergeCell ref="B84:M84"/>
    <mergeCell ref="I51:M53"/>
    <mergeCell ref="M87:M88"/>
    <mergeCell ref="C90:E90"/>
    <mergeCell ref="C92:E93"/>
    <mergeCell ref="H87:H88"/>
    <mergeCell ref="I87:I88"/>
    <mergeCell ref="J87:J88"/>
    <mergeCell ref="K87:K88"/>
    <mergeCell ref="K92:M94"/>
    <mergeCell ref="C87:D88"/>
    <mergeCell ref="J92:J93"/>
    <mergeCell ref="E87:E88"/>
    <mergeCell ref="F87:F88"/>
    <mergeCell ref="L87:L88"/>
    <mergeCell ref="A1:M1"/>
    <mergeCell ref="B16:M16"/>
    <mergeCell ref="B46:M46"/>
    <mergeCell ref="B59:M61"/>
    <mergeCell ref="C7:M8"/>
    <mergeCell ref="B3:M3"/>
    <mergeCell ref="B5:M5"/>
    <mergeCell ref="C12:M14"/>
    <mergeCell ref="C10:M10"/>
    <mergeCell ref="H56:I57"/>
  </mergeCells>
  <phoneticPr fontId="0" type="noConversion"/>
  <printOptions horizontalCentered="1"/>
  <pageMargins left="0.36" right="0.37" top="0.65" bottom="0.5" header="0.5" footer="0.5"/>
  <pageSetup scale="60" fitToHeight="0" orientation="portrait" r:id="rId1"/>
  <headerFooter alignWithMargins="0">
    <oddHeader>&amp;R&amp;"Arial,Bold"&amp;12Entry C</oddHeader>
    <oddFooter>&amp;R&amp;P</oddFooter>
  </headerFooter>
  <rowBreaks count="1" manualBreakCount="1">
    <brk id="82" max="1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293"/>
  <sheetViews>
    <sheetView topLeftCell="A259" workbookViewId="0">
      <selection activeCell="A11" sqref="A11"/>
    </sheetView>
  </sheetViews>
  <sheetFormatPr defaultRowHeight="12.75" x14ac:dyDescent="0.2"/>
  <cols>
    <col min="1" max="1" width="3.140625" customWidth="1"/>
    <col min="2" max="2" width="2.42578125" customWidth="1"/>
    <col min="3" max="3" width="3.5703125" customWidth="1"/>
    <col min="5" max="5" width="3.28515625" customWidth="1"/>
    <col min="6" max="6" width="11.28515625" customWidth="1"/>
    <col min="7" max="7" width="10" bestFit="1" customWidth="1"/>
    <col min="8" max="9" width="10" customWidth="1"/>
    <col min="10" max="10" width="7.5703125" customWidth="1"/>
    <col min="11" max="11" width="7" customWidth="1"/>
    <col min="12" max="12" width="11.7109375" customWidth="1"/>
    <col min="13" max="13" width="13.140625" customWidth="1"/>
    <col min="14" max="14" width="1.28515625" customWidth="1"/>
    <col min="15" max="15" width="13.85546875" customWidth="1"/>
    <col min="16" max="16" width="14" customWidth="1"/>
    <col min="17" max="17" width="14.28515625" bestFit="1" customWidth="1"/>
    <col min="18" max="19" width="14.5703125" bestFit="1" customWidth="1"/>
    <col min="20" max="20" width="13.28515625" bestFit="1" customWidth="1"/>
    <col min="21" max="22" width="13.28515625" customWidth="1"/>
    <col min="23" max="23" width="2.85546875" customWidth="1"/>
    <col min="24" max="25" width="10.28515625" style="11" bestFit="1" customWidth="1"/>
    <col min="26" max="26" width="11.85546875" customWidth="1"/>
    <col min="27" max="27" width="12.140625" customWidth="1"/>
  </cols>
  <sheetData>
    <row r="1" spans="1:20" ht="29.25" customHeight="1" x14ac:dyDescent="0.25">
      <c r="A1" s="1107" t="s">
        <v>330</v>
      </c>
      <c r="B1" s="1108"/>
      <c r="C1" s="1108"/>
      <c r="D1" s="1108"/>
      <c r="E1" s="1108"/>
      <c r="F1" s="1108"/>
      <c r="G1" s="1108"/>
      <c r="H1" s="1108"/>
      <c r="I1" s="1108"/>
      <c r="J1" s="1108"/>
      <c r="K1" s="1108"/>
      <c r="L1" s="1108"/>
      <c r="M1" s="1108"/>
      <c r="N1" s="1108"/>
      <c r="O1" s="1108"/>
      <c r="P1" s="1108"/>
      <c r="Q1" s="1108"/>
      <c r="R1" s="1108"/>
      <c r="S1" s="1108"/>
      <c r="T1" s="1109"/>
    </row>
    <row r="2" spans="1:20" ht="3" customHeight="1" x14ac:dyDescent="0.2">
      <c r="B2" s="1147"/>
      <c r="C2" s="1147"/>
      <c r="D2" s="1147"/>
      <c r="E2" s="1147"/>
      <c r="F2" s="1147"/>
      <c r="G2" s="1147"/>
      <c r="H2" s="1147"/>
      <c r="I2" s="1147"/>
      <c r="J2" s="1147"/>
      <c r="K2" s="1147"/>
      <c r="L2" s="1147"/>
      <c r="M2" s="1147"/>
      <c r="N2" s="1147"/>
    </row>
    <row r="3" spans="1:20" ht="51" customHeight="1" x14ac:dyDescent="0.2">
      <c r="B3" s="1011" t="s">
        <v>426</v>
      </c>
      <c r="C3" s="1011"/>
      <c r="D3" s="1011"/>
      <c r="E3" s="1011"/>
      <c r="F3" s="1011"/>
      <c r="G3" s="1011"/>
      <c r="H3" s="1011"/>
      <c r="I3" s="1011"/>
      <c r="J3" s="1011"/>
      <c r="K3" s="1011"/>
      <c r="L3" s="1011"/>
      <c r="M3" s="1011"/>
      <c r="N3" s="1011"/>
      <c r="O3" s="1011"/>
      <c r="P3" s="1011"/>
      <c r="Q3" s="1011"/>
      <c r="R3" s="1011"/>
      <c r="S3" s="1011"/>
      <c r="T3" s="1011"/>
    </row>
    <row r="4" spans="1:20" ht="3.75" customHeight="1" x14ac:dyDescent="0.2">
      <c r="J4" s="2"/>
      <c r="K4" s="2"/>
    </row>
    <row r="5" spans="1:20" ht="14.25" customHeight="1" x14ac:dyDescent="0.2">
      <c r="A5" s="4"/>
      <c r="B5" s="38" t="s">
        <v>662</v>
      </c>
      <c r="C5" s="1011" t="s">
        <v>298</v>
      </c>
      <c r="D5" s="1011"/>
      <c r="E5" s="1011"/>
      <c r="F5" s="1011"/>
      <c r="G5" s="1011"/>
      <c r="H5" s="1011"/>
      <c r="I5" s="1011"/>
      <c r="J5" s="1011"/>
      <c r="K5" s="1011"/>
      <c r="L5" s="1011"/>
      <c r="M5" s="1011"/>
      <c r="N5" s="1011"/>
      <c r="O5" s="1011"/>
      <c r="P5" s="1011"/>
      <c r="Q5" s="1011"/>
      <c r="R5" s="1011"/>
      <c r="S5" s="1011"/>
      <c r="T5" s="1011"/>
    </row>
    <row r="6" spans="1:20" ht="25.5" customHeight="1" x14ac:dyDescent="0.2">
      <c r="A6" s="4"/>
      <c r="B6" s="38"/>
      <c r="C6" s="1011"/>
      <c r="D6" s="1011"/>
      <c r="E6" s="1011"/>
      <c r="F6" s="1011"/>
      <c r="G6" s="1011"/>
      <c r="H6" s="1011"/>
      <c r="I6" s="1011"/>
      <c r="J6" s="1011"/>
      <c r="K6" s="1011"/>
      <c r="L6" s="1011"/>
      <c r="M6" s="1011"/>
      <c r="N6" s="1011"/>
      <c r="O6" s="1011"/>
      <c r="P6" s="1011"/>
      <c r="Q6" s="1011"/>
      <c r="R6" s="1011"/>
      <c r="S6" s="1011"/>
      <c r="T6" s="1011"/>
    </row>
    <row r="7" spans="1:20" ht="4.5" customHeight="1" x14ac:dyDescent="0.2">
      <c r="A7" s="4"/>
    </row>
    <row r="8" spans="1:20" ht="12.75" customHeight="1" x14ac:dyDescent="0.2">
      <c r="A8" s="4"/>
      <c r="B8" s="38" t="s">
        <v>663</v>
      </c>
      <c r="C8" s="1011" t="s">
        <v>378</v>
      </c>
      <c r="D8" s="1011"/>
      <c r="E8" s="1011"/>
      <c r="F8" s="1011"/>
      <c r="G8" s="1011"/>
      <c r="H8" s="1011"/>
      <c r="I8" s="1011"/>
      <c r="J8" s="1011"/>
      <c r="K8" s="1011"/>
      <c r="L8" s="1011"/>
      <c r="M8" s="1011"/>
      <c r="N8" s="1011"/>
      <c r="O8" s="1011"/>
      <c r="P8" s="1011"/>
      <c r="Q8" s="1011"/>
      <c r="R8" s="1011"/>
      <c r="S8" s="1011"/>
      <c r="T8" s="1011"/>
    </row>
    <row r="9" spans="1:20" ht="24.75" customHeight="1" x14ac:dyDescent="0.2">
      <c r="A9" s="4"/>
      <c r="B9" s="38"/>
      <c r="C9" s="1011"/>
      <c r="D9" s="1011"/>
      <c r="E9" s="1011"/>
      <c r="F9" s="1011"/>
      <c r="G9" s="1011"/>
      <c r="H9" s="1011"/>
      <c r="I9" s="1011"/>
      <c r="J9" s="1011"/>
      <c r="K9" s="1011"/>
      <c r="L9" s="1011"/>
      <c r="M9" s="1011"/>
      <c r="N9" s="1011"/>
      <c r="O9" s="1011"/>
      <c r="P9" s="1011"/>
      <c r="Q9" s="1011"/>
      <c r="R9" s="1011"/>
      <c r="S9" s="1011"/>
      <c r="T9" s="1011"/>
    </row>
    <row r="10" spans="1:20" ht="4.5" customHeight="1" x14ac:dyDescent="0.2">
      <c r="A10" s="4"/>
    </row>
    <row r="11" spans="1:20" ht="27.75" customHeight="1" x14ac:dyDescent="0.2">
      <c r="A11" s="4"/>
      <c r="B11" s="38" t="s">
        <v>664</v>
      </c>
      <c r="C11" s="1147" t="s">
        <v>299</v>
      </c>
      <c r="D11" s="1147"/>
      <c r="E11" s="1147"/>
      <c r="F11" s="1147"/>
      <c r="G11" s="1147"/>
      <c r="H11" s="1147"/>
      <c r="I11" s="1147"/>
      <c r="J11" s="1147"/>
      <c r="K11" s="1147"/>
      <c r="L11" s="1147"/>
      <c r="M11" s="1147"/>
      <c r="N11" s="1147"/>
      <c r="O11" s="1147"/>
      <c r="P11" s="1147"/>
      <c r="Q11" s="1147"/>
      <c r="R11" s="1147"/>
      <c r="S11" s="1147"/>
      <c r="T11" s="1147"/>
    </row>
    <row r="12" spans="1:20" ht="36.75" customHeight="1" x14ac:dyDescent="0.2">
      <c r="A12" s="4"/>
      <c r="B12" s="38"/>
      <c r="C12" s="1147"/>
      <c r="D12" s="1147"/>
      <c r="E12" s="1147"/>
      <c r="F12" s="1147"/>
      <c r="G12" s="1147"/>
      <c r="H12" s="1147"/>
      <c r="I12" s="1147"/>
      <c r="J12" s="1147"/>
      <c r="K12" s="1147"/>
      <c r="L12" s="1147"/>
      <c r="M12" s="1147"/>
      <c r="N12" s="1147"/>
      <c r="O12" s="1147"/>
      <c r="P12" s="1147"/>
      <c r="Q12" s="1147"/>
      <c r="R12" s="1147"/>
      <c r="S12" s="1147"/>
      <c r="T12" s="1147"/>
    </row>
    <row r="13" spans="1:20" ht="4.5" customHeight="1" x14ac:dyDescent="0.2">
      <c r="A13" s="4"/>
      <c r="C13" s="11"/>
      <c r="D13" s="11"/>
      <c r="E13" s="11"/>
      <c r="F13" s="11"/>
      <c r="G13" s="11"/>
      <c r="H13" s="11"/>
      <c r="I13" s="11"/>
      <c r="J13" s="11"/>
      <c r="K13" s="11"/>
      <c r="L13" s="11"/>
      <c r="M13" s="11"/>
      <c r="N13" s="11"/>
      <c r="O13" s="11"/>
    </row>
    <row r="14" spans="1:20" x14ac:dyDescent="0.2">
      <c r="A14" s="4"/>
      <c r="B14" s="38" t="s">
        <v>343</v>
      </c>
      <c r="C14" s="1147" t="s">
        <v>84</v>
      </c>
      <c r="D14" s="1147"/>
      <c r="E14" s="1147"/>
      <c r="F14" s="1147"/>
      <c r="G14" s="1147"/>
      <c r="H14" s="1147"/>
      <c r="I14" s="1147"/>
      <c r="J14" s="1147"/>
      <c r="K14" s="1147"/>
      <c r="L14" s="1147"/>
      <c r="M14" s="1147"/>
      <c r="N14" s="1147"/>
      <c r="O14" s="1147"/>
      <c r="P14" s="1147"/>
      <c r="Q14" s="1147"/>
      <c r="R14" s="1147"/>
      <c r="S14" s="1147"/>
      <c r="T14" s="1147"/>
    </row>
    <row r="15" spans="1:20" ht="5.25" customHeight="1" x14ac:dyDescent="0.2">
      <c r="A15" s="4"/>
      <c r="C15" s="52"/>
      <c r="D15" s="52"/>
      <c r="E15" s="52"/>
      <c r="F15" s="52"/>
      <c r="G15" s="52"/>
      <c r="H15" s="52"/>
      <c r="I15" s="52"/>
      <c r="J15" s="52"/>
      <c r="K15" s="52"/>
      <c r="L15" s="52"/>
      <c r="M15" s="52"/>
      <c r="N15" s="52"/>
      <c r="O15" s="52"/>
      <c r="P15" s="52"/>
      <c r="Q15" s="35"/>
      <c r="R15" s="35"/>
      <c r="S15" s="35"/>
    </row>
    <row r="16" spans="1:20" ht="12.75" customHeight="1" x14ac:dyDescent="0.2">
      <c r="A16" s="4"/>
      <c r="B16" s="38" t="s">
        <v>344</v>
      </c>
      <c r="C16" s="1011" t="s">
        <v>619</v>
      </c>
      <c r="D16" s="1011"/>
      <c r="E16" s="1011"/>
      <c r="F16" s="1011"/>
      <c r="G16" s="1011"/>
      <c r="H16" s="1011"/>
      <c r="I16" s="1011"/>
      <c r="J16" s="1011"/>
      <c r="K16" s="1011"/>
      <c r="L16" s="1011"/>
      <c r="M16" s="1011"/>
      <c r="N16" s="1011"/>
      <c r="O16" s="1011"/>
      <c r="P16" s="1011"/>
      <c r="Q16" s="1011"/>
      <c r="R16" s="1011"/>
      <c r="S16" s="1011"/>
      <c r="T16" s="1011"/>
    </row>
    <row r="17" spans="1:20" ht="5.25" customHeight="1" x14ac:dyDescent="0.2">
      <c r="A17" s="4"/>
      <c r="C17" s="52"/>
      <c r="D17" s="52"/>
      <c r="E17" s="52"/>
      <c r="F17" s="52"/>
      <c r="G17" s="52"/>
      <c r="H17" s="52"/>
      <c r="I17" s="52"/>
      <c r="J17" s="52"/>
      <c r="K17" s="52"/>
      <c r="L17" s="52"/>
      <c r="M17" s="52"/>
      <c r="N17" s="52"/>
      <c r="O17" s="52"/>
      <c r="P17" s="52"/>
      <c r="Q17" s="35"/>
      <c r="R17" s="35"/>
      <c r="S17" s="35"/>
    </row>
    <row r="18" spans="1:20" ht="12.75" customHeight="1" x14ac:dyDescent="0.2">
      <c r="A18" s="4"/>
      <c r="B18" s="38" t="s">
        <v>186</v>
      </c>
      <c r="C18" s="1011" t="s">
        <v>476</v>
      </c>
      <c r="D18" s="1011"/>
      <c r="E18" s="1011"/>
      <c r="F18" s="1011"/>
      <c r="G18" s="1011"/>
      <c r="H18" s="1011"/>
      <c r="I18" s="1011"/>
      <c r="J18" s="1011"/>
      <c r="K18" s="1011"/>
      <c r="L18" s="1011"/>
      <c r="M18" s="1011"/>
      <c r="N18" s="1011"/>
      <c r="O18" s="1011"/>
      <c r="P18" s="1011"/>
      <c r="Q18" s="1011"/>
      <c r="R18" s="1011"/>
      <c r="S18" s="1011"/>
      <c r="T18" s="1011"/>
    </row>
    <row r="19" spans="1:20" ht="14.25" customHeight="1" x14ac:dyDescent="0.2">
      <c r="A19" s="4"/>
      <c r="B19" s="38"/>
      <c r="C19" s="1011"/>
      <c r="D19" s="1011"/>
      <c r="E19" s="1011"/>
      <c r="F19" s="1011"/>
      <c r="G19" s="1011"/>
      <c r="H19" s="1011"/>
      <c r="I19" s="1011"/>
      <c r="J19" s="1011"/>
      <c r="K19" s="1011"/>
      <c r="L19" s="1011"/>
      <c r="M19" s="1011"/>
      <c r="N19" s="1011"/>
      <c r="O19" s="1011"/>
      <c r="P19" s="1011"/>
      <c r="Q19" s="1011"/>
      <c r="R19" s="1011"/>
      <c r="S19" s="1011"/>
      <c r="T19" s="1011"/>
    </row>
    <row r="20" spans="1:20" ht="5.25" customHeight="1" x14ac:dyDescent="0.2">
      <c r="A20" s="4"/>
    </row>
    <row r="21" spans="1:20" ht="25.5" customHeight="1" x14ac:dyDescent="0.2">
      <c r="A21" s="4" t="s">
        <v>341</v>
      </c>
      <c r="B21" s="1120" t="s">
        <v>590</v>
      </c>
      <c r="C21" s="1121"/>
      <c r="D21" s="1121"/>
      <c r="E21" s="1121"/>
      <c r="F21" s="1121"/>
      <c r="G21" s="1121"/>
      <c r="H21" s="1121"/>
      <c r="I21" s="1121"/>
      <c r="J21" s="1121"/>
      <c r="K21" s="1121"/>
      <c r="L21" s="1121"/>
      <c r="M21" s="1121"/>
      <c r="N21" s="1121"/>
      <c r="O21" s="1121"/>
      <c r="P21" s="1121"/>
      <c r="Q21" s="1121"/>
      <c r="R21" s="1121"/>
      <c r="S21" s="1121"/>
      <c r="T21" s="1122"/>
    </row>
    <row r="22" spans="1:20" ht="2.25" customHeight="1" x14ac:dyDescent="0.2">
      <c r="A22" s="4"/>
      <c r="L22" s="50"/>
      <c r="M22" s="50"/>
      <c r="N22" s="50"/>
      <c r="O22" s="1163" t="str">
        <f>'Conversion Worksheet'!C34</f>
        <v>Equipment and Furniture</v>
      </c>
      <c r="P22" s="1164" t="str">
        <f>'Conversion Worksheet'!C44</f>
        <v>Library Books</v>
      </c>
      <c r="Q22" s="1164" t="str">
        <f>'Conversion Worksheet'!C39</f>
        <v>Vehicles &amp; Motorized Equipment</v>
      </c>
      <c r="R22" s="1161" t="str">
        <f>'Conversion Worksheet'!C49</f>
        <v>Computer equipment</v>
      </c>
      <c r="S22" s="1162" t="str">
        <f>'Conversion Worksheet'!C54</f>
        <v>Other Asset Class 1</v>
      </c>
    </row>
    <row r="23" spans="1:20" ht="39.75" customHeight="1" x14ac:dyDescent="0.2">
      <c r="A23" s="4"/>
      <c r="L23" s="46" t="str">
        <f>'Conversion Worksheet'!C25</f>
        <v>Land</v>
      </c>
      <c r="M23" s="46" t="str">
        <f>'Conversion Worksheet'!C29</f>
        <v>Buildings</v>
      </c>
      <c r="N23" s="50"/>
      <c r="O23" s="1157"/>
      <c r="P23" s="1157"/>
      <c r="Q23" s="1157"/>
      <c r="R23" s="1154"/>
      <c r="S23" s="1154"/>
      <c r="T23" s="56" t="s">
        <v>466</v>
      </c>
    </row>
    <row r="24" spans="1:20" ht="15.75" customHeight="1" x14ac:dyDescent="0.2">
      <c r="A24" s="4"/>
      <c r="B24" s="54" t="s">
        <v>662</v>
      </c>
      <c r="C24" s="4" t="s">
        <v>65</v>
      </c>
      <c r="P24" s="41"/>
      <c r="Q24" s="41"/>
      <c r="R24" s="41"/>
      <c r="S24" s="41"/>
    </row>
    <row r="25" spans="1:20" ht="6.75" customHeight="1" x14ac:dyDescent="0.2">
      <c r="A25" s="4"/>
      <c r="B25" s="54"/>
      <c r="C25" s="4"/>
      <c r="P25" s="41"/>
      <c r="Q25" s="41"/>
      <c r="R25" s="41"/>
      <c r="S25" s="41"/>
    </row>
    <row r="26" spans="1:20" ht="12.75" customHeight="1" x14ac:dyDescent="0.2">
      <c r="A26" s="4"/>
      <c r="C26" t="s">
        <v>61</v>
      </c>
      <c r="D26" s="1011" t="s">
        <v>62</v>
      </c>
      <c r="E26" s="1011"/>
      <c r="F26" s="1011"/>
      <c r="G26" s="1011"/>
      <c r="H26" s="1011"/>
      <c r="I26" s="1011"/>
      <c r="L26" s="1145"/>
      <c r="M26" s="1146"/>
      <c r="O26" s="1146"/>
      <c r="P26" s="1146"/>
      <c r="Q26" s="1146"/>
      <c r="R26" s="1165"/>
      <c r="S26" s="1165"/>
      <c r="T26" s="1150">
        <f>SUM(L26:S26)</f>
        <v>0</v>
      </c>
    </row>
    <row r="27" spans="1:20" ht="13.5" customHeight="1" x14ac:dyDescent="0.2">
      <c r="A27" s="4"/>
      <c r="D27" s="1011"/>
      <c r="E27" s="1011"/>
      <c r="F27" s="1011"/>
      <c r="G27" s="1011"/>
      <c r="H27" s="1011"/>
      <c r="I27" s="1011"/>
      <c r="L27" s="1145"/>
      <c r="M27" s="1146"/>
      <c r="O27" s="1146"/>
      <c r="P27" s="1146"/>
      <c r="Q27" s="1146"/>
      <c r="R27" s="1165"/>
      <c r="S27" s="1165"/>
      <c r="T27" s="1150"/>
    </row>
    <row r="28" spans="1:20" ht="5.25" customHeight="1" x14ac:dyDescent="0.2">
      <c r="L28" s="36"/>
      <c r="T28" s="33"/>
    </row>
    <row r="29" spans="1:20" ht="12.75" customHeight="1" x14ac:dyDescent="0.2">
      <c r="C29" t="s">
        <v>63</v>
      </c>
      <c r="D29" s="1011" t="s">
        <v>450</v>
      </c>
      <c r="E29" s="1011"/>
      <c r="F29" s="1011"/>
      <c r="G29" s="1011"/>
      <c r="H29" s="1011"/>
      <c r="I29" s="1011"/>
      <c r="L29" s="63" t="s">
        <v>533</v>
      </c>
      <c r="M29" s="1146"/>
      <c r="O29" s="1146"/>
      <c r="P29" s="1146"/>
      <c r="Q29" s="1146"/>
      <c r="R29" s="1146"/>
      <c r="S29" s="1146"/>
      <c r="T29" s="1150">
        <f>SUM(M29:S29)</f>
        <v>0</v>
      </c>
    </row>
    <row r="30" spans="1:20" ht="12.75" customHeight="1" x14ac:dyDescent="0.2">
      <c r="D30" s="1011"/>
      <c r="E30" s="1011"/>
      <c r="F30" s="1011"/>
      <c r="G30" s="1011"/>
      <c r="H30" s="1011"/>
      <c r="I30" s="1011"/>
      <c r="L30" s="63"/>
      <c r="M30" s="1146"/>
      <c r="O30" s="1146"/>
      <c r="P30" s="1146"/>
      <c r="Q30" s="1146"/>
      <c r="R30" s="1146"/>
      <c r="S30" s="1146"/>
      <c r="T30" s="1150"/>
    </row>
    <row r="31" spans="1:20" ht="5.25" customHeight="1" x14ac:dyDescent="0.2">
      <c r="L31" s="55"/>
      <c r="T31" s="33">
        <f>SUM(M31:S31)</f>
        <v>0</v>
      </c>
    </row>
    <row r="32" spans="1:20" ht="12.75" customHeight="1" x14ac:dyDescent="0.2">
      <c r="C32" t="s">
        <v>451</v>
      </c>
      <c r="D32" s="1011" t="s">
        <v>654</v>
      </c>
      <c r="E32" s="1011"/>
      <c r="F32" s="1011"/>
      <c r="G32" s="1011"/>
      <c r="H32" s="1011"/>
      <c r="I32" s="1011"/>
      <c r="L32" s="63" t="s">
        <v>533</v>
      </c>
      <c r="M32" s="1146"/>
      <c r="O32" s="1146"/>
      <c r="P32" s="1146"/>
      <c r="Q32" s="1146"/>
      <c r="R32" s="1146"/>
      <c r="S32" s="1146"/>
      <c r="T32" s="1150">
        <f>SUM(M32:S32)</f>
        <v>0</v>
      </c>
    </row>
    <row r="33" spans="2:20" ht="13.5" customHeight="1" x14ac:dyDescent="0.2">
      <c r="D33" s="1011"/>
      <c r="E33" s="1011"/>
      <c r="F33" s="1011"/>
      <c r="G33" s="1011"/>
      <c r="H33" s="1011"/>
      <c r="I33" s="1011"/>
      <c r="L33" s="63"/>
      <c r="M33" s="1146"/>
      <c r="O33" s="1146"/>
      <c r="P33" s="1146"/>
      <c r="Q33" s="1146"/>
      <c r="R33" s="1146"/>
      <c r="S33" s="1146"/>
      <c r="T33" s="1150"/>
    </row>
    <row r="34" spans="2:20" ht="3.75" customHeight="1" x14ac:dyDescent="0.2">
      <c r="D34" s="34"/>
      <c r="E34" s="34"/>
      <c r="F34" s="34"/>
      <c r="G34" s="34"/>
      <c r="H34" s="34"/>
      <c r="I34" s="34"/>
      <c r="L34" s="36"/>
    </row>
    <row r="35" spans="2:20" ht="13.5" customHeight="1" x14ac:dyDescent="0.2">
      <c r="D35" s="34"/>
      <c r="E35" s="1011" t="s">
        <v>552</v>
      </c>
      <c r="F35" s="1011"/>
      <c r="G35" s="1011"/>
      <c r="H35" s="1011"/>
      <c r="I35" s="1011"/>
      <c r="L35" s="61">
        <f>L26</f>
        <v>0</v>
      </c>
      <c r="M35" s="198">
        <f>M26-(M29+M32)</f>
        <v>0</v>
      </c>
      <c r="N35" s="12"/>
      <c r="O35" s="198">
        <f>O26-(O29+O32)</f>
        <v>0</v>
      </c>
      <c r="P35" s="198">
        <f>P26-(P29+P32)</f>
        <v>0</v>
      </c>
      <c r="Q35" s="198">
        <f>Q26-(Q29+Q32)</f>
        <v>0</v>
      </c>
      <c r="R35" s="198">
        <f>R26-R29-R32</f>
        <v>0</v>
      </c>
      <c r="S35" s="198">
        <f>S26-S29-S32</f>
        <v>0</v>
      </c>
      <c r="T35" s="61">
        <f>T26-(T29+T32)</f>
        <v>0</v>
      </c>
    </row>
    <row r="36" spans="2:20" ht="6.75" customHeight="1" x14ac:dyDescent="0.2">
      <c r="D36" s="34"/>
      <c r="E36" s="34"/>
      <c r="F36" s="34"/>
      <c r="G36" s="34"/>
      <c r="H36" s="34"/>
      <c r="I36" s="34"/>
      <c r="L36" s="36"/>
    </row>
    <row r="37" spans="2:20" ht="26.25" customHeight="1" x14ac:dyDescent="0.2">
      <c r="C37" t="s">
        <v>548</v>
      </c>
      <c r="D37" s="1011" t="s">
        <v>325</v>
      </c>
      <c r="E37" s="1011"/>
      <c r="F37" s="1011"/>
      <c r="G37" s="1011"/>
      <c r="H37" s="1011"/>
      <c r="I37" s="34"/>
      <c r="L37" s="229"/>
      <c r="M37" s="233"/>
      <c r="O37" s="233"/>
      <c r="P37" s="233"/>
      <c r="Q37" s="233"/>
      <c r="R37" s="233"/>
      <c r="S37" s="233"/>
      <c r="T37" s="438">
        <f>SUM(L37:S37)</f>
        <v>0</v>
      </c>
    </row>
    <row r="38" spans="2:20" ht="13.5" customHeight="1" x14ac:dyDescent="0.2">
      <c r="D38" s="34"/>
      <c r="E38" s="34"/>
      <c r="F38" s="34"/>
      <c r="G38" s="34"/>
      <c r="H38" s="34"/>
      <c r="I38" s="34"/>
      <c r="L38" s="36"/>
    </row>
    <row r="39" spans="2:20" ht="13.5" thickBot="1" x14ac:dyDescent="0.25">
      <c r="E39" t="s">
        <v>553</v>
      </c>
      <c r="L39" s="62">
        <f>L37-L35</f>
        <v>0</v>
      </c>
      <c r="M39" s="142">
        <f>M37-M35</f>
        <v>0</v>
      </c>
      <c r="N39" s="12"/>
      <c r="O39" s="142">
        <f t="shared" ref="O39:T39" si="0">O37-O35</f>
        <v>0</v>
      </c>
      <c r="P39" s="142">
        <f t="shared" si="0"/>
        <v>0</v>
      </c>
      <c r="Q39" s="142">
        <f t="shared" si="0"/>
        <v>0</v>
      </c>
      <c r="R39" s="142">
        <f t="shared" si="0"/>
        <v>0</v>
      </c>
      <c r="S39" s="142">
        <f t="shared" si="0"/>
        <v>0</v>
      </c>
      <c r="T39" s="142">
        <f t="shared" si="0"/>
        <v>0</v>
      </c>
    </row>
    <row r="40" spans="2:20" ht="9" customHeight="1" thickTop="1" x14ac:dyDescent="0.2"/>
    <row r="41" spans="2:20" ht="12.75" customHeight="1" x14ac:dyDescent="0.2">
      <c r="D41" s="1159" t="s">
        <v>95</v>
      </c>
      <c r="E41" s="1160"/>
      <c r="F41" s="1160"/>
      <c r="G41" s="1160"/>
      <c r="H41" s="1160"/>
      <c r="I41" s="1160"/>
      <c r="J41" s="1160"/>
      <c r="K41" s="1160"/>
      <c r="L41" s="1160"/>
      <c r="M41" s="1160"/>
      <c r="N41" s="1160"/>
      <c r="O41" s="1160"/>
      <c r="P41" s="1160"/>
      <c r="Q41" s="1160"/>
      <c r="R41" s="1160"/>
      <c r="S41" s="1160"/>
      <c r="T41" s="1160"/>
    </row>
    <row r="42" spans="2:20" ht="6" customHeight="1" x14ac:dyDescent="0.2">
      <c r="O42" s="12"/>
    </row>
    <row r="43" spans="2:20" ht="12.75" customHeight="1" x14ac:dyDescent="0.2">
      <c r="L43" s="50"/>
      <c r="M43" s="50"/>
      <c r="N43" s="50"/>
      <c r="O43" s="1156" t="str">
        <f>O22</f>
        <v>Equipment and Furniture</v>
      </c>
      <c r="P43" s="1156" t="str">
        <f>P22</f>
        <v>Library Books</v>
      </c>
      <c r="Q43" s="1156" t="str">
        <f>Q22</f>
        <v>Vehicles &amp; Motorized Equipment</v>
      </c>
      <c r="R43" s="1153" t="str">
        <f>R22</f>
        <v>Computer equipment</v>
      </c>
      <c r="S43" s="1155" t="str">
        <f>S22</f>
        <v>Other Asset Class 1</v>
      </c>
    </row>
    <row r="44" spans="2:20" ht="24.75" customHeight="1" x14ac:dyDescent="0.2">
      <c r="B44" s="54" t="s">
        <v>663</v>
      </c>
      <c r="C44" s="4" t="s">
        <v>224</v>
      </c>
      <c r="L44" s="46" t="str">
        <f>L23</f>
        <v>Land</v>
      </c>
      <c r="M44" s="46" t="str">
        <f>M23</f>
        <v>Buildings</v>
      </c>
      <c r="N44" s="50"/>
      <c r="O44" s="1157"/>
      <c r="P44" s="1158"/>
      <c r="Q44" s="1158"/>
      <c r="R44" s="1154"/>
      <c r="S44" s="1154"/>
      <c r="T44" s="56" t="s">
        <v>466</v>
      </c>
    </row>
    <row r="45" spans="2:20" ht="12.75" customHeight="1" x14ac:dyDescent="0.2">
      <c r="C45" t="s">
        <v>61</v>
      </c>
      <c r="D45" s="1011" t="s">
        <v>557</v>
      </c>
      <c r="E45" s="1011"/>
      <c r="F45" s="1011"/>
      <c r="G45" s="1011"/>
      <c r="H45" s="1011"/>
      <c r="I45" s="1011"/>
      <c r="L45" s="1140"/>
      <c r="M45" s="1140"/>
      <c r="N45" s="36"/>
      <c r="O45" s="1140"/>
      <c r="P45" s="1140"/>
      <c r="Q45" s="1140"/>
      <c r="R45" s="1142"/>
      <c r="S45" s="1142"/>
      <c r="T45" s="1150">
        <f>SUM(L45:S45)</f>
        <v>0</v>
      </c>
    </row>
    <row r="46" spans="2:20" ht="12" customHeight="1" x14ac:dyDescent="0.2">
      <c r="D46" s="1011"/>
      <c r="E46" s="1011"/>
      <c r="F46" s="1011"/>
      <c r="G46" s="1011"/>
      <c r="H46" s="1011"/>
      <c r="I46" s="1011"/>
      <c r="L46" s="1145"/>
      <c r="M46" s="1145"/>
      <c r="N46" s="36"/>
      <c r="O46" s="1145"/>
      <c r="P46" s="1145"/>
      <c r="Q46" s="1145"/>
      <c r="R46" s="1146"/>
      <c r="S46" s="1146"/>
      <c r="T46" s="1150"/>
    </row>
    <row r="47" spans="2:20" ht="5.25" customHeight="1" x14ac:dyDescent="0.2">
      <c r="L47" s="36"/>
      <c r="M47" s="36"/>
      <c r="N47" s="36"/>
      <c r="O47" s="36"/>
      <c r="P47" s="36"/>
      <c r="Q47" s="36"/>
      <c r="T47" s="33"/>
    </row>
    <row r="48" spans="2:20" ht="12.75" customHeight="1" x14ac:dyDescent="0.2">
      <c r="C48" t="s">
        <v>63</v>
      </c>
      <c r="D48" s="1011" t="s">
        <v>670</v>
      </c>
      <c r="E48" s="1011"/>
      <c r="F48" s="1011"/>
      <c r="G48" s="1011"/>
      <c r="H48" s="1011"/>
      <c r="I48" s="1011"/>
      <c r="L48" s="63" t="s">
        <v>533</v>
      </c>
      <c r="M48" s="1145"/>
      <c r="N48" s="36"/>
      <c r="O48" s="1145"/>
      <c r="P48" s="1145"/>
      <c r="Q48" s="1145"/>
      <c r="R48" s="1145"/>
      <c r="S48" s="1145"/>
      <c r="T48" s="1150">
        <f>SUM(M48:S48)</f>
        <v>0</v>
      </c>
    </row>
    <row r="49" spans="1:20" ht="12.75" customHeight="1" x14ac:dyDescent="0.2">
      <c r="D49" s="1011"/>
      <c r="E49" s="1011"/>
      <c r="F49" s="1011"/>
      <c r="G49" s="1011"/>
      <c r="H49" s="1011"/>
      <c r="I49" s="1011"/>
      <c r="L49" s="63"/>
      <c r="M49" s="1145"/>
      <c r="N49" s="36"/>
      <c r="O49" s="1145"/>
      <c r="P49" s="1145"/>
      <c r="Q49" s="1145"/>
      <c r="R49" s="1145"/>
      <c r="S49" s="1145"/>
      <c r="T49" s="1150"/>
    </row>
    <row r="50" spans="1:20" ht="5.25" customHeight="1" x14ac:dyDescent="0.2">
      <c r="L50" s="55"/>
      <c r="M50" s="36"/>
      <c r="N50" s="36"/>
      <c r="O50" s="36"/>
      <c r="P50" s="36"/>
      <c r="Q50" s="36"/>
      <c r="R50" s="36"/>
      <c r="S50" s="36"/>
      <c r="T50" s="33">
        <f>SUM(M50:S50)</f>
        <v>0</v>
      </c>
    </row>
    <row r="51" spans="1:20" ht="13.5" customHeight="1" x14ac:dyDescent="0.2">
      <c r="C51" t="s">
        <v>451</v>
      </c>
      <c r="D51" s="1011" t="s">
        <v>326</v>
      </c>
      <c r="E51" s="1011"/>
      <c r="F51" s="1011"/>
      <c r="G51" s="1011"/>
      <c r="H51" s="1011"/>
      <c r="I51" s="1011"/>
      <c r="L51" s="63" t="s">
        <v>533</v>
      </c>
      <c r="M51" s="1145"/>
      <c r="N51" s="36"/>
      <c r="O51" s="1145"/>
      <c r="P51" s="1145"/>
      <c r="Q51" s="1145"/>
      <c r="R51" s="1145"/>
      <c r="S51" s="1145"/>
      <c r="T51" s="1150">
        <f>SUM(M51:S51)</f>
        <v>0</v>
      </c>
    </row>
    <row r="52" spans="1:20" ht="13.5" customHeight="1" x14ac:dyDescent="0.2">
      <c r="D52" s="1011"/>
      <c r="E52" s="1011"/>
      <c r="F52" s="1011"/>
      <c r="G52" s="1011"/>
      <c r="H52" s="1011"/>
      <c r="I52" s="1011"/>
      <c r="L52" s="63"/>
      <c r="M52" s="1145"/>
      <c r="N52" s="36"/>
      <c r="O52" s="1145"/>
      <c r="P52" s="1145"/>
      <c r="Q52" s="1145"/>
      <c r="R52" s="1145"/>
      <c r="S52" s="1145"/>
      <c r="T52" s="1150"/>
    </row>
    <row r="53" spans="1:20" ht="5.25" customHeight="1" x14ac:dyDescent="0.2">
      <c r="L53" s="36"/>
      <c r="M53" s="36"/>
      <c r="N53" s="36"/>
      <c r="O53" s="36"/>
      <c r="P53" s="36"/>
      <c r="Q53" s="36"/>
    </row>
    <row r="54" spans="1:20" ht="12.75" customHeight="1" x14ac:dyDescent="0.2">
      <c r="E54" t="s">
        <v>552</v>
      </c>
      <c r="L54" s="61">
        <f>L45</f>
        <v>0</v>
      </c>
      <c r="M54" s="61">
        <f>M45-(M48+M51)</f>
        <v>0</v>
      </c>
      <c r="N54" s="45"/>
      <c r="O54" s="61">
        <f t="shared" ref="O54:T54" si="1">O45-(O48+O51)</f>
        <v>0</v>
      </c>
      <c r="P54" s="61">
        <f t="shared" si="1"/>
        <v>0</v>
      </c>
      <c r="Q54" s="61">
        <f t="shared" si="1"/>
        <v>0</v>
      </c>
      <c r="R54" s="61">
        <f t="shared" si="1"/>
        <v>0</v>
      </c>
      <c r="S54" s="61">
        <f t="shared" si="1"/>
        <v>0</v>
      </c>
      <c r="T54" s="61">
        <f t="shared" si="1"/>
        <v>0</v>
      </c>
    </row>
    <row r="55" spans="1:20" ht="4.5" customHeight="1" x14ac:dyDescent="0.2">
      <c r="L55" s="36"/>
      <c r="M55" s="36"/>
      <c r="N55" s="36"/>
      <c r="O55" s="36"/>
      <c r="P55" s="36"/>
      <c r="Q55" s="36"/>
    </row>
    <row r="56" spans="1:20" ht="13.5" customHeight="1" x14ac:dyDescent="0.2">
      <c r="C56" t="s">
        <v>548</v>
      </c>
      <c r="D56" s="1169" t="s">
        <v>671</v>
      </c>
      <c r="E56" s="1169"/>
      <c r="F56" s="1169"/>
      <c r="G56" s="1169"/>
      <c r="H56" s="1169"/>
      <c r="I56" s="1169"/>
      <c r="L56" s="36"/>
      <c r="M56" s="36"/>
      <c r="N56" s="36"/>
      <c r="O56" s="36"/>
      <c r="P56" s="36"/>
      <c r="Q56" s="36"/>
    </row>
    <row r="57" spans="1:20" ht="13.5" customHeight="1" x14ac:dyDescent="0.2">
      <c r="D57" s="11"/>
      <c r="E57" s="11" t="s">
        <v>550</v>
      </c>
      <c r="F57" s="11"/>
      <c r="G57" s="11"/>
      <c r="H57" s="11"/>
      <c r="I57" s="11"/>
      <c r="L57" s="228"/>
      <c r="M57" s="228"/>
      <c r="N57" s="36"/>
      <c r="O57" s="228"/>
      <c r="P57" s="228"/>
      <c r="Q57" s="228"/>
      <c r="R57" s="233"/>
      <c r="S57" s="233"/>
      <c r="T57" s="438">
        <f>SUM(L57:S57)</f>
        <v>0</v>
      </c>
    </row>
    <row r="58" spans="1:20" ht="13.5" customHeight="1" x14ac:dyDescent="0.2">
      <c r="D58" s="11"/>
      <c r="E58" s="11" t="s">
        <v>551</v>
      </c>
      <c r="F58" s="11"/>
      <c r="G58" s="11"/>
      <c r="H58" s="11"/>
      <c r="I58" s="11"/>
      <c r="L58" s="228"/>
      <c r="M58" s="228"/>
      <c r="N58" s="36"/>
      <c r="O58" s="228"/>
      <c r="P58" s="228"/>
      <c r="Q58" s="228"/>
      <c r="R58" s="233"/>
      <c r="S58" s="233"/>
      <c r="T58" s="438">
        <f>SUM(L58:S58)</f>
        <v>0</v>
      </c>
    </row>
    <row r="59" spans="1:20" ht="12.75" customHeight="1" x14ac:dyDescent="0.2">
      <c r="L59" s="36"/>
      <c r="M59" s="36"/>
      <c r="N59" s="36"/>
      <c r="O59" s="36"/>
      <c r="P59" s="36"/>
      <c r="Q59" s="36"/>
    </row>
    <row r="60" spans="1:20" ht="12.75" customHeight="1" thickBot="1" x14ac:dyDescent="0.25">
      <c r="E60" t="s">
        <v>554</v>
      </c>
      <c r="L60" s="62">
        <f>(L57+L58)-L54</f>
        <v>0</v>
      </c>
      <c r="M60" s="62">
        <f>(M57+M58)-M54</f>
        <v>0</v>
      </c>
      <c r="N60" s="45"/>
      <c r="O60" s="62">
        <f t="shared" ref="O60:T60" si="2">(O57+O58)-O54</f>
        <v>0</v>
      </c>
      <c r="P60" s="62">
        <f t="shared" si="2"/>
        <v>0</v>
      </c>
      <c r="Q60" s="62">
        <f t="shared" si="2"/>
        <v>0</v>
      </c>
      <c r="R60" s="62">
        <f t="shared" si="2"/>
        <v>0</v>
      </c>
      <c r="S60" s="62">
        <f t="shared" si="2"/>
        <v>0</v>
      </c>
      <c r="T60" s="62">
        <f t="shared" si="2"/>
        <v>0</v>
      </c>
    </row>
    <row r="61" spans="1:20" ht="5.25" customHeight="1" thickTop="1" x14ac:dyDescent="0.2"/>
    <row r="62" spans="1:20" ht="26.25" customHeight="1" x14ac:dyDescent="0.2">
      <c r="D62" s="1014" t="s">
        <v>296</v>
      </c>
      <c r="E62" s="1011"/>
      <c r="F62" s="1011"/>
      <c r="G62" s="1011"/>
      <c r="H62" s="1011"/>
      <c r="I62" s="1011"/>
      <c r="J62" s="1011"/>
      <c r="K62" s="1011"/>
      <c r="L62" s="1011"/>
      <c r="M62" s="1011"/>
      <c r="N62" s="1011"/>
      <c r="O62" s="1011"/>
      <c r="P62" s="1011"/>
      <c r="Q62" s="1011"/>
      <c r="R62" s="1011"/>
      <c r="S62" s="1011"/>
      <c r="T62" s="1011"/>
    </row>
    <row r="63" spans="1:20" ht="3.75" customHeight="1" x14ac:dyDescent="0.2"/>
    <row r="64" spans="1:20" ht="25.5" customHeight="1" x14ac:dyDescent="0.2">
      <c r="A64" s="4" t="s">
        <v>342</v>
      </c>
      <c r="B64" s="1120" t="s">
        <v>532</v>
      </c>
      <c r="C64" s="1121"/>
      <c r="D64" s="1121"/>
      <c r="E64" s="1121"/>
      <c r="F64" s="1121"/>
      <c r="G64" s="1121"/>
      <c r="H64" s="1121"/>
      <c r="I64" s="1121"/>
      <c r="J64" s="1121"/>
      <c r="K64" s="1121"/>
      <c r="L64" s="1121"/>
      <c r="M64" s="1121"/>
      <c r="N64" s="1121"/>
      <c r="O64" s="1121"/>
      <c r="P64" s="1121"/>
      <c r="Q64" s="1121"/>
      <c r="R64" s="1121"/>
      <c r="S64" s="1121"/>
      <c r="T64" s="1122"/>
    </row>
    <row r="65" spans="2:25" ht="3.75" customHeight="1" x14ac:dyDescent="0.2">
      <c r="C65" s="41"/>
      <c r="D65" s="41"/>
      <c r="E65" s="41"/>
      <c r="F65" s="1170"/>
      <c r="G65" s="1170"/>
      <c r="H65" s="1170"/>
      <c r="I65" s="41"/>
      <c r="N65" s="41"/>
    </row>
    <row r="66" spans="2:25" ht="12.75" customHeight="1" x14ac:dyDescent="0.2">
      <c r="L66" s="50"/>
      <c r="M66" s="50"/>
      <c r="N66" s="50"/>
      <c r="O66" s="1156" t="str">
        <f>O43</f>
        <v>Equipment and Furniture</v>
      </c>
      <c r="P66" s="1148" t="str">
        <f>P43</f>
        <v>Library Books</v>
      </c>
      <c r="Q66" s="1148" t="str">
        <f>Q43</f>
        <v>Vehicles &amp; Motorized Equipment</v>
      </c>
      <c r="R66" s="1168" t="str">
        <f>R22</f>
        <v>Computer equipment</v>
      </c>
      <c r="S66" s="1151" t="str">
        <f>S22</f>
        <v>Other Asset Class 1</v>
      </c>
      <c r="X66" s="11" t="s">
        <v>359</v>
      </c>
    </row>
    <row r="67" spans="2:25" ht="12.75" customHeight="1" x14ac:dyDescent="0.2">
      <c r="B67" s="54"/>
      <c r="C67" s="4" t="s">
        <v>556</v>
      </c>
      <c r="L67" s="46" t="str">
        <f>L44</f>
        <v>Land</v>
      </c>
      <c r="M67" s="46" t="str">
        <f>M44</f>
        <v>Buildings</v>
      </c>
      <c r="N67" s="50"/>
      <c r="O67" s="1157"/>
      <c r="P67" s="1158"/>
      <c r="Q67" s="1158"/>
      <c r="R67" s="1152"/>
      <c r="S67" s="1152"/>
      <c r="T67" s="56" t="s">
        <v>466</v>
      </c>
    </row>
    <row r="68" spans="2:25" ht="12.75" customHeight="1" x14ac:dyDescent="0.2">
      <c r="C68" t="s">
        <v>61</v>
      </c>
      <c r="D68" s="1011" t="s">
        <v>689</v>
      </c>
      <c r="E68" s="1011"/>
      <c r="F68" s="1011"/>
      <c r="G68" s="1011"/>
      <c r="H68" s="1011"/>
      <c r="I68" s="1011"/>
      <c r="L68" s="1140"/>
      <c r="M68" s="1140"/>
      <c r="N68" s="36"/>
      <c r="O68" s="1141"/>
      <c r="P68" s="1140"/>
      <c r="Q68" s="1140"/>
      <c r="R68" s="1142"/>
      <c r="S68" s="1142"/>
      <c r="T68" s="1150">
        <f>SUM(L68:S68)</f>
        <v>0</v>
      </c>
    </row>
    <row r="69" spans="2:25" ht="14.25" customHeight="1" x14ac:dyDescent="0.2">
      <c r="D69" s="1011"/>
      <c r="E69" s="1011"/>
      <c r="F69" s="1011"/>
      <c r="G69" s="1011"/>
      <c r="H69" s="1011"/>
      <c r="I69" s="1011"/>
      <c r="L69" s="1141"/>
      <c r="M69" s="1141"/>
      <c r="N69" s="36"/>
      <c r="O69" s="1145"/>
      <c r="P69" s="1145"/>
      <c r="Q69" s="1145"/>
      <c r="R69" s="1146"/>
      <c r="S69" s="1146"/>
      <c r="T69" s="1150"/>
    </row>
    <row r="70" spans="2:25" ht="6" customHeight="1" x14ac:dyDescent="0.2">
      <c r="L70" s="36"/>
      <c r="M70" s="36"/>
      <c r="N70" s="36"/>
      <c r="O70" s="36"/>
      <c r="P70" s="36"/>
      <c r="Q70" s="36"/>
      <c r="T70" s="33"/>
    </row>
    <row r="71" spans="2:25" ht="14.25" customHeight="1" x14ac:dyDescent="0.2">
      <c r="C71" t="s">
        <v>63</v>
      </c>
      <c r="D71" s="1011" t="s">
        <v>690</v>
      </c>
      <c r="E71" s="1011"/>
      <c r="F71" s="1011"/>
      <c r="G71" s="1011"/>
      <c r="H71" s="1011"/>
      <c r="I71" s="1011"/>
      <c r="L71" s="63" t="s">
        <v>533</v>
      </c>
      <c r="M71" s="1145"/>
      <c r="N71" s="36"/>
      <c r="O71" s="1145"/>
      <c r="P71" s="1145"/>
      <c r="Q71" s="1145"/>
      <c r="R71" s="1146"/>
      <c r="S71" s="1146"/>
      <c r="T71" s="1150">
        <f>SUM(M71:S71)</f>
        <v>0</v>
      </c>
    </row>
    <row r="72" spans="2:25" ht="9.75" customHeight="1" x14ac:dyDescent="0.2">
      <c r="D72" s="1011"/>
      <c r="E72" s="1011"/>
      <c r="F72" s="1011"/>
      <c r="G72" s="1011"/>
      <c r="H72" s="1011"/>
      <c r="I72" s="1011"/>
      <c r="L72" s="63"/>
      <c r="M72" s="1145"/>
      <c r="N72" s="36"/>
      <c r="O72" s="1145"/>
      <c r="P72" s="1145"/>
      <c r="Q72" s="1145"/>
      <c r="R72" s="1146"/>
      <c r="S72" s="1146"/>
      <c r="T72" s="1150"/>
    </row>
    <row r="73" spans="2:25" ht="4.5" customHeight="1" x14ac:dyDescent="0.2">
      <c r="L73" s="55"/>
      <c r="M73" s="36"/>
      <c r="N73" s="36"/>
      <c r="O73" s="36"/>
      <c r="P73" s="36"/>
      <c r="Q73" s="36"/>
      <c r="T73" s="33">
        <f>SUM(M73:S73)</f>
        <v>0</v>
      </c>
    </row>
    <row r="74" spans="2:25" ht="12.75" customHeight="1" x14ac:dyDescent="0.2">
      <c r="C74" t="s">
        <v>451</v>
      </c>
      <c r="D74" s="1011" t="s">
        <v>314</v>
      </c>
      <c r="E74" s="1011"/>
      <c r="F74" s="1011"/>
      <c r="G74" s="1011"/>
      <c r="H74" s="1011"/>
      <c r="I74" s="1011"/>
      <c r="L74" s="63" t="s">
        <v>533</v>
      </c>
      <c r="M74" s="1145"/>
      <c r="N74" s="36"/>
      <c r="O74" s="1145"/>
      <c r="P74" s="1145"/>
      <c r="Q74" s="1145"/>
      <c r="R74" s="1146"/>
      <c r="S74" s="1146"/>
      <c r="T74" s="1150">
        <f>SUM(M74:S74)</f>
        <v>0</v>
      </c>
    </row>
    <row r="75" spans="2:25" ht="12.75" customHeight="1" x14ac:dyDescent="0.2">
      <c r="D75" s="1011"/>
      <c r="E75" s="1011"/>
      <c r="F75" s="1011"/>
      <c r="G75" s="1011"/>
      <c r="H75" s="1011"/>
      <c r="I75" s="1011"/>
      <c r="L75" s="63"/>
      <c r="M75" s="1145"/>
      <c r="N75" s="36"/>
      <c r="O75" s="1145"/>
      <c r="P75" s="1145"/>
      <c r="Q75" s="1145"/>
      <c r="R75" s="1146"/>
      <c r="S75" s="1146"/>
      <c r="T75" s="1150"/>
    </row>
    <row r="76" spans="2:25" ht="5.25" customHeight="1" x14ac:dyDescent="0.2">
      <c r="L76" s="36"/>
      <c r="M76" s="36"/>
      <c r="N76" s="36"/>
      <c r="O76" s="36"/>
      <c r="P76" s="36"/>
      <c r="Q76" s="36"/>
    </row>
    <row r="77" spans="2:25" x14ac:dyDescent="0.2">
      <c r="E77" t="s">
        <v>672</v>
      </c>
      <c r="L77" s="61">
        <f>L68</f>
        <v>0</v>
      </c>
      <c r="M77" s="61">
        <f>M68-(M71+M74)</f>
        <v>0</v>
      </c>
      <c r="N77" s="45"/>
      <c r="O77" s="61">
        <f t="shared" ref="O77:T77" si="3">O68-(O71+O74)</f>
        <v>0</v>
      </c>
      <c r="P77" s="61">
        <f t="shared" si="3"/>
        <v>0</v>
      </c>
      <c r="Q77" s="61">
        <f t="shared" si="3"/>
        <v>0</v>
      </c>
      <c r="R77" s="61">
        <f t="shared" si="3"/>
        <v>0</v>
      </c>
      <c r="S77" s="61">
        <f t="shared" si="3"/>
        <v>0</v>
      </c>
      <c r="T77" s="61">
        <f t="shared" si="3"/>
        <v>0</v>
      </c>
    </row>
    <row r="78" spans="2:25" ht="4.5" customHeight="1" x14ac:dyDescent="0.2">
      <c r="L78" s="36"/>
      <c r="M78" s="36"/>
      <c r="N78" s="36"/>
      <c r="O78" s="36"/>
      <c r="P78" s="36"/>
      <c r="Q78" s="36"/>
    </row>
    <row r="79" spans="2:25" ht="12.75" customHeight="1" x14ac:dyDescent="0.35">
      <c r="C79" t="s">
        <v>548</v>
      </c>
      <c r="D79" s="1147" t="s">
        <v>691</v>
      </c>
      <c r="E79" s="1147"/>
      <c r="F79" s="1147"/>
      <c r="G79" s="1147"/>
      <c r="H79" s="1147"/>
      <c r="I79" s="1147"/>
      <c r="L79" s="1145"/>
      <c r="M79" s="1145"/>
      <c r="N79" s="36"/>
      <c r="O79" s="1145"/>
      <c r="P79" s="1145"/>
      <c r="Q79" s="1145"/>
      <c r="R79" s="1146"/>
      <c r="S79" s="1146"/>
      <c r="T79" s="1150">
        <f>SUM(L79:S79)</f>
        <v>0</v>
      </c>
      <c r="W79" s="1171" t="str">
        <f>IF(T79=T77," ","Recheck numbers for d. Entry out of balance.")</f>
        <v xml:space="preserve"> </v>
      </c>
      <c r="X79" s="1171"/>
      <c r="Y79" s="1171"/>
    </row>
    <row r="80" spans="2:25" ht="40.5" customHeight="1" x14ac:dyDescent="0.35">
      <c r="D80" s="1147"/>
      <c r="E80" s="1147"/>
      <c r="F80" s="1147"/>
      <c r="G80" s="1147"/>
      <c r="H80" s="1147"/>
      <c r="I80" s="1147"/>
      <c r="L80" s="1145"/>
      <c r="M80" s="1145"/>
      <c r="N80" s="36"/>
      <c r="O80" s="1145"/>
      <c r="P80" s="1145"/>
      <c r="Q80" s="1145"/>
      <c r="R80" s="1146"/>
      <c r="S80" s="1146"/>
      <c r="T80" s="1150"/>
      <c r="W80" s="103"/>
      <c r="X80" s="410"/>
      <c r="Y80" s="410"/>
    </row>
    <row r="81" spans="1:20" ht="3.75" customHeight="1" x14ac:dyDescent="0.2">
      <c r="D81" s="57"/>
      <c r="E81" s="57"/>
      <c r="F81" s="57"/>
      <c r="G81" s="57"/>
      <c r="H81" s="57"/>
      <c r="I81" s="57"/>
      <c r="L81" s="36"/>
      <c r="M81" s="36"/>
      <c r="N81" s="36"/>
      <c r="O81" s="36"/>
      <c r="P81" s="36"/>
      <c r="Q81" s="36"/>
    </row>
    <row r="82" spans="1:20" ht="25.5" customHeight="1" x14ac:dyDescent="0.25">
      <c r="A82" s="4" t="s">
        <v>527</v>
      </c>
      <c r="B82" s="1120" t="s">
        <v>67</v>
      </c>
      <c r="C82" s="1121"/>
      <c r="D82" s="1121"/>
      <c r="E82" s="1121"/>
      <c r="F82" s="1121"/>
      <c r="G82" s="1121"/>
      <c r="H82" s="1121"/>
      <c r="I82" s="1121"/>
      <c r="J82" s="1121"/>
      <c r="K82" s="1121"/>
      <c r="L82" s="1121"/>
      <c r="M82" s="1121"/>
      <c r="N82" s="1121"/>
      <c r="O82" s="1121"/>
      <c r="P82" s="1121"/>
      <c r="Q82" s="1121"/>
      <c r="R82" s="1121"/>
      <c r="S82" s="1121"/>
      <c r="T82" s="1122"/>
    </row>
    <row r="83" spans="1:20" ht="1.5" customHeight="1" x14ac:dyDescent="0.2">
      <c r="C83" s="41"/>
      <c r="D83" s="41"/>
      <c r="E83" s="41"/>
      <c r="F83" s="1170"/>
      <c r="G83" s="1170"/>
      <c r="H83" s="1170"/>
      <c r="I83" s="41"/>
      <c r="N83" s="41"/>
    </row>
    <row r="84" spans="1:20" ht="12.75" customHeight="1" x14ac:dyDescent="0.2">
      <c r="L84" s="50"/>
      <c r="M84" s="50"/>
      <c r="N84" s="50"/>
    </row>
    <row r="85" spans="1:20" ht="37.5" customHeight="1" x14ac:dyDescent="0.2">
      <c r="B85" s="40"/>
      <c r="C85" s="4" t="s">
        <v>66</v>
      </c>
      <c r="L85" s="46" t="str">
        <f>L67</f>
        <v>Land</v>
      </c>
      <c r="M85" s="46" t="str">
        <f>M67</f>
        <v>Buildings</v>
      </c>
      <c r="N85" s="50"/>
      <c r="O85" s="458" t="str">
        <f>O66</f>
        <v>Equipment and Furniture</v>
      </c>
      <c r="P85" s="458" t="str">
        <f>P66</f>
        <v>Library Books</v>
      </c>
      <c r="Q85" s="458" t="str">
        <f>Q66</f>
        <v>Vehicles &amp; Motorized Equipment</v>
      </c>
      <c r="R85" s="458" t="str">
        <f>R66</f>
        <v>Computer equipment</v>
      </c>
      <c r="S85" s="458" t="str">
        <f>S66</f>
        <v>Other Asset Class 1</v>
      </c>
      <c r="T85" s="56" t="s">
        <v>466</v>
      </c>
    </row>
    <row r="86" spans="1:20" ht="25.5" customHeight="1" x14ac:dyDescent="0.2">
      <c r="B86" s="40"/>
      <c r="C86" s="165" t="s">
        <v>61</v>
      </c>
      <c r="D86" s="1011" t="s">
        <v>470</v>
      </c>
      <c r="E86" s="1011"/>
      <c r="F86" s="1011"/>
      <c r="G86" s="1011"/>
      <c r="H86" s="1011"/>
      <c r="I86" s="1011"/>
      <c r="J86" s="1011"/>
      <c r="L86" s="313"/>
      <c r="M86" s="228"/>
      <c r="N86" s="36"/>
      <c r="O86" s="228">
        <v>0</v>
      </c>
      <c r="P86" s="228"/>
      <c r="Q86" s="228">
        <v>0</v>
      </c>
      <c r="R86" s="233">
        <v>0</v>
      </c>
      <c r="S86" s="233"/>
      <c r="T86" s="292">
        <f>SUM(L86:S86)</f>
        <v>0</v>
      </c>
    </row>
    <row r="87" spans="1:20" ht="4.5" customHeight="1" x14ac:dyDescent="0.2">
      <c r="B87" s="40"/>
      <c r="L87" s="36"/>
      <c r="M87" s="78"/>
      <c r="N87" s="36"/>
      <c r="O87" s="36"/>
      <c r="P87" s="36"/>
      <c r="Q87" s="36"/>
    </row>
    <row r="88" spans="1:20" ht="25.5" customHeight="1" x14ac:dyDescent="0.2">
      <c r="C88" s="165" t="s">
        <v>63</v>
      </c>
      <c r="D88" s="1011" t="s">
        <v>471</v>
      </c>
      <c r="E88" s="1011"/>
      <c r="F88" s="1011"/>
      <c r="G88" s="1011"/>
      <c r="H88" s="1011"/>
      <c r="I88" s="1011"/>
      <c r="J88" s="1011"/>
      <c r="L88" s="63" t="s">
        <v>533</v>
      </c>
      <c r="M88" s="228"/>
      <c r="N88" s="36"/>
      <c r="O88" s="228">
        <v>0</v>
      </c>
      <c r="P88" s="228"/>
      <c r="Q88" s="228">
        <v>0</v>
      </c>
      <c r="R88" s="233"/>
      <c r="S88" s="233"/>
      <c r="T88" s="292">
        <f>SUM(L88:S88)</f>
        <v>0</v>
      </c>
    </row>
    <row r="89" spans="1:20" ht="4.5" customHeight="1" x14ac:dyDescent="0.2">
      <c r="L89" s="55"/>
      <c r="M89" s="36"/>
      <c r="N89" s="36"/>
      <c r="O89" s="36"/>
      <c r="P89" s="36"/>
      <c r="Q89" s="36"/>
    </row>
    <row r="90" spans="1:20" ht="11.25" customHeight="1" x14ac:dyDescent="0.2">
      <c r="C90" t="s">
        <v>451</v>
      </c>
      <c r="D90" s="1011" t="s">
        <v>454</v>
      </c>
      <c r="E90" s="1011"/>
      <c r="F90" s="1011"/>
      <c r="G90" s="1011"/>
      <c r="H90" s="1011"/>
      <c r="I90" s="1011"/>
      <c r="J90" s="1011"/>
      <c r="L90" s="63" t="s">
        <v>533</v>
      </c>
      <c r="M90" s="1145"/>
      <c r="N90" s="36"/>
      <c r="O90" s="1145">
        <v>0</v>
      </c>
      <c r="P90" s="1145"/>
      <c r="Q90" s="1145">
        <v>0</v>
      </c>
      <c r="R90" s="1146"/>
      <c r="S90" s="1146"/>
      <c r="T90" s="1173">
        <f>SUM(M90:S91)</f>
        <v>0</v>
      </c>
    </row>
    <row r="91" spans="1:20" x14ac:dyDescent="0.2">
      <c r="D91" s="1011"/>
      <c r="E91" s="1011"/>
      <c r="F91" s="1011"/>
      <c r="G91" s="1011"/>
      <c r="H91" s="1011"/>
      <c r="I91" s="1011"/>
      <c r="J91" s="1011"/>
      <c r="L91" s="36"/>
      <c r="M91" s="1145"/>
      <c r="N91" s="36"/>
      <c r="O91" s="1145"/>
      <c r="P91" s="1145"/>
      <c r="Q91" s="1145"/>
      <c r="R91" s="1146"/>
      <c r="S91" s="1146"/>
      <c r="T91" s="1173"/>
    </row>
    <row r="92" spans="1:20" ht="4.5" customHeight="1" x14ac:dyDescent="0.2">
      <c r="D92" s="34"/>
      <c r="E92" s="34"/>
      <c r="F92" s="34"/>
      <c r="G92" s="34"/>
      <c r="H92" s="34"/>
      <c r="I92" s="34"/>
      <c r="J92" s="34"/>
      <c r="K92" s="34"/>
      <c r="L92" s="36"/>
      <c r="M92" s="36"/>
      <c r="N92" s="36"/>
      <c r="O92" s="36"/>
      <c r="P92" s="36"/>
      <c r="Q92" s="36"/>
    </row>
    <row r="93" spans="1:20" x14ac:dyDescent="0.2">
      <c r="E93" t="s">
        <v>189</v>
      </c>
      <c r="M93" s="61">
        <f>M86-(M88+M90)</f>
        <v>0</v>
      </c>
      <c r="N93" s="45"/>
      <c r="O93" s="61">
        <f t="shared" ref="O93:T93" si="4">O86-(O88+O90)</f>
        <v>0</v>
      </c>
      <c r="P93" s="61">
        <f t="shared" si="4"/>
        <v>0</v>
      </c>
      <c r="Q93" s="61">
        <f t="shared" si="4"/>
        <v>0</v>
      </c>
      <c r="R93" s="61">
        <f t="shared" si="4"/>
        <v>0</v>
      </c>
      <c r="S93" s="61">
        <f t="shared" si="4"/>
        <v>0</v>
      </c>
      <c r="T93" s="61">
        <f t="shared" si="4"/>
        <v>0</v>
      </c>
    </row>
    <row r="94" spans="1:20" ht="4.5" customHeight="1" x14ac:dyDescent="0.2"/>
    <row r="95" spans="1:20" ht="12.75" customHeight="1" x14ac:dyDescent="0.2">
      <c r="C95" s="38" t="s">
        <v>548</v>
      </c>
      <c r="D95" s="1011" t="s">
        <v>453</v>
      </c>
      <c r="E95" s="1011"/>
      <c r="F95" s="1011"/>
      <c r="G95" s="1011"/>
      <c r="H95" s="1011"/>
      <c r="I95" s="1011"/>
      <c r="J95" s="1011"/>
      <c r="K95" s="34"/>
      <c r="L95" s="34"/>
      <c r="O95" s="1146"/>
      <c r="P95" s="1023" t="s">
        <v>455</v>
      </c>
      <c r="Q95" s="1023"/>
      <c r="R95" s="1023"/>
      <c r="S95" s="1023"/>
    </row>
    <row r="96" spans="1:20" ht="12.75" customHeight="1" x14ac:dyDescent="0.2">
      <c r="D96" s="1011"/>
      <c r="E96" s="1011"/>
      <c r="F96" s="1011"/>
      <c r="G96" s="1011"/>
      <c r="H96" s="1011"/>
      <c r="I96" s="1011"/>
      <c r="J96" s="1011"/>
      <c r="K96" s="34"/>
      <c r="L96" s="34"/>
      <c r="O96" s="1146"/>
      <c r="P96" s="1023"/>
      <c r="Q96" s="1023"/>
      <c r="R96" s="1023"/>
      <c r="S96" s="1023"/>
    </row>
    <row r="97" spans="1:20" ht="12.75" customHeight="1" x14ac:dyDescent="0.2">
      <c r="D97" s="1011"/>
      <c r="E97" s="1011"/>
      <c r="F97" s="1011"/>
      <c r="G97" s="1011"/>
      <c r="H97" s="1011"/>
      <c r="I97" s="1011"/>
      <c r="J97" s="1011"/>
      <c r="O97" s="1146"/>
      <c r="P97" s="1023"/>
      <c r="Q97" s="1023"/>
      <c r="R97" s="1023"/>
      <c r="S97" s="1023"/>
    </row>
    <row r="98" spans="1:20" ht="15" x14ac:dyDescent="0.2">
      <c r="E98" s="101" t="s">
        <v>68</v>
      </c>
      <c r="F98" s="2" t="s">
        <v>545</v>
      </c>
    </row>
    <row r="99" spans="1:20" ht="4.5" customHeight="1" x14ac:dyDescent="0.2">
      <c r="E99" s="101"/>
      <c r="F99" s="2"/>
    </row>
    <row r="100" spans="1:20" ht="25.5" customHeight="1" x14ac:dyDescent="0.2">
      <c r="A100" s="4" t="s">
        <v>529</v>
      </c>
      <c r="B100" s="1115" t="s">
        <v>442</v>
      </c>
      <c r="C100" s="1116"/>
      <c r="D100" s="1116"/>
      <c r="E100" s="1116"/>
      <c r="F100" s="1116"/>
      <c r="G100" s="1116"/>
      <c r="H100" s="1116"/>
      <c r="I100" s="1116"/>
      <c r="J100" s="1116"/>
      <c r="K100" s="1116"/>
      <c r="L100" s="1116"/>
      <c r="M100" s="1116"/>
      <c r="N100" s="1116"/>
      <c r="O100" s="1116"/>
      <c r="P100" s="1116"/>
      <c r="Q100" s="1116"/>
      <c r="R100" s="1116"/>
      <c r="S100" s="1116"/>
      <c r="T100" s="1117"/>
    </row>
    <row r="101" spans="1:20" ht="6.75" customHeight="1" x14ac:dyDescent="0.2">
      <c r="M101" s="8"/>
      <c r="N101" s="399"/>
    </row>
    <row r="102" spans="1:20" x14ac:dyDescent="0.2">
      <c r="B102" s="1114" t="s">
        <v>752</v>
      </c>
      <c r="C102" s="1011"/>
      <c r="D102" s="1011"/>
      <c r="E102" s="1011"/>
      <c r="F102" s="1011"/>
      <c r="G102" s="1011"/>
      <c r="H102" s="1011"/>
      <c r="I102" s="1011"/>
      <c r="J102" s="1011"/>
      <c r="K102" s="1011"/>
      <c r="L102" s="1011"/>
      <c r="M102" s="1011"/>
      <c r="N102" s="1011"/>
      <c r="O102" s="1011"/>
      <c r="P102" s="1011"/>
      <c r="Q102" s="1011"/>
      <c r="R102" s="1011"/>
      <c r="S102" s="1011"/>
      <c r="T102" s="1011"/>
    </row>
    <row r="103" spans="1:20" x14ac:dyDescent="0.2">
      <c r="B103" s="1011"/>
      <c r="C103" s="1011"/>
      <c r="D103" s="1011"/>
      <c r="E103" s="1011"/>
      <c r="F103" s="1011"/>
      <c r="G103" s="1011"/>
      <c r="H103" s="1011"/>
      <c r="I103" s="1011"/>
      <c r="J103" s="1011"/>
      <c r="K103" s="1011"/>
      <c r="L103" s="1011"/>
      <c r="M103" s="1011"/>
      <c r="N103" s="1011"/>
      <c r="O103" s="1011"/>
      <c r="P103" s="1011"/>
      <c r="Q103" s="1011"/>
      <c r="R103" s="1011"/>
      <c r="S103" s="1011"/>
      <c r="T103" s="1011"/>
    </row>
    <row r="104" spans="1:20" x14ac:dyDescent="0.2">
      <c r="B104" s="1011"/>
      <c r="C104" s="1011"/>
      <c r="D104" s="1011"/>
      <c r="E104" s="1011"/>
      <c r="F104" s="1011"/>
      <c r="G104" s="1011"/>
      <c r="H104" s="1011"/>
      <c r="I104" s="1011"/>
      <c r="J104" s="1011"/>
      <c r="K104" s="1011"/>
      <c r="L104" s="1011"/>
      <c r="M104" s="1011"/>
      <c r="N104" s="1011"/>
      <c r="O104" s="1011"/>
      <c r="P104" s="1011"/>
      <c r="Q104" s="1011"/>
      <c r="R104" s="1011"/>
      <c r="S104" s="1011"/>
      <c r="T104" s="1011"/>
    </row>
    <row r="105" spans="1:20" x14ac:dyDescent="0.2">
      <c r="B105" s="1011"/>
      <c r="C105" s="1011"/>
      <c r="D105" s="1011"/>
      <c r="E105" s="1011"/>
      <c r="F105" s="1011"/>
      <c r="G105" s="1011"/>
      <c r="H105" s="1011"/>
      <c r="I105" s="1011"/>
      <c r="J105" s="1011"/>
      <c r="K105" s="1011"/>
      <c r="L105" s="1011"/>
      <c r="M105" s="1011"/>
      <c r="N105" s="1011"/>
      <c r="O105" s="1011"/>
      <c r="P105" s="1011"/>
      <c r="Q105" s="1011"/>
      <c r="R105" s="1011"/>
      <c r="S105" s="1011"/>
      <c r="T105" s="1011"/>
    </row>
    <row r="106" spans="1:20" x14ac:dyDescent="0.2">
      <c r="B106" s="1011"/>
      <c r="C106" s="1011"/>
      <c r="D106" s="1011"/>
      <c r="E106" s="1011"/>
      <c r="F106" s="1011"/>
      <c r="G106" s="1011"/>
      <c r="H106" s="1011"/>
      <c r="I106" s="1011"/>
      <c r="J106" s="1011"/>
      <c r="K106" s="1011"/>
      <c r="L106" s="1011"/>
      <c r="M106" s="1011"/>
      <c r="N106" s="1011"/>
      <c r="O106" s="1011"/>
      <c r="P106" s="1011"/>
      <c r="Q106" s="1011"/>
      <c r="R106" s="1011"/>
      <c r="S106" s="1011"/>
      <c r="T106" s="1011"/>
    </row>
    <row r="107" spans="1:20" ht="6.75" customHeight="1" x14ac:dyDescent="0.2">
      <c r="M107" s="8"/>
      <c r="N107" s="399"/>
    </row>
    <row r="108" spans="1:20" ht="12" customHeight="1" x14ac:dyDescent="0.2">
      <c r="B108" s="1011" t="s">
        <v>306</v>
      </c>
      <c r="C108" s="1011"/>
      <c r="D108" s="1011"/>
      <c r="E108" s="1011"/>
      <c r="F108" s="1011"/>
      <c r="G108" s="1011"/>
      <c r="H108" s="1011"/>
      <c r="I108" s="1011"/>
      <c r="J108" s="1011"/>
      <c r="K108" s="1011"/>
      <c r="L108" s="1011"/>
      <c r="M108" s="1011"/>
      <c r="N108" s="1011"/>
      <c r="O108" s="1011"/>
      <c r="P108" s="1011"/>
      <c r="Q108" s="1011"/>
      <c r="R108" s="1011"/>
      <c r="S108" s="1011"/>
      <c r="T108" s="1011"/>
    </row>
    <row r="109" spans="1:20" ht="12" customHeight="1" x14ac:dyDescent="0.2">
      <c r="B109" s="1011"/>
      <c r="C109" s="1011"/>
      <c r="D109" s="1011"/>
      <c r="E109" s="1011"/>
      <c r="F109" s="1011"/>
      <c r="G109" s="1011"/>
      <c r="H109" s="1011"/>
      <c r="I109" s="1011"/>
      <c r="J109" s="1011"/>
      <c r="K109" s="1011"/>
      <c r="L109" s="1011"/>
      <c r="M109" s="1011"/>
      <c r="N109" s="1011"/>
      <c r="O109" s="1011"/>
      <c r="P109" s="1011"/>
      <c r="Q109" s="1011"/>
      <c r="R109" s="1011"/>
      <c r="S109" s="1011"/>
      <c r="T109" s="1011"/>
    </row>
    <row r="110" spans="1:20" ht="12" customHeight="1" x14ac:dyDescent="0.2">
      <c r="M110" s="8"/>
      <c r="N110" s="399"/>
      <c r="O110" s="12"/>
    </row>
    <row r="111" spans="1:20" ht="12.75" customHeight="1" x14ac:dyDescent="0.2">
      <c r="B111" s="54" t="s">
        <v>662</v>
      </c>
      <c r="C111" s="1014" t="s">
        <v>307</v>
      </c>
      <c r="D111" s="1014"/>
      <c r="E111" s="1014"/>
      <c r="F111" s="1014"/>
      <c r="G111" s="1014"/>
      <c r="H111" s="1014"/>
      <c r="I111" s="1014"/>
      <c r="J111" s="1014"/>
      <c r="O111" s="1156" t="str">
        <f>O85</f>
        <v>Equipment and Furniture</v>
      </c>
      <c r="P111" s="1148" t="str">
        <f>P85</f>
        <v>Library Books</v>
      </c>
      <c r="Q111" s="1148" t="str">
        <f>Q85</f>
        <v>Vehicles &amp; Motorized Equipment</v>
      </c>
      <c r="R111" s="1153" t="str">
        <f>R85</f>
        <v>Computer equipment</v>
      </c>
      <c r="S111" s="1153" t="str">
        <f>S85</f>
        <v>Other Asset Class 1</v>
      </c>
    </row>
    <row r="112" spans="1:20" ht="25.5" customHeight="1" x14ac:dyDescent="0.2">
      <c r="C112" s="1014"/>
      <c r="D112" s="1014"/>
      <c r="E112" s="1014"/>
      <c r="F112" s="1014"/>
      <c r="G112" s="1014"/>
      <c r="H112" s="1014"/>
      <c r="I112" s="1014"/>
      <c r="J112" s="1014"/>
      <c r="L112" s="46" t="str">
        <f>L85</f>
        <v>Land</v>
      </c>
      <c r="M112" s="46" t="str">
        <f>M85</f>
        <v>Buildings</v>
      </c>
      <c r="O112" s="1157"/>
      <c r="P112" s="1149"/>
      <c r="Q112" s="1149"/>
      <c r="R112" s="1172"/>
      <c r="S112" s="1172"/>
    </row>
    <row r="113" spans="2:19" x14ac:dyDescent="0.2">
      <c r="C113" s="42" t="s">
        <v>61</v>
      </c>
      <c r="D113" s="1011" t="s">
        <v>308</v>
      </c>
      <c r="E113" s="1011"/>
      <c r="F113" s="1011"/>
      <c r="G113" s="1011"/>
      <c r="H113" s="1011"/>
      <c r="I113" s="1011"/>
      <c r="J113" s="1011"/>
      <c r="L113" s="1140"/>
      <c r="M113" s="1140">
        <v>0</v>
      </c>
      <c r="O113" s="1140"/>
      <c r="P113" s="1140"/>
      <c r="Q113" s="1140"/>
      <c r="R113" s="1142"/>
      <c r="S113" s="1142"/>
    </row>
    <row r="114" spans="2:19" x14ac:dyDescent="0.2">
      <c r="C114" s="42"/>
      <c r="D114" s="1011"/>
      <c r="E114" s="1011"/>
      <c r="F114" s="1011"/>
      <c r="G114" s="1011"/>
      <c r="H114" s="1011"/>
      <c r="I114" s="1011"/>
      <c r="J114" s="1011"/>
      <c r="L114" s="1145"/>
      <c r="M114" s="1145"/>
      <c r="O114" s="1145"/>
      <c r="P114" s="1145"/>
      <c r="Q114" s="1145"/>
      <c r="R114" s="1146"/>
      <c r="S114" s="1146"/>
    </row>
    <row r="115" spans="2:19" ht="6" customHeight="1" x14ac:dyDescent="0.2">
      <c r="C115" s="42"/>
      <c r="L115" s="36"/>
      <c r="M115" s="36"/>
      <c r="O115" s="36"/>
      <c r="P115" s="36"/>
      <c r="Q115" s="36"/>
    </row>
    <row r="116" spans="2:19" x14ac:dyDescent="0.2">
      <c r="C116" s="42" t="s">
        <v>63</v>
      </c>
      <c r="D116" s="1011" t="s">
        <v>309</v>
      </c>
      <c r="E116" s="1011"/>
      <c r="F116" s="1011"/>
      <c r="G116" s="1011"/>
      <c r="H116" s="1011"/>
      <c r="I116" s="1011"/>
      <c r="J116" s="1011"/>
      <c r="L116" s="63" t="s">
        <v>533</v>
      </c>
      <c r="M116" s="1145">
        <v>0</v>
      </c>
      <c r="O116" s="1145"/>
      <c r="P116" s="1145"/>
      <c r="Q116" s="1145"/>
      <c r="R116" s="1145"/>
      <c r="S116" s="1145"/>
    </row>
    <row r="117" spans="2:19" x14ac:dyDescent="0.2">
      <c r="C117" s="42"/>
      <c r="D117" s="1011"/>
      <c r="E117" s="1011"/>
      <c r="F117" s="1011"/>
      <c r="G117" s="1011"/>
      <c r="H117" s="1011"/>
      <c r="I117" s="1011"/>
      <c r="J117" s="1011"/>
      <c r="L117" s="63"/>
      <c r="M117" s="1145"/>
      <c r="O117" s="1145"/>
      <c r="P117" s="1145"/>
      <c r="Q117" s="1145"/>
      <c r="R117" s="1145"/>
      <c r="S117" s="1145"/>
    </row>
    <row r="118" spans="2:19" ht="6" customHeight="1" x14ac:dyDescent="0.2">
      <c r="C118" s="42"/>
      <c r="L118" s="55"/>
      <c r="M118" s="36"/>
      <c r="O118" s="36"/>
      <c r="P118" s="36"/>
      <c r="Q118" s="36"/>
      <c r="R118" s="36"/>
      <c r="S118" s="36"/>
    </row>
    <row r="119" spans="2:19" x14ac:dyDescent="0.2">
      <c r="C119" s="42" t="s">
        <v>451</v>
      </c>
      <c r="D119" s="1011" t="s">
        <v>310</v>
      </c>
      <c r="E119" s="1011"/>
      <c r="F119" s="1011"/>
      <c r="G119" s="1011"/>
      <c r="H119" s="1011"/>
      <c r="I119" s="1011"/>
      <c r="J119" s="1011"/>
      <c r="L119" s="63" t="s">
        <v>533</v>
      </c>
      <c r="M119" s="1145"/>
      <c r="O119" s="1145"/>
      <c r="P119" s="1145"/>
      <c r="Q119" s="1145"/>
      <c r="R119" s="1145"/>
      <c r="S119" s="1145"/>
    </row>
    <row r="120" spans="2:19" x14ac:dyDescent="0.2">
      <c r="C120" s="42"/>
      <c r="D120" s="1011"/>
      <c r="E120" s="1011"/>
      <c r="F120" s="1011"/>
      <c r="G120" s="1011"/>
      <c r="H120" s="1011"/>
      <c r="I120" s="1011"/>
      <c r="J120" s="1011"/>
      <c r="L120" s="63"/>
      <c r="M120" s="1145"/>
      <c r="O120" s="1145"/>
      <c r="P120" s="1145"/>
      <c r="Q120" s="1145"/>
      <c r="R120" s="1145"/>
      <c r="S120" s="1145"/>
    </row>
    <row r="121" spans="2:19" ht="6" customHeight="1" x14ac:dyDescent="0.2">
      <c r="C121" s="42"/>
      <c r="L121" s="36"/>
      <c r="M121" s="36"/>
      <c r="O121" s="36"/>
      <c r="P121" s="36"/>
      <c r="Q121" s="36"/>
    </row>
    <row r="122" spans="2:19" x14ac:dyDescent="0.2">
      <c r="C122" s="42"/>
      <c r="E122" t="s">
        <v>311</v>
      </c>
      <c r="L122" s="61">
        <f>L113</f>
        <v>0</v>
      </c>
      <c r="M122" s="61">
        <f>M113-(M116+M119)</f>
        <v>0</v>
      </c>
      <c r="O122" s="61">
        <f>O113-(O116+O119)</f>
        <v>0</v>
      </c>
      <c r="P122" s="61">
        <f>P113-(P116+P119)</f>
        <v>0</v>
      </c>
      <c r="Q122" s="61">
        <f>Q113-(Q116+Q119)</f>
        <v>0</v>
      </c>
      <c r="R122" s="398"/>
      <c r="S122" s="398"/>
    </row>
    <row r="123" spans="2:19" ht="6.75" customHeight="1" x14ac:dyDescent="0.2">
      <c r="C123" s="42"/>
      <c r="L123" s="36"/>
      <c r="M123" s="36"/>
      <c r="N123" s="36"/>
      <c r="O123" s="36"/>
      <c r="P123" s="36"/>
    </row>
    <row r="124" spans="2:19" x14ac:dyDescent="0.2">
      <c r="B124" s="54" t="s">
        <v>663</v>
      </c>
      <c r="C124" s="1147" t="s">
        <v>130</v>
      </c>
      <c r="D124" s="1147"/>
      <c r="E124" s="1147"/>
      <c r="F124" s="1147"/>
      <c r="G124" s="1147"/>
      <c r="H124" s="1147"/>
      <c r="I124" s="1147"/>
      <c r="J124" s="1147"/>
      <c r="L124" s="1145">
        <v>0</v>
      </c>
      <c r="M124" s="36"/>
      <c r="N124" s="36"/>
      <c r="O124" s="36"/>
      <c r="P124" s="36"/>
    </row>
    <row r="125" spans="2:19" ht="12.75" customHeight="1" x14ac:dyDescent="0.2">
      <c r="C125" s="1147"/>
      <c r="D125" s="1147"/>
      <c r="E125" s="1147"/>
      <c r="F125" s="1147"/>
      <c r="G125" s="1147"/>
      <c r="H125" s="1147"/>
      <c r="I125" s="1147"/>
      <c r="J125" s="1147"/>
      <c r="L125" s="1145"/>
      <c r="M125" s="36"/>
      <c r="N125" s="36"/>
      <c r="O125" s="36"/>
      <c r="P125" s="36"/>
    </row>
    <row r="126" spans="2:19" ht="6.75" customHeight="1" x14ac:dyDescent="0.2">
      <c r="B126" s="4"/>
      <c r="C126" s="42"/>
      <c r="L126" s="36"/>
      <c r="M126" s="36"/>
      <c r="N126" s="36"/>
      <c r="O126" s="36"/>
      <c r="P126" s="36"/>
    </row>
    <row r="127" spans="2:19" ht="12.75" customHeight="1" x14ac:dyDescent="0.2">
      <c r="B127" s="54" t="s">
        <v>664</v>
      </c>
      <c r="C127" s="1011" t="s">
        <v>561</v>
      </c>
      <c r="D127" s="1011"/>
      <c r="E127" s="1011"/>
      <c r="F127" s="1011"/>
      <c r="G127" s="1011"/>
      <c r="H127" s="1011"/>
      <c r="I127" s="1011"/>
      <c r="J127" s="1011"/>
      <c r="L127" s="36"/>
      <c r="M127" s="36"/>
      <c r="N127" s="36"/>
      <c r="O127" s="36"/>
      <c r="P127" s="36"/>
    </row>
    <row r="128" spans="2:19" ht="11.25" customHeight="1" x14ac:dyDescent="0.2">
      <c r="C128" s="1011"/>
      <c r="D128" s="1011"/>
      <c r="E128" s="1011"/>
      <c r="F128" s="1011"/>
      <c r="G128" s="1011"/>
      <c r="H128" s="1011"/>
      <c r="I128" s="1011"/>
      <c r="J128" s="1011"/>
      <c r="L128" s="36"/>
      <c r="M128" s="36"/>
      <c r="N128" s="36"/>
      <c r="O128" s="36"/>
      <c r="P128" s="36"/>
    </row>
    <row r="129" spans="1:25" x14ac:dyDescent="0.2">
      <c r="C129" s="400" t="s">
        <v>61</v>
      </c>
      <c r="D129" s="1011" t="s">
        <v>562</v>
      </c>
      <c r="E129" s="1011"/>
      <c r="F129" s="1011"/>
      <c r="G129" s="1011"/>
      <c r="H129" s="1011"/>
      <c r="I129" s="1011"/>
      <c r="L129" s="1145">
        <v>0</v>
      </c>
      <c r="M129" s="1177" t="str">
        <f>IF(L129=0," ",L124/L129)</f>
        <v xml:space="preserve"> </v>
      </c>
      <c r="O129" s="401" t="s">
        <v>563</v>
      </c>
      <c r="P129" s="36"/>
    </row>
    <row r="130" spans="1:25" x14ac:dyDescent="0.2">
      <c r="C130" s="42"/>
      <c r="D130" s="1011"/>
      <c r="E130" s="1011"/>
      <c r="F130" s="1011"/>
      <c r="G130" s="1011"/>
      <c r="H130" s="1011"/>
      <c r="I130" s="1011"/>
      <c r="L130" s="1145"/>
      <c r="M130" s="1177"/>
      <c r="O130" s="121" t="s">
        <v>564</v>
      </c>
      <c r="P130" s="36"/>
    </row>
    <row r="131" spans="1:25" ht="10.5" customHeight="1" x14ac:dyDescent="0.2">
      <c r="C131" s="42"/>
      <c r="J131" s="47" t="s">
        <v>565</v>
      </c>
      <c r="L131" s="36"/>
      <c r="M131" s="36"/>
      <c r="N131" s="36"/>
      <c r="O131" s="36"/>
      <c r="P131" s="36"/>
    </row>
    <row r="132" spans="1:25" x14ac:dyDescent="0.2">
      <c r="C132" s="400" t="s">
        <v>63</v>
      </c>
      <c r="D132" s="1011" t="s">
        <v>566</v>
      </c>
      <c r="E132" s="1011"/>
      <c r="F132" s="1011"/>
      <c r="G132" s="1011"/>
      <c r="H132" s="1011"/>
      <c r="I132" s="1011"/>
      <c r="L132" s="1174"/>
      <c r="M132" s="1175">
        <f>L132*L124</f>
        <v>0</v>
      </c>
      <c r="Q132" s="1176" t="str">
        <f>IF(M132=0," ",(M132/M113))</f>
        <v xml:space="preserve"> </v>
      </c>
      <c r="R132" s="401" t="s">
        <v>563</v>
      </c>
      <c r="S132" s="36"/>
    </row>
    <row r="133" spans="1:25" x14ac:dyDescent="0.2">
      <c r="C133" s="42"/>
      <c r="D133" s="1011"/>
      <c r="E133" s="1011"/>
      <c r="F133" s="1011"/>
      <c r="G133" s="1011"/>
      <c r="H133" s="1011"/>
      <c r="I133" s="1011"/>
      <c r="L133" s="1174"/>
      <c r="M133" s="1175"/>
      <c r="O133" s="121" t="s">
        <v>567</v>
      </c>
      <c r="Q133" s="1176"/>
      <c r="R133" s="401" t="s">
        <v>568</v>
      </c>
      <c r="S133" s="36"/>
    </row>
    <row r="134" spans="1:25" ht="12.75" customHeight="1" x14ac:dyDescent="0.2">
      <c r="C134" s="42"/>
      <c r="L134" s="36"/>
      <c r="M134" s="36"/>
      <c r="N134" s="36"/>
      <c r="O134" s="36"/>
      <c r="P134" s="36"/>
    </row>
    <row r="135" spans="1:25" ht="12.75" customHeight="1" x14ac:dyDescent="0.2">
      <c r="B135" s="54" t="s">
        <v>343</v>
      </c>
      <c r="C135" s="4" t="s">
        <v>569</v>
      </c>
      <c r="D135" s="4"/>
      <c r="E135" s="4"/>
      <c r="F135" s="4"/>
      <c r="K135" s="1167" t="s">
        <v>570</v>
      </c>
      <c r="L135" s="1167"/>
      <c r="M135" s="403" t="str">
        <f>IF(L129=0,"0",((L122+M122+O122+P122+Q122+R122+S122+T122)*M129))</f>
        <v>0</v>
      </c>
      <c r="O135" s="1166" t="s">
        <v>571</v>
      </c>
      <c r="P135" s="1166"/>
      <c r="Q135" s="198" t="str">
        <f>IF(L132=0,"0",(L122+M122+O122+P122+Q122+R122+S122+T122)*Q132)</f>
        <v>0</v>
      </c>
    </row>
    <row r="136" spans="1:25" ht="6.75" customHeight="1" x14ac:dyDescent="0.2">
      <c r="B136" s="54"/>
      <c r="C136" s="4"/>
      <c r="D136" s="4"/>
      <c r="E136" s="4"/>
      <c r="F136" s="4"/>
      <c r="K136" s="402"/>
      <c r="L136" s="402"/>
      <c r="M136" s="404"/>
      <c r="N136" s="11"/>
      <c r="O136" s="405"/>
      <c r="P136" s="405"/>
      <c r="Q136" s="406"/>
    </row>
    <row r="137" spans="1:25" ht="12.75" customHeight="1" x14ac:dyDescent="0.2">
      <c r="A137" t="s">
        <v>359</v>
      </c>
      <c r="C137" s="42" t="s">
        <v>61</v>
      </c>
      <c r="D137" s="1181" t="s">
        <v>572</v>
      </c>
      <c r="E137" s="1181"/>
      <c r="F137" s="1181"/>
      <c r="G137" s="1181"/>
      <c r="H137" s="1181"/>
      <c r="I137" s="1181"/>
      <c r="L137" s="36"/>
      <c r="M137" s="36"/>
      <c r="T137" s="407"/>
    </row>
    <row r="138" spans="1:25" ht="12.75" customHeight="1" x14ac:dyDescent="0.2">
      <c r="C138" s="36"/>
      <c r="D138" s="1181"/>
      <c r="E138" s="1181"/>
      <c r="F138" s="1181"/>
      <c r="G138" s="1181"/>
      <c r="H138" s="1181"/>
      <c r="I138" s="1181"/>
      <c r="L138" s="36"/>
      <c r="M138" s="36"/>
      <c r="T138" s="407"/>
    </row>
    <row r="139" spans="1:25" x14ac:dyDescent="0.2">
      <c r="C139" s="36"/>
      <c r="D139" t="str">
        <f>L112</f>
        <v>Land</v>
      </c>
      <c r="H139" s="231"/>
      <c r="L139" s="36"/>
      <c r="M139" s="36"/>
    </row>
    <row r="140" spans="1:25" x14ac:dyDescent="0.2">
      <c r="C140" s="36"/>
      <c r="D140" t="str">
        <f>M112</f>
        <v>Buildings</v>
      </c>
      <c r="H140" s="231">
        <v>0</v>
      </c>
      <c r="L140" s="36"/>
      <c r="M140" s="36"/>
    </row>
    <row r="141" spans="1:25" x14ac:dyDescent="0.2">
      <c r="C141" s="36"/>
      <c r="D141" t="str">
        <f>O111</f>
        <v>Equipment and Furniture</v>
      </c>
      <c r="H141" s="231"/>
      <c r="L141" s="36"/>
      <c r="M141" s="36"/>
    </row>
    <row r="142" spans="1:25" x14ac:dyDescent="0.2">
      <c r="D142" t="str">
        <f>P111</f>
        <v>Library Books</v>
      </c>
      <c r="H142" s="231"/>
      <c r="L142" s="36"/>
      <c r="M142" s="36"/>
    </row>
    <row r="143" spans="1:25" x14ac:dyDescent="0.2">
      <c r="D143" t="str">
        <f>Q111</f>
        <v>Vehicles &amp; Motorized Equipment</v>
      </c>
      <c r="H143" s="231"/>
      <c r="L143" s="36"/>
      <c r="M143" s="36"/>
    </row>
    <row r="144" spans="1:25" x14ac:dyDescent="0.2">
      <c r="C144" s="36"/>
      <c r="D144" s="215" t="str">
        <f>R111</f>
        <v>Computer equipment</v>
      </c>
      <c r="H144" s="231"/>
      <c r="L144" s="36"/>
      <c r="M144" s="36"/>
      <c r="X144" s="1182" t="str">
        <f>IF(W144=AA121," ","Recheck number. Must match 4 above.")</f>
        <v xml:space="preserve"> </v>
      </c>
      <c r="Y144" s="1182"/>
    </row>
    <row r="145" spans="1:20" x14ac:dyDescent="0.2">
      <c r="C145" s="36"/>
      <c r="D145" s="215" t="str">
        <f>S111</f>
        <v>Other Asset Class 1</v>
      </c>
      <c r="H145" s="231"/>
      <c r="L145" s="36"/>
      <c r="M145" s="36"/>
    </row>
    <row r="146" spans="1:20" ht="24" customHeight="1" thickBot="1" x14ac:dyDescent="0.25">
      <c r="C146" s="36"/>
      <c r="D146" s="36"/>
      <c r="E146" s="36"/>
      <c r="H146" s="142">
        <f>SUM(H139:H145)</f>
        <v>0</v>
      </c>
      <c r="I146" s="1178" t="str">
        <f>IF(H146=M135+Q135," ","Recheck number. Must match loss amt. in 4 above.")</f>
        <v xml:space="preserve"> </v>
      </c>
      <c r="J146" s="1178"/>
      <c r="K146" s="1178"/>
      <c r="L146" s="36"/>
      <c r="M146" s="36"/>
      <c r="T146" s="408"/>
    </row>
    <row r="147" spans="1:20" ht="13.5" thickTop="1" x14ac:dyDescent="0.2">
      <c r="C147" s="42"/>
      <c r="L147" s="36"/>
      <c r="M147" s="36"/>
      <c r="N147" s="36"/>
      <c r="O147" s="36"/>
      <c r="P147" s="36"/>
    </row>
    <row r="148" spans="1:20" ht="11.25" customHeight="1" x14ac:dyDescent="0.2">
      <c r="B148" s="409" t="s">
        <v>344</v>
      </c>
      <c r="C148" s="1179" t="s">
        <v>573</v>
      </c>
      <c r="D148" s="1179"/>
      <c r="E148" s="1179"/>
      <c r="F148" s="1179"/>
      <c r="G148" s="1179"/>
      <c r="H148" s="1179"/>
      <c r="I148" s="1179"/>
      <c r="J148" s="32"/>
      <c r="K148" s="32"/>
      <c r="L148" s="44"/>
      <c r="M148" s="1141"/>
      <c r="O148" s="44"/>
      <c r="P148" s="44"/>
      <c r="Q148" s="32"/>
      <c r="R148" s="32"/>
    </row>
    <row r="149" spans="1:20" x14ac:dyDescent="0.2">
      <c r="B149" s="32"/>
      <c r="C149" s="83" t="s">
        <v>61</v>
      </c>
      <c r="D149" s="32" t="s">
        <v>574</v>
      </c>
      <c r="F149" s="32"/>
      <c r="G149" s="32"/>
      <c r="H149" s="32"/>
      <c r="I149" s="32"/>
      <c r="J149" s="32"/>
      <c r="K149" s="32"/>
      <c r="L149" s="220"/>
      <c r="M149" s="1180"/>
      <c r="O149" s="220"/>
      <c r="P149" s="220"/>
      <c r="Q149" s="216"/>
      <c r="R149" s="216"/>
    </row>
    <row r="150" spans="1:20" ht="6.75" customHeight="1" x14ac:dyDescent="0.2">
      <c r="B150" s="32"/>
      <c r="C150" s="83"/>
      <c r="D150" s="32"/>
      <c r="E150" s="32"/>
      <c r="F150" s="32"/>
      <c r="G150" s="32"/>
      <c r="H150" s="32"/>
      <c r="I150" s="32"/>
      <c r="J150" s="32"/>
      <c r="K150" s="32"/>
      <c r="L150" s="44"/>
      <c r="M150" s="44"/>
      <c r="N150" s="44"/>
      <c r="O150" s="44"/>
      <c r="P150" s="44"/>
      <c r="Q150" s="32"/>
      <c r="R150" s="32"/>
    </row>
    <row r="151" spans="1:20" ht="24.75" customHeight="1" thickBot="1" x14ac:dyDescent="0.25">
      <c r="B151" s="32"/>
      <c r="C151" s="32" t="s">
        <v>63</v>
      </c>
      <c r="D151" s="32"/>
      <c r="E151" s="1184" t="s">
        <v>575</v>
      </c>
      <c r="F151" s="1184"/>
      <c r="G151" s="1184"/>
      <c r="H151" s="1184"/>
      <c r="I151" s="1184"/>
      <c r="J151" s="32"/>
      <c r="K151" s="32"/>
      <c r="L151" s="44"/>
      <c r="M151" s="71">
        <f>M148-(M135+Q135)</f>
        <v>0</v>
      </c>
      <c r="O151" s="44"/>
      <c r="P151" s="44"/>
      <c r="Q151" s="32"/>
      <c r="R151" s="32"/>
    </row>
    <row r="152" spans="1:20" ht="12.75" customHeight="1" thickTop="1" x14ac:dyDescent="0.2">
      <c r="B152" s="32"/>
      <c r="C152" s="32"/>
      <c r="D152" s="32"/>
      <c r="E152" s="32"/>
      <c r="F152" s="32"/>
      <c r="G152" s="32"/>
      <c r="H152" s="32"/>
      <c r="I152" s="32"/>
      <c r="J152" s="32"/>
      <c r="K152" s="32"/>
      <c r="L152" s="44"/>
      <c r="M152" s="44"/>
      <c r="O152" s="44"/>
      <c r="P152" s="44"/>
      <c r="Q152" s="32"/>
      <c r="R152" s="32"/>
    </row>
    <row r="153" spans="1:20" ht="12.75" customHeight="1" x14ac:dyDescent="0.2">
      <c r="B153" s="32"/>
      <c r="C153" s="32"/>
      <c r="D153" s="32"/>
      <c r="E153" s="32"/>
      <c r="F153" s="32"/>
      <c r="G153" s="32"/>
      <c r="H153" s="32"/>
      <c r="I153" s="32"/>
      <c r="J153" s="32"/>
      <c r="K153" s="32"/>
      <c r="L153" s="44"/>
      <c r="M153" s="44"/>
      <c r="O153" s="44"/>
      <c r="P153" s="44"/>
      <c r="Q153" s="32"/>
      <c r="R153" s="32"/>
    </row>
    <row r="154" spans="1:20" ht="25.5" customHeight="1" x14ac:dyDescent="0.2">
      <c r="A154" s="4" t="s">
        <v>529</v>
      </c>
      <c r="B154" s="1115" t="s">
        <v>753</v>
      </c>
      <c r="C154" s="1116"/>
      <c r="D154" s="1116"/>
      <c r="E154" s="1116"/>
      <c r="F154" s="1116"/>
      <c r="G154" s="1116"/>
      <c r="H154" s="1116"/>
      <c r="I154" s="1116"/>
      <c r="J154" s="1116"/>
      <c r="K154" s="1116"/>
      <c r="L154" s="1116"/>
      <c r="M154" s="1116"/>
      <c r="N154" s="1116"/>
      <c r="O154" s="1116"/>
      <c r="P154" s="1116"/>
      <c r="Q154" s="1116"/>
      <c r="R154" s="1116"/>
      <c r="S154" s="1116"/>
      <c r="T154" s="1117"/>
    </row>
    <row r="155" spans="1:20" ht="12.75" customHeight="1" x14ac:dyDescent="0.2">
      <c r="B155" s="38" t="s">
        <v>186</v>
      </c>
      <c r="C155" s="1011" t="s">
        <v>170</v>
      </c>
      <c r="D155" s="1011"/>
      <c r="E155" s="1011"/>
      <c r="F155" s="1011"/>
      <c r="G155" s="1011"/>
      <c r="H155" s="1011"/>
      <c r="I155" s="1011"/>
      <c r="J155" s="1011"/>
      <c r="K155" s="32"/>
      <c r="L155" s="44"/>
      <c r="M155" s="44"/>
      <c r="O155" s="44"/>
      <c r="P155" s="44"/>
      <c r="Q155" s="32"/>
      <c r="R155" s="32"/>
    </row>
    <row r="156" spans="1:20" ht="12.75" customHeight="1" x14ac:dyDescent="0.2">
      <c r="C156" s="1011"/>
      <c r="D156" s="1011"/>
      <c r="E156" s="1011"/>
      <c r="F156" s="1011"/>
      <c r="G156" s="1011"/>
      <c r="H156" s="1011"/>
      <c r="I156" s="1011"/>
      <c r="J156" s="1011"/>
      <c r="K156" s="32"/>
      <c r="L156" s="44"/>
      <c r="M156" s="44"/>
      <c r="O156" s="44"/>
      <c r="P156" s="44"/>
      <c r="Q156" s="32"/>
      <c r="R156" s="32"/>
    </row>
    <row r="157" spans="1:20" ht="12.75" customHeight="1" x14ac:dyDescent="0.2">
      <c r="C157" t="s">
        <v>61</v>
      </c>
      <c r="D157" s="1011" t="s">
        <v>171</v>
      </c>
      <c r="E157" s="1011"/>
      <c r="F157" s="1011"/>
      <c r="G157" s="1011"/>
      <c r="H157" s="1011"/>
      <c r="I157" s="1011"/>
      <c r="J157" s="1011"/>
      <c r="K157" s="32"/>
      <c r="L157" s="44"/>
      <c r="M157" s="44"/>
      <c r="O157" s="44"/>
      <c r="P157" s="44"/>
      <c r="Q157" s="32"/>
      <c r="R157" s="32"/>
    </row>
    <row r="158" spans="1:20" ht="12.75" customHeight="1" x14ac:dyDescent="0.2">
      <c r="D158" s="1011"/>
      <c r="E158" s="1011"/>
      <c r="F158" s="1011"/>
      <c r="G158" s="1011"/>
      <c r="H158" s="1011"/>
      <c r="I158" s="1011"/>
      <c r="J158" s="1011"/>
      <c r="K158" s="32"/>
      <c r="L158" s="44"/>
      <c r="M158" s="44"/>
      <c r="O158" s="44"/>
      <c r="P158" s="44"/>
      <c r="Q158" s="32"/>
      <c r="R158" s="32"/>
    </row>
    <row r="159" spans="1:20" ht="12.75" customHeight="1" x14ac:dyDescent="0.2">
      <c r="D159" t="s">
        <v>172</v>
      </c>
      <c r="K159" s="439"/>
      <c r="L159" s="231"/>
      <c r="M159" s="44"/>
      <c r="O159" s="44"/>
      <c r="P159" s="44"/>
      <c r="Q159" s="32"/>
      <c r="R159" s="32"/>
    </row>
    <row r="160" spans="1:20" ht="12.75" customHeight="1" x14ac:dyDescent="0.2">
      <c r="D160" t="s">
        <v>164</v>
      </c>
      <c r="K160" s="32"/>
      <c r="L160" s="231"/>
      <c r="M160" s="44"/>
      <c r="O160" s="44"/>
      <c r="P160" s="44"/>
      <c r="Q160" s="32"/>
      <c r="R160" s="32"/>
    </row>
    <row r="161" spans="3:18" ht="12.75" customHeight="1" x14ac:dyDescent="0.2">
      <c r="K161" s="32"/>
      <c r="L161" s="44"/>
      <c r="M161" s="44"/>
      <c r="O161" s="44"/>
      <c r="P161" s="44"/>
      <c r="Q161" s="32"/>
      <c r="R161" s="32"/>
    </row>
    <row r="162" spans="3:18" ht="12.75" customHeight="1" x14ac:dyDescent="0.2">
      <c r="C162" t="s">
        <v>63</v>
      </c>
      <c r="D162" s="1181" t="s">
        <v>173</v>
      </c>
      <c r="E162" s="1181"/>
      <c r="F162" s="1181"/>
      <c r="G162" s="1181"/>
      <c r="H162" s="1181"/>
      <c r="I162" s="1181"/>
      <c r="J162" s="1181"/>
      <c r="K162" s="407"/>
      <c r="L162" s="44"/>
      <c r="M162" s="44"/>
    </row>
    <row r="163" spans="3:18" ht="12.75" customHeight="1" x14ac:dyDescent="0.2">
      <c r="C163" s="407"/>
      <c r="D163" s="1181"/>
      <c r="E163" s="1181"/>
      <c r="F163" s="1181"/>
      <c r="G163" s="1181"/>
      <c r="H163" s="1181"/>
      <c r="I163" s="1181"/>
      <c r="J163" s="1181"/>
      <c r="K163" s="407"/>
      <c r="L163" s="44"/>
      <c r="M163" s="44"/>
    </row>
    <row r="164" spans="3:18" ht="12.75" customHeight="1" x14ac:dyDescent="0.2">
      <c r="C164" s="407"/>
      <c r="D164" s="1181"/>
      <c r="E164" s="1181"/>
      <c r="F164" s="1181"/>
      <c r="G164" s="1181"/>
      <c r="H164" s="1181"/>
      <c r="I164" s="1181"/>
      <c r="J164" s="1181"/>
      <c r="L164" s="44"/>
      <c r="M164" s="44"/>
    </row>
    <row r="165" spans="3:18" ht="12.75" customHeight="1" x14ac:dyDescent="0.2">
      <c r="C165" s="42"/>
      <c r="E165" t="s">
        <v>174</v>
      </c>
      <c r="L165" s="231">
        <v>0</v>
      </c>
      <c r="O165" s="44"/>
    </row>
    <row r="166" spans="3:18" ht="12.75" customHeight="1" x14ac:dyDescent="0.2">
      <c r="C166" s="42"/>
      <c r="E166" t="s">
        <v>269</v>
      </c>
      <c r="L166" s="231"/>
      <c r="O166" s="44"/>
    </row>
    <row r="167" spans="3:18" ht="12.75" customHeight="1" x14ac:dyDescent="0.2">
      <c r="C167" s="42"/>
      <c r="E167" t="s">
        <v>270</v>
      </c>
      <c r="L167" s="231"/>
      <c r="O167" s="44"/>
    </row>
    <row r="168" spans="3:18" ht="12.75" customHeight="1" x14ac:dyDescent="0.2">
      <c r="C168" s="42"/>
      <c r="E168" t="s">
        <v>271</v>
      </c>
      <c r="L168" s="231"/>
      <c r="O168" s="44"/>
    </row>
    <row r="169" spans="3:18" ht="12.75" customHeight="1" x14ac:dyDescent="0.2">
      <c r="C169" s="42"/>
      <c r="E169" t="s">
        <v>272</v>
      </c>
      <c r="L169" s="231"/>
      <c r="O169" s="44"/>
    </row>
    <row r="170" spans="3:18" ht="12.75" customHeight="1" x14ac:dyDescent="0.2">
      <c r="C170" s="42"/>
      <c r="E170" t="s">
        <v>273</v>
      </c>
      <c r="L170" s="231"/>
      <c r="O170" s="44"/>
    </row>
    <row r="171" spans="3:18" ht="12.75" customHeight="1" x14ac:dyDescent="0.2">
      <c r="C171" s="42"/>
      <c r="E171" t="s">
        <v>274</v>
      </c>
      <c r="L171" s="231"/>
      <c r="O171" s="44"/>
    </row>
    <row r="172" spans="3:18" ht="12.75" customHeight="1" x14ac:dyDescent="0.2">
      <c r="C172" s="42"/>
      <c r="E172" t="s">
        <v>275</v>
      </c>
      <c r="L172" s="231"/>
      <c r="O172" s="44"/>
    </row>
    <row r="173" spans="3:18" ht="12.75" customHeight="1" x14ac:dyDescent="0.2">
      <c r="C173" s="42"/>
      <c r="E173" t="s">
        <v>387</v>
      </c>
      <c r="L173" s="231"/>
      <c r="O173" s="44"/>
    </row>
    <row r="174" spans="3:18" ht="12.75" customHeight="1" x14ac:dyDescent="0.2">
      <c r="C174" s="42"/>
      <c r="E174" t="s">
        <v>276</v>
      </c>
      <c r="L174" s="231"/>
      <c r="O174" s="44"/>
    </row>
    <row r="175" spans="3:18" ht="12.75" customHeight="1" x14ac:dyDescent="0.2">
      <c r="C175" s="42"/>
      <c r="E175" t="s">
        <v>243</v>
      </c>
      <c r="L175" s="231"/>
      <c r="O175" s="44"/>
    </row>
    <row r="176" spans="3:18" ht="12.75" customHeight="1" x14ac:dyDescent="0.2">
      <c r="C176" s="42"/>
      <c r="E176" t="s">
        <v>244</v>
      </c>
      <c r="L176" s="231"/>
      <c r="O176" s="44"/>
    </row>
    <row r="177" spans="1:20" ht="12.75" customHeight="1" x14ac:dyDescent="0.2">
      <c r="C177" s="42"/>
      <c r="E177" t="s">
        <v>277</v>
      </c>
      <c r="L177" s="231"/>
      <c r="O177" s="44"/>
    </row>
    <row r="178" spans="1:20" ht="12.75" customHeight="1" x14ac:dyDescent="0.2">
      <c r="C178" s="42"/>
      <c r="E178" t="s">
        <v>279</v>
      </c>
      <c r="L178" s="231"/>
      <c r="O178" s="44"/>
    </row>
    <row r="179" spans="1:20" ht="12.75" customHeight="1" x14ac:dyDescent="0.2">
      <c r="C179" s="42"/>
      <c r="E179" t="s">
        <v>280</v>
      </c>
      <c r="L179" s="231"/>
      <c r="O179" s="44"/>
    </row>
    <row r="180" spans="1:20" ht="12.75" customHeight="1" x14ac:dyDescent="0.2">
      <c r="C180" s="42"/>
      <c r="E180" t="s">
        <v>278</v>
      </c>
      <c r="L180" s="231"/>
      <c r="O180" s="44"/>
    </row>
    <row r="181" spans="1:20" ht="12.75" customHeight="1" x14ac:dyDescent="0.2">
      <c r="C181" s="42"/>
      <c r="E181" t="s">
        <v>263</v>
      </c>
      <c r="L181" s="231"/>
      <c r="O181" s="44"/>
    </row>
    <row r="182" spans="1:20" ht="12.75" customHeight="1" x14ac:dyDescent="0.2">
      <c r="C182" s="42"/>
      <c r="E182" t="s">
        <v>55</v>
      </c>
      <c r="L182" s="231"/>
      <c r="O182" s="44"/>
    </row>
    <row r="183" spans="1:20" x14ac:dyDescent="0.2">
      <c r="C183" s="42"/>
      <c r="M183" s="1178" t="str">
        <f>IF(L184=M151," ","Recheck entry. Total must match net gain or loss in 5.b above.")</f>
        <v xml:space="preserve"> </v>
      </c>
      <c r="N183" s="1110"/>
      <c r="O183" s="1110"/>
      <c r="P183" s="1110"/>
    </row>
    <row r="184" spans="1:20" x14ac:dyDescent="0.2">
      <c r="H184" s="23" t="s">
        <v>175</v>
      </c>
      <c r="L184" s="198">
        <f>L159+L160+SUM(L165:L182)</f>
        <v>0</v>
      </c>
      <c r="M184" s="1110"/>
      <c r="N184" s="1110"/>
      <c r="O184" s="1110"/>
      <c r="P184" s="1110"/>
    </row>
    <row r="185" spans="1:20" ht="5.25" customHeight="1" x14ac:dyDescent="0.2">
      <c r="L185" s="36"/>
      <c r="M185" s="36"/>
      <c r="N185" s="36"/>
      <c r="O185" s="36"/>
      <c r="P185" s="36"/>
      <c r="Q185" s="36"/>
    </row>
    <row r="186" spans="1:20" ht="26.25" customHeight="1" x14ac:dyDescent="0.2">
      <c r="A186" s="4" t="s">
        <v>534</v>
      </c>
      <c r="B186" s="1120" t="s">
        <v>329</v>
      </c>
      <c r="C186" s="1121"/>
      <c r="D186" s="1121"/>
      <c r="E186" s="1121"/>
      <c r="F186" s="1121"/>
      <c r="G186" s="1121"/>
      <c r="H186" s="1121"/>
      <c r="I186" s="1121"/>
      <c r="J186" s="1121"/>
      <c r="K186" s="1121"/>
      <c r="L186" s="1121"/>
      <c r="M186" s="1121"/>
      <c r="N186" s="1121"/>
      <c r="O186" s="1121"/>
      <c r="P186" s="1121"/>
      <c r="Q186" s="1121"/>
      <c r="R186" s="1121"/>
      <c r="S186" s="1121"/>
      <c r="T186" s="1122"/>
    </row>
    <row r="187" spans="1:20" ht="2.25" customHeight="1" x14ac:dyDescent="0.2"/>
    <row r="188" spans="1:20" x14ac:dyDescent="0.2">
      <c r="E188" t="s">
        <v>359</v>
      </c>
      <c r="M188" s="46" t="s">
        <v>658</v>
      </c>
      <c r="N188" s="42"/>
      <c r="O188" s="46" t="s">
        <v>659</v>
      </c>
    </row>
    <row r="189" spans="1:20" x14ac:dyDescent="0.2">
      <c r="D189" t="s">
        <v>135</v>
      </c>
      <c r="E189" s="11" t="str">
        <f>CONCATENATE("Accumulated depreciation - ", M85)</f>
        <v>Accumulated depreciation - Buildings</v>
      </c>
      <c r="F189" s="11"/>
      <c r="M189" s="64">
        <f t="shared" ref="M189:M194" si="5">X242</f>
        <v>0</v>
      </c>
      <c r="N189" s="11"/>
      <c r="O189" s="64"/>
    </row>
    <row r="190" spans="1:20" x14ac:dyDescent="0.2">
      <c r="E190" s="11" t="str">
        <f xml:space="preserve"> CONCATENATE("Accumulated depreciation - ",O85)</f>
        <v>Accumulated depreciation - Equipment and Furniture</v>
      </c>
      <c r="F190" s="11"/>
      <c r="M190" s="64">
        <f t="shared" si="5"/>
        <v>0</v>
      </c>
      <c r="N190" s="11"/>
      <c r="O190" s="64"/>
    </row>
    <row r="191" spans="1:20" x14ac:dyDescent="0.2">
      <c r="E191" s="11" t="str">
        <f>CONCATENATE("Accumulated depreciation - ", P85)</f>
        <v>Accumulated depreciation - Library Books</v>
      </c>
      <c r="F191" s="11"/>
      <c r="M191" s="64">
        <f t="shared" si="5"/>
        <v>0</v>
      </c>
      <c r="N191" s="11"/>
      <c r="O191" s="64"/>
    </row>
    <row r="192" spans="1:20" x14ac:dyDescent="0.2">
      <c r="E192" s="11" t="str">
        <f>CONCATENATE("Accumulated depreciation - ", Q85)</f>
        <v>Accumulated depreciation - Vehicles &amp; Motorized Equipment</v>
      </c>
      <c r="F192" s="11"/>
      <c r="M192" s="64">
        <f t="shared" si="5"/>
        <v>0</v>
      </c>
      <c r="N192" s="11"/>
      <c r="O192" s="64"/>
    </row>
    <row r="193" spans="5:15" x14ac:dyDescent="0.2">
      <c r="E193" s="11" t="str">
        <f xml:space="preserve"> CONCATENATE("Accumulated depreciation - ",R85)</f>
        <v>Accumulated depreciation - Computer equipment</v>
      </c>
      <c r="F193" s="11"/>
      <c r="M193" s="64">
        <f t="shared" si="5"/>
        <v>0</v>
      </c>
      <c r="N193" s="11"/>
      <c r="O193" s="64"/>
    </row>
    <row r="194" spans="5:15" x14ac:dyDescent="0.2">
      <c r="E194" s="11" t="str">
        <f>CONCATENATE("Accumulated depreciation - ", S85)</f>
        <v>Accumulated depreciation - Other Asset Class 1</v>
      </c>
      <c r="F194" s="11"/>
      <c r="M194" s="64">
        <f t="shared" si="5"/>
        <v>0</v>
      </c>
      <c r="N194" s="11"/>
      <c r="O194" s="64"/>
    </row>
    <row r="195" spans="5:15" x14ac:dyDescent="0.2">
      <c r="E195" s="11" t="s">
        <v>93</v>
      </c>
      <c r="F195" s="11"/>
      <c r="M195" s="64">
        <f>X248</f>
        <v>0</v>
      </c>
      <c r="N195" s="11"/>
      <c r="O195" s="64"/>
    </row>
    <row r="196" spans="5:15" x14ac:dyDescent="0.2">
      <c r="E196" t="s">
        <v>458</v>
      </c>
      <c r="M196" s="64">
        <f>X249</f>
        <v>0</v>
      </c>
      <c r="N196" s="11"/>
      <c r="O196" s="64"/>
    </row>
    <row r="197" spans="5:15" x14ac:dyDescent="0.2">
      <c r="E197" t="s">
        <v>427</v>
      </c>
      <c r="M197" s="64">
        <f>X250</f>
        <v>0</v>
      </c>
      <c r="N197" s="11"/>
      <c r="O197" s="64"/>
    </row>
    <row r="198" spans="5:15" x14ac:dyDescent="0.2">
      <c r="E198" s="11" t="s">
        <v>177</v>
      </c>
      <c r="M198" s="64"/>
      <c r="N198" s="11"/>
      <c r="O198" s="64">
        <f>X251</f>
        <v>0</v>
      </c>
    </row>
    <row r="199" spans="5:15" x14ac:dyDescent="0.2">
      <c r="E199" t="s">
        <v>456</v>
      </c>
      <c r="M199" s="64">
        <f>X252</f>
        <v>0</v>
      </c>
      <c r="N199" s="11"/>
      <c r="O199" s="64"/>
    </row>
    <row r="200" spans="5:15" x14ac:dyDescent="0.2">
      <c r="E200" t="s">
        <v>269</v>
      </c>
      <c r="M200" s="64">
        <f>X263</f>
        <v>0</v>
      </c>
      <c r="N200" s="11"/>
      <c r="O200" s="64"/>
    </row>
    <row r="201" spans="5:15" x14ac:dyDescent="0.2">
      <c r="E201" t="s">
        <v>270</v>
      </c>
      <c r="M201" s="64">
        <f t="shared" ref="M201:M216" si="6">X264</f>
        <v>0</v>
      </c>
      <c r="N201" s="11"/>
      <c r="O201" s="64"/>
    </row>
    <row r="202" spans="5:15" x14ac:dyDescent="0.2">
      <c r="E202" t="s">
        <v>271</v>
      </c>
      <c r="M202" s="64">
        <f t="shared" si="6"/>
        <v>0</v>
      </c>
      <c r="N202" s="11"/>
      <c r="O202" s="64"/>
    </row>
    <row r="203" spans="5:15" x14ac:dyDescent="0.2">
      <c r="E203" t="s">
        <v>272</v>
      </c>
      <c r="M203" s="64">
        <f t="shared" si="6"/>
        <v>0</v>
      </c>
      <c r="N203" s="11"/>
      <c r="O203" s="64"/>
    </row>
    <row r="204" spans="5:15" x14ac:dyDescent="0.2">
      <c r="E204" t="s">
        <v>273</v>
      </c>
      <c r="M204" s="64">
        <f t="shared" si="6"/>
        <v>0</v>
      </c>
      <c r="N204" s="11"/>
      <c r="O204" s="64"/>
    </row>
    <row r="205" spans="5:15" x14ac:dyDescent="0.2">
      <c r="E205" t="s">
        <v>274</v>
      </c>
      <c r="M205" s="64">
        <f t="shared" si="6"/>
        <v>0</v>
      </c>
      <c r="N205" s="11"/>
      <c r="O205" s="64"/>
    </row>
    <row r="206" spans="5:15" x14ac:dyDescent="0.2">
      <c r="E206" t="s">
        <v>275</v>
      </c>
      <c r="M206" s="64">
        <f t="shared" si="6"/>
        <v>0</v>
      </c>
      <c r="N206" s="11"/>
      <c r="O206" s="64"/>
    </row>
    <row r="207" spans="5:15" x14ac:dyDescent="0.2">
      <c r="E207" t="s">
        <v>387</v>
      </c>
      <c r="M207" s="64">
        <f t="shared" si="6"/>
        <v>0</v>
      </c>
      <c r="N207" s="11"/>
      <c r="O207" s="64"/>
    </row>
    <row r="208" spans="5:15" x14ac:dyDescent="0.2">
      <c r="E208" t="s">
        <v>276</v>
      </c>
      <c r="M208" s="64">
        <f t="shared" si="6"/>
        <v>0</v>
      </c>
      <c r="N208" s="11"/>
      <c r="O208" s="64"/>
    </row>
    <row r="209" spans="4:15" x14ac:dyDescent="0.2">
      <c r="E209" t="s">
        <v>243</v>
      </c>
      <c r="M209" s="64">
        <f t="shared" si="6"/>
        <v>0</v>
      </c>
      <c r="N209" s="11"/>
      <c r="O209" s="64"/>
    </row>
    <row r="210" spans="4:15" x14ac:dyDescent="0.2">
      <c r="E210" t="s">
        <v>244</v>
      </c>
      <c r="M210" s="64">
        <f t="shared" si="6"/>
        <v>0</v>
      </c>
      <c r="N210" s="11"/>
      <c r="O210" s="64"/>
    </row>
    <row r="211" spans="4:15" x14ac:dyDescent="0.2">
      <c r="E211" t="s">
        <v>277</v>
      </c>
      <c r="M211" s="64">
        <f t="shared" si="6"/>
        <v>0</v>
      </c>
      <c r="N211" s="11"/>
      <c r="O211" s="64"/>
    </row>
    <row r="212" spans="4:15" x14ac:dyDescent="0.2">
      <c r="E212" t="s">
        <v>279</v>
      </c>
      <c r="M212" s="64">
        <f t="shared" si="6"/>
        <v>0</v>
      </c>
      <c r="N212" s="11"/>
      <c r="O212" s="64"/>
    </row>
    <row r="213" spans="4:15" x14ac:dyDescent="0.2">
      <c r="E213" t="s">
        <v>280</v>
      </c>
      <c r="M213" s="64">
        <f t="shared" si="6"/>
        <v>0</v>
      </c>
      <c r="N213" s="11"/>
      <c r="O213" s="64"/>
    </row>
    <row r="214" spans="4:15" x14ac:dyDescent="0.2">
      <c r="E214" t="s">
        <v>278</v>
      </c>
      <c r="M214" s="64">
        <f t="shared" si="6"/>
        <v>0</v>
      </c>
      <c r="N214" s="11"/>
      <c r="O214" s="64"/>
    </row>
    <row r="215" spans="4:15" x14ac:dyDescent="0.2">
      <c r="E215" t="s">
        <v>263</v>
      </c>
      <c r="M215" s="64">
        <f t="shared" si="6"/>
        <v>0</v>
      </c>
      <c r="N215" s="11"/>
      <c r="O215" s="64"/>
    </row>
    <row r="216" spans="4:15" x14ac:dyDescent="0.2">
      <c r="E216" t="s">
        <v>55</v>
      </c>
      <c r="M216" s="64">
        <f t="shared" si="6"/>
        <v>0</v>
      </c>
      <c r="N216" s="11"/>
      <c r="O216" s="64"/>
    </row>
    <row r="217" spans="4:15" x14ac:dyDescent="0.2">
      <c r="F217" s="11" t="str">
        <f>L23</f>
        <v>Land</v>
      </c>
      <c r="M217" s="64">
        <f t="shared" ref="M217:M223" si="7">X253</f>
        <v>0</v>
      </c>
      <c r="N217" s="11"/>
      <c r="O217" s="64">
        <f t="shared" ref="O217:O225" si="8">Y253</f>
        <v>0</v>
      </c>
    </row>
    <row r="218" spans="4:15" x14ac:dyDescent="0.2">
      <c r="F218" s="11" t="str">
        <f>M23</f>
        <v>Buildings</v>
      </c>
      <c r="M218" s="64">
        <f t="shared" si="7"/>
        <v>0</v>
      </c>
      <c r="N218" s="11"/>
      <c r="O218" s="64">
        <f t="shared" si="8"/>
        <v>0</v>
      </c>
    </row>
    <row r="219" spans="4:15" x14ac:dyDescent="0.2">
      <c r="F219" s="11" t="str">
        <f>O22</f>
        <v>Equipment and Furniture</v>
      </c>
      <c r="M219" s="64">
        <f t="shared" si="7"/>
        <v>0</v>
      </c>
      <c r="N219" s="11"/>
      <c r="O219" s="64">
        <f t="shared" si="8"/>
        <v>0</v>
      </c>
    </row>
    <row r="220" spans="4:15" x14ac:dyDescent="0.2">
      <c r="F220" s="11" t="str">
        <f>P22</f>
        <v>Library Books</v>
      </c>
      <c r="M220" s="64">
        <f t="shared" si="7"/>
        <v>0</v>
      </c>
      <c r="N220" s="11"/>
      <c r="O220" s="64">
        <f t="shared" si="8"/>
        <v>0</v>
      </c>
    </row>
    <row r="221" spans="4:15" x14ac:dyDescent="0.2">
      <c r="F221" s="11" t="str">
        <f>Q22</f>
        <v>Vehicles &amp; Motorized Equipment</v>
      </c>
      <c r="M221" s="64">
        <f t="shared" si="7"/>
        <v>0</v>
      </c>
      <c r="N221" s="11"/>
      <c r="O221" s="64">
        <f t="shared" si="8"/>
        <v>0</v>
      </c>
    </row>
    <row r="222" spans="4:15" x14ac:dyDescent="0.2">
      <c r="D222" s="215"/>
      <c r="F222" s="322" t="str">
        <f>R22</f>
        <v>Computer equipment</v>
      </c>
      <c r="M222" s="64">
        <f t="shared" si="7"/>
        <v>0</v>
      </c>
      <c r="N222" s="11"/>
      <c r="O222" s="64">
        <f t="shared" si="8"/>
        <v>0</v>
      </c>
    </row>
    <row r="223" spans="4:15" x14ac:dyDescent="0.2">
      <c r="D223" s="215"/>
      <c r="F223" s="322" t="str">
        <f>S22</f>
        <v>Other Asset Class 1</v>
      </c>
      <c r="M223" s="64">
        <f t="shared" si="7"/>
        <v>0</v>
      </c>
      <c r="N223" s="11"/>
      <c r="O223" s="64">
        <f t="shared" si="8"/>
        <v>0</v>
      </c>
    </row>
    <row r="224" spans="4:15" ht="15" x14ac:dyDescent="0.2">
      <c r="F224" s="11" t="s">
        <v>457</v>
      </c>
      <c r="M224" s="64"/>
      <c r="N224" s="11"/>
      <c r="O224" s="64">
        <f t="shared" si="8"/>
        <v>0</v>
      </c>
    </row>
    <row r="225" spans="1:25" ht="15" x14ac:dyDescent="0.2">
      <c r="F225" t="s">
        <v>459</v>
      </c>
      <c r="M225" s="64"/>
      <c r="N225" s="11"/>
      <c r="O225" s="64">
        <f t="shared" si="8"/>
        <v>0</v>
      </c>
    </row>
    <row r="226" spans="1:25" x14ac:dyDescent="0.2">
      <c r="F226" s="227" t="s">
        <v>178</v>
      </c>
      <c r="M226" s="64">
        <f>X262</f>
        <v>0</v>
      </c>
      <c r="N226" s="11"/>
      <c r="O226" s="64">
        <f>Z262</f>
        <v>0</v>
      </c>
    </row>
    <row r="227" spans="1:25" ht="12" customHeight="1" thickBot="1" x14ac:dyDescent="0.25">
      <c r="M227" s="66">
        <f>SUM(M189:M226)</f>
        <v>0</v>
      </c>
      <c r="N227" s="11"/>
      <c r="O227" s="66">
        <f>SUM(O189:O226)</f>
        <v>0</v>
      </c>
    </row>
    <row r="228" spans="1:25" ht="6.75" customHeight="1" thickTop="1" x14ac:dyDescent="0.2">
      <c r="M228" s="5"/>
      <c r="N228" s="11"/>
      <c r="O228" s="5"/>
    </row>
    <row r="229" spans="1:25" ht="13.5" customHeight="1" x14ac:dyDescent="0.2">
      <c r="C229" s="74" t="s">
        <v>145</v>
      </c>
      <c r="D229" s="1159" t="s">
        <v>131</v>
      </c>
      <c r="E229" s="1159"/>
      <c r="F229" s="1159"/>
      <c r="G229" s="1159"/>
      <c r="H229" s="1159"/>
      <c r="I229" s="1159"/>
      <c r="J229" s="1159"/>
      <c r="K229" s="1159"/>
      <c r="L229" s="1159"/>
      <c r="M229" s="1159"/>
      <c r="N229" s="1159"/>
      <c r="O229" s="1159"/>
      <c r="P229" s="1159"/>
      <c r="Q229" s="1159"/>
      <c r="R229" s="1159"/>
      <c r="S229" s="1159"/>
      <c r="T229" s="1159"/>
      <c r="U229" s="397"/>
      <c r="V229" s="397"/>
    </row>
    <row r="230" spans="1:25" ht="12.75" customHeight="1" x14ac:dyDescent="0.2">
      <c r="C230" s="74"/>
      <c r="D230" s="1159"/>
      <c r="E230" s="1159"/>
      <c r="F230" s="1159"/>
      <c r="G230" s="1159"/>
      <c r="H230" s="1159"/>
      <c r="I230" s="1159"/>
      <c r="J230" s="1159"/>
      <c r="K230" s="1159"/>
      <c r="L230" s="1159"/>
      <c r="M230" s="1159"/>
      <c r="N230" s="1159"/>
      <c r="O230" s="1159"/>
      <c r="P230" s="1159"/>
      <c r="Q230" s="1159"/>
      <c r="R230" s="1159"/>
      <c r="S230" s="1159"/>
      <c r="T230" s="1159"/>
      <c r="U230" s="397"/>
      <c r="V230" s="397"/>
    </row>
    <row r="231" spans="1:25" ht="15" x14ac:dyDescent="0.2">
      <c r="C231" s="74" t="s">
        <v>146</v>
      </c>
      <c r="D231" s="102" t="s">
        <v>692</v>
      </c>
    </row>
    <row r="239" spans="1:25" ht="19.5" customHeight="1" x14ac:dyDescent="0.25">
      <c r="A239" s="1189" t="s">
        <v>589</v>
      </c>
      <c r="B239" s="1190"/>
      <c r="C239" s="1190"/>
      <c r="D239" s="1190"/>
      <c r="E239" s="1190"/>
      <c r="F239" s="1190"/>
      <c r="G239" s="1190"/>
      <c r="H239" s="1190"/>
      <c r="I239" s="1190"/>
      <c r="J239" s="1190"/>
      <c r="K239" s="1190"/>
      <c r="L239" s="1190"/>
      <c r="M239" s="1190"/>
      <c r="N239" s="1190"/>
      <c r="O239" s="1190"/>
      <c r="P239" s="1190"/>
      <c r="Q239" s="1190"/>
      <c r="R239" s="1190"/>
      <c r="S239" s="1190"/>
      <c r="T239" s="1190"/>
      <c r="U239" s="1190"/>
      <c r="V239" s="1190"/>
      <c r="W239" s="1190"/>
      <c r="X239" s="1190"/>
      <c r="Y239" s="1191"/>
    </row>
    <row r="240" spans="1:25" x14ac:dyDescent="0.2">
      <c r="L240" s="1185" t="s">
        <v>187</v>
      </c>
      <c r="M240" s="1186"/>
      <c r="N240" s="43"/>
      <c r="O240" s="1186" t="s">
        <v>188</v>
      </c>
      <c r="P240" s="1186"/>
      <c r="Q240" s="1186" t="s">
        <v>183</v>
      </c>
      <c r="R240" s="1186"/>
      <c r="S240" s="1183" t="s">
        <v>184</v>
      </c>
      <c r="T240" s="1183"/>
      <c r="U240" s="1183" t="s">
        <v>176</v>
      </c>
      <c r="V240" s="1183"/>
      <c r="W240" s="43"/>
      <c r="X240" s="1187" t="s">
        <v>185</v>
      </c>
      <c r="Y240" s="1188"/>
    </row>
    <row r="241" spans="1:25" x14ac:dyDescent="0.2">
      <c r="L241" s="59" t="s">
        <v>658</v>
      </c>
      <c r="M241" s="3" t="s">
        <v>659</v>
      </c>
      <c r="N241" s="3"/>
      <c r="O241" s="3" t="s">
        <v>658</v>
      </c>
      <c r="P241" s="3" t="s">
        <v>659</v>
      </c>
      <c r="Q241" s="3" t="s">
        <v>658</v>
      </c>
      <c r="R241" s="3" t="s">
        <v>659</v>
      </c>
      <c r="S241" s="3" t="s">
        <v>658</v>
      </c>
      <c r="T241" s="3" t="s">
        <v>659</v>
      </c>
      <c r="U241" s="3" t="s">
        <v>658</v>
      </c>
      <c r="V241" s="3" t="s">
        <v>659</v>
      </c>
      <c r="W241" s="3"/>
      <c r="X241" s="95" t="s">
        <v>658</v>
      </c>
      <c r="Y241" s="96" t="s">
        <v>659</v>
      </c>
    </row>
    <row r="242" spans="1:25" x14ac:dyDescent="0.2">
      <c r="A242" t="s">
        <v>135</v>
      </c>
      <c r="C242" t="str">
        <f>CONCATENATE("Accumulated depreciation - ", M23)</f>
        <v>Accumulated depreciation - Buildings</v>
      </c>
      <c r="L242" s="36">
        <f>M29+M32</f>
        <v>0</v>
      </c>
      <c r="M242" s="36"/>
      <c r="O242" s="36">
        <f>M48+M51</f>
        <v>0</v>
      </c>
      <c r="P242" s="36"/>
      <c r="Q242" s="36">
        <f>M71+M74</f>
        <v>0</v>
      </c>
      <c r="S242" s="36">
        <f>M88+M90</f>
        <v>0</v>
      </c>
      <c r="T242" s="36"/>
      <c r="U242" s="78"/>
      <c r="V242" s="78"/>
      <c r="X242" s="411">
        <f t="shared" ref="X242:X259" si="9">L242+O242+Q242+S242</f>
        <v>0</v>
      </c>
      <c r="Y242" s="8"/>
    </row>
    <row r="243" spans="1:25" x14ac:dyDescent="0.2">
      <c r="C243" s="11" t="str">
        <f>CONCATENATE("Accumulated depreciation - ", O22)</f>
        <v>Accumulated depreciation - Equipment and Furniture</v>
      </c>
      <c r="D243" s="11"/>
      <c r="L243" s="36">
        <f>O29+O32</f>
        <v>0</v>
      </c>
      <c r="M243" s="36"/>
      <c r="O243" s="36">
        <f>O48+O51</f>
        <v>0</v>
      </c>
      <c r="P243" s="36"/>
      <c r="Q243" s="36">
        <f>O71+O74</f>
        <v>0</v>
      </c>
      <c r="S243" s="36">
        <f>O88+O90</f>
        <v>0</v>
      </c>
      <c r="T243" s="36"/>
      <c r="U243" s="78"/>
      <c r="V243" s="78"/>
      <c r="X243" s="411">
        <f t="shared" si="9"/>
        <v>0</v>
      </c>
      <c r="Y243" s="8"/>
    </row>
    <row r="244" spans="1:25" x14ac:dyDescent="0.2">
      <c r="C244" s="11" t="str">
        <f>CONCATENATE("Accumulated depreciation - ", P22)</f>
        <v>Accumulated depreciation - Library Books</v>
      </c>
      <c r="D244" s="11"/>
      <c r="L244" s="36">
        <f>P29+P32</f>
        <v>0</v>
      </c>
      <c r="M244" s="36"/>
      <c r="O244" s="36">
        <f>P48+P51</f>
        <v>0</v>
      </c>
      <c r="P244" s="36"/>
      <c r="Q244" s="36">
        <f>P71+P74</f>
        <v>0</v>
      </c>
      <c r="S244" s="36">
        <f>P88+P90</f>
        <v>0</v>
      </c>
      <c r="T244" s="36"/>
      <c r="U244" s="78"/>
      <c r="V244" s="78"/>
      <c r="X244" s="411">
        <f t="shared" si="9"/>
        <v>0</v>
      </c>
      <c r="Y244" s="8"/>
    </row>
    <row r="245" spans="1:25" x14ac:dyDescent="0.2">
      <c r="C245" s="11" t="str">
        <f>CONCATENATE("Accumulated depreciation - ", Q22)</f>
        <v>Accumulated depreciation - Vehicles &amp; Motorized Equipment</v>
      </c>
      <c r="D245" s="11"/>
      <c r="L245" s="36">
        <f>Q29+Q32</f>
        <v>0</v>
      </c>
      <c r="M245" s="36"/>
      <c r="O245" s="36">
        <f>Q48+Q51</f>
        <v>0</v>
      </c>
      <c r="P245" s="36"/>
      <c r="Q245" s="36">
        <f>Q71+Q74</f>
        <v>0</v>
      </c>
      <c r="S245" s="36">
        <f>Q88+Q90</f>
        <v>0</v>
      </c>
      <c r="T245" s="36"/>
      <c r="U245" s="78"/>
      <c r="V245" s="78"/>
      <c r="X245" s="411">
        <f t="shared" si="9"/>
        <v>0</v>
      </c>
      <c r="Y245" s="8"/>
    </row>
    <row r="246" spans="1:25" x14ac:dyDescent="0.2">
      <c r="C246" s="11" t="str">
        <f>CONCATENATE("Accumulated depreciation - ", R22)</f>
        <v>Accumulated depreciation - Computer equipment</v>
      </c>
      <c r="D246" s="11"/>
      <c r="L246" s="36">
        <f>R29+R32</f>
        <v>0</v>
      </c>
      <c r="M246" s="36"/>
      <c r="O246" s="36">
        <f>R48+R51</f>
        <v>0</v>
      </c>
      <c r="P246" s="36"/>
      <c r="Q246" s="36">
        <f>R71+R74</f>
        <v>0</v>
      </c>
      <c r="S246" s="36">
        <f>R88+R90</f>
        <v>0</v>
      </c>
      <c r="T246" s="36"/>
      <c r="U246" s="78"/>
      <c r="V246" s="78"/>
      <c r="X246" s="411">
        <f t="shared" si="9"/>
        <v>0</v>
      </c>
      <c r="Y246" s="8"/>
    </row>
    <row r="247" spans="1:25" x14ac:dyDescent="0.2">
      <c r="C247" s="11" t="str">
        <f>CONCATENATE("Accumulated depreciation - ", S22)</f>
        <v>Accumulated depreciation - Other Asset Class 1</v>
      </c>
      <c r="D247" s="11"/>
      <c r="L247" s="36">
        <f>S29+S32</f>
        <v>0</v>
      </c>
      <c r="M247" s="36"/>
      <c r="O247" s="36">
        <f>S48+S51</f>
        <v>0</v>
      </c>
      <c r="P247" s="36"/>
      <c r="Q247" s="36">
        <f>S71+S74</f>
        <v>0</v>
      </c>
      <c r="S247" s="36">
        <f>S88+S90</f>
        <v>0</v>
      </c>
      <c r="T247" s="36"/>
      <c r="U247" s="78"/>
      <c r="V247" s="78"/>
      <c r="X247" s="411">
        <f t="shared" si="9"/>
        <v>0</v>
      </c>
      <c r="Y247" s="8"/>
    </row>
    <row r="248" spans="1:25" x14ac:dyDescent="0.2">
      <c r="C248" s="11" t="s">
        <v>676</v>
      </c>
      <c r="D248" s="11"/>
      <c r="L248" s="36">
        <f>L37+M37+O37+P37+Q37+R37+S37</f>
        <v>0</v>
      </c>
      <c r="M248" s="36"/>
      <c r="O248" s="36">
        <f>L58+M58+O58+P58+Q58+R58+S58</f>
        <v>0</v>
      </c>
      <c r="P248" s="36"/>
      <c r="Q248" s="36"/>
      <c r="S248" s="36"/>
      <c r="T248" s="36"/>
      <c r="U248" s="78"/>
      <c r="V248" s="78"/>
      <c r="X248" s="411">
        <f t="shared" si="9"/>
        <v>0</v>
      </c>
      <c r="Y248" s="8"/>
    </row>
    <row r="249" spans="1:25" x14ac:dyDescent="0.2">
      <c r="C249" t="s">
        <v>585</v>
      </c>
      <c r="L249" s="36"/>
      <c r="M249" s="36"/>
      <c r="O249" s="36">
        <f>L57+M57+O57+P57+Q57+R57+S57</f>
        <v>0</v>
      </c>
      <c r="P249" s="36"/>
      <c r="Q249" s="36"/>
      <c r="S249" s="36"/>
      <c r="T249" s="36"/>
      <c r="U249" s="78"/>
      <c r="V249" s="78"/>
      <c r="X249" s="411">
        <f t="shared" si="9"/>
        <v>0</v>
      </c>
      <c r="Y249" s="8"/>
    </row>
    <row r="250" spans="1:25" x14ac:dyDescent="0.2">
      <c r="C250" t="s">
        <v>428</v>
      </c>
      <c r="L250" s="36"/>
      <c r="M250" s="36"/>
      <c r="O250" s="36"/>
      <c r="P250" s="36"/>
      <c r="Q250" s="36"/>
      <c r="S250" s="36">
        <f>((M93+O93+P93+Q93+R93+S93)-O95)</f>
        <v>0</v>
      </c>
      <c r="T250" s="36"/>
      <c r="U250" s="78"/>
      <c r="V250" s="78"/>
      <c r="X250" s="411">
        <f t="shared" si="9"/>
        <v>0</v>
      </c>
      <c r="Y250" s="8"/>
    </row>
    <row r="251" spans="1:25" x14ac:dyDescent="0.2">
      <c r="C251" s="11" t="s">
        <v>177</v>
      </c>
      <c r="L251" s="36"/>
      <c r="M251" s="36"/>
      <c r="O251" s="36"/>
      <c r="P251" s="36"/>
      <c r="Q251" s="36"/>
      <c r="S251" s="36"/>
      <c r="T251" s="36"/>
      <c r="U251" s="78">
        <f>M148</f>
        <v>0</v>
      </c>
      <c r="X251" s="411">
        <f>U251</f>
        <v>0</v>
      </c>
      <c r="Y251" s="8"/>
    </row>
    <row r="252" spans="1:25" x14ac:dyDescent="0.2">
      <c r="C252" s="11" t="s">
        <v>456</v>
      </c>
      <c r="L252" s="36"/>
      <c r="M252" s="36"/>
      <c r="O252" s="36"/>
      <c r="P252" s="36"/>
      <c r="Q252" s="36"/>
      <c r="S252" s="36">
        <f>O95</f>
        <v>0</v>
      </c>
      <c r="T252" s="36"/>
      <c r="U252" s="78"/>
      <c r="V252" s="78"/>
      <c r="X252" s="411">
        <f t="shared" si="9"/>
        <v>0</v>
      </c>
      <c r="Y252" s="8"/>
    </row>
    <row r="253" spans="1:25" x14ac:dyDescent="0.2">
      <c r="C253" t="s">
        <v>530</v>
      </c>
      <c r="L253" s="36"/>
      <c r="M253" s="36">
        <f>L26</f>
        <v>0</v>
      </c>
      <c r="O253" s="36"/>
      <c r="P253" s="36">
        <f>L45</f>
        <v>0</v>
      </c>
      <c r="Q253" s="36">
        <f>L79</f>
        <v>0</v>
      </c>
      <c r="R253" s="5">
        <f>L68</f>
        <v>0</v>
      </c>
      <c r="S253" s="36"/>
      <c r="T253" s="36"/>
      <c r="U253" s="78"/>
      <c r="V253" s="78">
        <f>H139</f>
        <v>0</v>
      </c>
      <c r="X253" s="411">
        <f t="shared" si="9"/>
        <v>0</v>
      </c>
      <c r="Y253" s="8">
        <f t="shared" ref="Y253:Y260" si="10">M253+P253+R253+T253+V253</f>
        <v>0</v>
      </c>
    </row>
    <row r="254" spans="1:25" x14ac:dyDescent="0.2">
      <c r="C254" s="11" t="str">
        <f>M23</f>
        <v>Buildings</v>
      </c>
      <c r="L254" s="36"/>
      <c r="M254" s="36">
        <f>M26</f>
        <v>0</v>
      </c>
      <c r="O254" s="36"/>
      <c r="P254" s="36">
        <f>M45</f>
        <v>0</v>
      </c>
      <c r="Q254" s="36">
        <f>M79</f>
        <v>0</v>
      </c>
      <c r="R254" s="5">
        <f>M68</f>
        <v>0</v>
      </c>
      <c r="S254" s="36"/>
      <c r="T254" s="36">
        <f>M86</f>
        <v>0</v>
      </c>
      <c r="U254" s="78"/>
      <c r="V254" s="78">
        <f t="shared" ref="V254:V259" si="11">H140</f>
        <v>0</v>
      </c>
      <c r="X254" s="411">
        <f t="shared" si="9"/>
        <v>0</v>
      </c>
      <c r="Y254" s="8">
        <f t="shared" si="10"/>
        <v>0</v>
      </c>
    </row>
    <row r="255" spans="1:25" x14ac:dyDescent="0.2">
      <c r="C255" s="11" t="str">
        <f>O22</f>
        <v>Equipment and Furniture</v>
      </c>
      <c r="L255" s="36"/>
      <c r="M255" s="36">
        <f>O26</f>
        <v>0</v>
      </c>
      <c r="O255" s="36"/>
      <c r="P255" s="36">
        <f>O45</f>
        <v>0</v>
      </c>
      <c r="Q255" s="36">
        <f>O79</f>
        <v>0</v>
      </c>
      <c r="R255" s="5">
        <f>O68</f>
        <v>0</v>
      </c>
      <c r="S255" s="36"/>
      <c r="T255" s="36">
        <f>O86</f>
        <v>0</v>
      </c>
      <c r="U255" s="78"/>
      <c r="V255" s="78">
        <f t="shared" si="11"/>
        <v>0</v>
      </c>
      <c r="X255" s="411">
        <f t="shared" si="9"/>
        <v>0</v>
      </c>
      <c r="Y255" s="8">
        <f t="shared" si="10"/>
        <v>0</v>
      </c>
    </row>
    <row r="256" spans="1:25" x14ac:dyDescent="0.2">
      <c r="C256" s="11" t="str">
        <f>P22</f>
        <v>Library Books</v>
      </c>
      <c r="L256" s="36"/>
      <c r="M256" s="36">
        <f>P26</f>
        <v>0</v>
      </c>
      <c r="O256" s="36"/>
      <c r="P256" s="36">
        <f>P45</f>
        <v>0</v>
      </c>
      <c r="Q256" s="36">
        <f>P79</f>
        <v>0</v>
      </c>
      <c r="R256" s="5">
        <f>P68</f>
        <v>0</v>
      </c>
      <c r="S256" s="36"/>
      <c r="T256" s="36">
        <f>P86</f>
        <v>0</v>
      </c>
      <c r="U256" s="78"/>
      <c r="V256" s="78">
        <f t="shared" si="11"/>
        <v>0</v>
      </c>
      <c r="X256" s="411">
        <f t="shared" si="9"/>
        <v>0</v>
      </c>
      <c r="Y256" s="8">
        <f t="shared" si="10"/>
        <v>0</v>
      </c>
    </row>
    <row r="257" spans="3:25" x14ac:dyDescent="0.2">
      <c r="C257" s="11" t="str">
        <f>Q22</f>
        <v>Vehicles &amp; Motorized Equipment</v>
      </c>
      <c r="L257" s="36"/>
      <c r="M257" s="36">
        <f>Q26</f>
        <v>0</v>
      </c>
      <c r="O257" s="36"/>
      <c r="P257" s="36">
        <f>Q45</f>
        <v>0</v>
      </c>
      <c r="Q257" s="36">
        <f>Q79</f>
        <v>0</v>
      </c>
      <c r="R257" s="5">
        <f>Q68</f>
        <v>0</v>
      </c>
      <c r="S257" s="36"/>
      <c r="T257" s="36">
        <f>Q86</f>
        <v>0</v>
      </c>
      <c r="U257" s="78"/>
      <c r="V257" s="78">
        <f t="shared" si="11"/>
        <v>0</v>
      </c>
      <c r="X257" s="411">
        <f t="shared" si="9"/>
        <v>0</v>
      </c>
      <c r="Y257" s="8">
        <f t="shared" si="10"/>
        <v>0</v>
      </c>
    </row>
    <row r="258" spans="3:25" x14ac:dyDescent="0.2">
      <c r="C258" s="322" t="str">
        <f>R22</f>
        <v>Computer equipment</v>
      </c>
      <c r="G258" s="215"/>
      <c r="L258" s="36"/>
      <c r="M258" s="36">
        <f>R26</f>
        <v>0</v>
      </c>
      <c r="O258" s="36"/>
      <c r="P258" s="36">
        <f>R45</f>
        <v>0</v>
      </c>
      <c r="Q258" s="36">
        <f>R79</f>
        <v>0</v>
      </c>
      <c r="R258" s="5">
        <f>R68</f>
        <v>0</v>
      </c>
      <c r="S258" s="36"/>
      <c r="T258" s="36">
        <f>R86</f>
        <v>0</v>
      </c>
      <c r="U258" s="78"/>
      <c r="V258" s="78">
        <f t="shared" si="11"/>
        <v>0</v>
      </c>
      <c r="X258" s="411">
        <f t="shared" si="9"/>
        <v>0</v>
      </c>
      <c r="Y258" s="8">
        <f t="shared" si="10"/>
        <v>0</v>
      </c>
    </row>
    <row r="259" spans="3:25" x14ac:dyDescent="0.2">
      <c r="C259" s="322" t="str">
        <f>S22</f>
        <v>Other Asset Class 1</v>
      </c>
      <c r="G259" s="215"/>
      <c r="L259" s="36"/>
      <c r="M259" s="36">
        <f>S26</f>
        <v>0</v>
      </c>
      <c r="O259" s="36"/>
      <c r="P259" s="36">
        <f>S45</f>
        <v>0</v>
      </c>
      <c r="Q259" s="5">
        <f>S79</f>
        <v>0</v>
      </c>
      <c r="R259" s="5">
        <f>S68</f>
        <v>0</v>
      </c>
      <c r="S259" s="36"/>
      <c r="T259" s="36">
        <f>S86</f>
        <v>0</v>
      </c>
      <c r="U259" s="78"/>
      <c r="V259" s="78">
        <f t="shared" si="11"/>
        <v>0</v>
      </c>
      <c r="X259" s="411">
        <f t="shared" si="9"/>
        <v>0</v>
      </c>
      <c r="Y259" s="8">
        <f t="shared" si="10"/>
        <v>0</v>
      </c>
    </row>
    <row r="260" spans="3:25" x14ac:dyDescent="0.2">
      <c r="C260" s="11" t="s">
        <v>191</v>
      </c>
      <c r="L260" s="36"/>
      <c r="M260" s="36"/>
      <c r="O260" s="36"/>
      <c r="P260" s="36">
        <f>L60+M60+O60+P60+Q60+R60+S60</f>
        <v>0</v>
      </c>
      <c r="S260" s="36"/>
      <c r="T260" s="36"/>
      <c r="U260" s="78"/>
      <c r="V260" s="78">
        <f>L160</f>
        <v>0</v>
      </c>
      <c r="X260" s="411"/>
      <c r="Y260" s="8">
        <f t="shared" si="10"/>
        <v>0</v>
      </c>
    </row>
    <row r="261" spans="3:25" x14ac:dyDescent="0.2">
      <c r="C261" s="11" t="s">
        <v>356</v>
      </c>
      <c r="L261" s="36"/>
      <c r="M261" s="36">
        <f>L39+M39+O39+P39+Q39+R39+S39</f>
        <v>0</v>
      </c>
      <c r="O261" s="36"/>
      <c r="P261" s="36"/>
      <c r="S261" s="36"/>
      <c r="T261" s="36"/>
      <c r="U261" s="78"/>
      <c r="V261" s="78"/>
      <c r="X261" s="411"/>
      <c r="Y261" s="8">
        <f>M261+P261+R261+T261</f>
        <v>0</v>
      </c>
    </row>
    <row r="262" spans="3:25" x14ac:dyDescent="0.2">
      <c r="C262" s="227" t="s">
        <v>429</v>
      </c>
      <c r="L262" s="36"/>
      <c r="M262" s="36"/>
      <c r="O262" s="36"/>
      <c r="P262" s="36"/>
      <c r="S262" s="36"/>
      <c r="T262" s="36"/>
      <c r="U262" s="78">
        <f>L165*-1</f>
        <v>0</v>
      </c>
      <c r="V262" s="78">
        <f>L159</f>
        <v>0</v>
      </c>
      <c r="X262" s="411">
        <f>U262</f>
        <v>0</v>
      </c>
      <c r="Y262" s="8">
        <f>V262</f>
        <v>0</v>
      </c>
    </row>
    <row r="263" spans="3:25" x14ac:dyDescent="0.2">
      <c r="C263" t="s">
        <v>269</v>
      </c>
      <c r="L263" s="36"/>
      <c r="M263" s="36"/>
      <c r="O263" s="36"/>
      <c r="P263" s="36"/>
      <c r="S263" s="36"/>
      <c r="T263" s="36"/>
      <c r="U263" s="78">
        <f>L166*-1</f>
        <v>0</v>
      </c>
      <c r="V263" s="78"/>
      <c r="X263" s="411">
        <f>U263</f>
        <v>0</v>
      </c>
      <c r="Y263" s="8"/>
    </row>
    <row r="264" spans="3:25" x14ac:dyDescent="0.2">
      <c r="C264" t="s">
        <v>270</v>
      </c>
      <c r="L264" s="36"/>
      <c r="M264" s="36"/>
      <c r="O264" s="36"/>
      <c r="P264" s="36"/>
      <c r="S264" s="36"/>
      <c r="T264" s="36"/>
      <c r="U264" s="78">
        <f t="shared" ref="U264:U279" si="12">L167*-1</f>
        <v>0</v>
      </c>
      <c r="V264" s="78"/>
      <c r="X264" s="411">
        <f t="shared" ref="X264:X279" si="13">U264</f>
        <v>0</v>
      </c>
      <c r="Y264" s="8"/>
    </row>
    <row r="265" spans="3:25" x14ac:dyDescent="0.2">
      <c r="C265" t="s">
        <v>271</v>
      </c>
      <c r="L265" s="36"/>
      <c r="M265" s="36"/>
      <c r="O265" s="36"/>
      <c r="P265" s="36"/>
      <c r="S265" s="36"/>
      <c r="T265" s="36"/>
      <c r="U265" s="78">
        <f t="shared" si="12"/>
        <v>0</v>
      </c>
      <c r="V265" s="78"/>
      <c r="X265" s="411">
        <f t="shared" si="13"/>
        <v>0</v>
      </c>
      <c r="Y265" s="8"/>
    </row>
    <row r="266" spans="3:25" x14ac:dyDescent="0.2">
      <c r="C266" t="s">
        <v>272</v>
      </c>
      <c r="L266" s="36"/>
      <c r="M266" s="36"/>
      <c r="O266" s="36"/>
      <c r="P266" s="36"/>
      <c r="S266" s="36"/>
      <c r="T266" s="36"/>
      <c r="U266" s="78">
        <f t="shared" si="12"/>
        <v>0</v>
      </c>
      <c r="V266" s="78"/>
      <c r="X266" s="411">
        <f t="shared" si="13"/>
        <v>0</v>
      </c>
      <c r="Y266" s="8"/>
    </row>
    <row r="267" spans="3:25" x14ac:dyDescent="0.2">
      <c r="C267" t="s">
        <v>273</v>
      </c>
      <c r="L267" s="36"/>
      <c r="M267" s="36"/>
      <c r="O267" s="36"/>
      <c r="P267" s="36"/>
      <c r="S267" s="36"/>
      <c r="T267" s="36"/>
      <c r="U267" s="78">
        <f t="shared" si="12"/>
        <v>0</v>
      </c>
      <c r="V267" s="78"/>
      <c r="X267" s="411">
        <f t="shared" si="13"/>
        <v>0</v>
      </c>
      <c r="Y267" s="8"/>
    </row>
    <row r="268" spans="3:25" x14ac:dyDescent="0.2">
      <c r="C268" t="s">
        <v>274</v>
      </c>
      <c r="L268" s="36"/>
      <c r="M268" s="36"/>
      <c r="O268" s="36"/>
      <c r="P268" s="36"/>
      <c r="S268" s="36"/>
      <c r="T268" s="36"/>
      <c r="U268" s="78">
        <f t="shared" si="12"/>
        <v>0</v>
      </c>
      <c r="V268" s="78"/>
      <c r="X268" s="411">
        <f t="shared" si="13"/>
        <v>0</v>
      </c>
      <c r="Y268" s="8"/>
    </row>
    <row r="269" spans="3:25" x14ac:dyDescent="0.2">
      <c r="C269" t="s">
        <v>275</v>
      </c>
      <c r="L269" s="36"/>
      <c r="M269" s="36"/>
      <c r="O269" s="36"/>
      <c r="P269" s="36"/>
      <c r="S269" s="36"/>
      <c r="T269" s="36"/>
      <c r="U269" s="78">
        <f t="shared" si="12"/>
        <v>0</v>
      </c>
      <c r="V269" s="78"/>
      <c r="X269" s="411">
        <f t="shared" si="13"/>
        <v>0</v>
      </c>
      <c r="Y269" s="8"/>
    </row>
    <row r="270" spans="3:25" x14ac:dyDescent="0.2">
      <c r="C270" t="s">
        <v>387</v>
      </c>
      <c r="L270" s="36"/>
      <c r="M270" s="36"/>
      <c r="O270" s="36"/>
      <c r="P270" s="36"/>
      <c r="S270" s="36"/>
      <c r="T270" s="36"/>
      <c r="U270" s="78">
        <f t="shared" si="12"/>
        <v>0</v>
      </c>
      <c r="V270" s="78"/>
      <c r="X270" s="411">
        <f t="shared" si="13"/>
        <v>0</v>
      </c>
      <c r="Y270" s="8"/>
    </row>
    <row r="271" spans="3:25" x14ac:dyDescent="0.2">
      <c r="C271" t="s">
        <v>276</v>
      </c>
      <c r="L271" s="36"/>
      <c r="M271" s="36"/>
      <c r="O271" s="36"/>
      <c r="P271" s="36"/>
      <c r="S271" s="36"/>
      <c r="T271" s="36"/>
      <c r="U271" s="78">
        <f t="shared" si="12"/>
        <v>0</v>
      </c>
      <c r="V271" s="78"/>
      <c r="X271" s="411">
        <f t="shared" si="13"/>
        <v>0</v>
      </c>
      <c r="Y271" s="8"/>
    </row>
    <row r="272" spans="3:25" x14ac:dyDescent="0.2">
      <c r="C272" t="s">
        <v>243</v>
      </c>
      <c r="L272" s="36"/>
      <c r="M272" s="36"/>
      <c r="O272" s="36"/>
      <c r="P272" s="36"/>
      <c r="S272" s="36"/>
      <c r="T272" s="36"/>
      <c r="U272" s="78">
        <f t="shared" si="12"/>
        <v>0</v>
      </c>
      <c r="V272" s="78"/>
      <c r="X272" s="411">
        <f t="shared" si="13"/>
        <v>0</v>
      </c>
      <c r="Y272" s="8"/>
    </row>
    <row r="273" spans="3:25" x14ac:dyDescent="0.2">
      <c r="C273" t="s">
        <v>244</v>
      </c>
      <c r="L273" s="36"/>
      <c r="M273" s="36"/>
      <c r="O273" s="36"/>
      <c r="P273" s="36"/>
      <c r="S273" s="36"/>
      <c r="T273" s="36"/>
      <c r="U273" s="78">
        <f t="shared" si="12"/>
        <v>0</v>
      </c>
      <c r="V273" s="78"/>
      <c r="X273" s="411">
        <f t="shared" si="13"/>
        <v>0</v>
      </c>
      <c r="Y273" s="8"/>
    </row>
    <row r="274" spans="3:25" x14ac:dyDescent="0.2">
      <c r="C274" t="s">
        <v>277</v>
      </c>
      <c r="L274" s="36"/>
      <c r="M274" s="36"/>
      <c r="O274" s="36"/>
      <c r="P274" s="36"/>
      <c r="S274" s="36"/>
      <c r="T274" s="36"/>
      <c r="U274" s="78">
        <f t="shared" si="12"/>
        <v>0</v>
      </c>
      <c r="V274" s="78"/>
      <c r="X274" s="411">
        <f t="shared" si="13"/>
        <v>0</v>
      </c>
      <c r="Y274" s="8"/>
    </row>
    <row r="275" spans="3:25" x14ac:dyDescent="0.2">
      <c r="C275" t="s">
        <v>279</v>
      </c>
      <c r="L275" s="36"/>
      <c r="M275" s="36"/>
      <c r="O275" s="36"/>
      <c r="P275" s="36"/>
      <c r="S275" s="36"/>
      <c r="T275" s="36"/>
      <c r="U275" s="78">
        <f t="shared" si="12"/>
        <v>0</v>
      </c>
      <c r="V275" s="78"/>
      <c r="X275" s="411">
        <f t="shared" si="13"/>
        <v>0</v>
      </c>
      <c r="Y275" s="8"/>
    </row>
    <row r="276" spans="3:25" x14ac:dyDescent="0.2">
      <c r="C276" t="s">
        <v>280</v>
      </c>
      <c r="L276" s="36"/>
      <c r="M276" s="36"/>
      <c r="O276" s="36"/>
      <c r="P276" s="36"/>
      <c r="S276" s="36"/>
      <c r="T276" s="36"/>
      <c r="U276" s="78">
        <f t="shared" si="12"/>
        <v>0</v>
      </c>
      <c r="V276" s="78"/>
      <c r="X276" s="411">
        <f t="shared" si="13"/>
        <v>0</v>
      </c>
      <c r="Y276" s="8"/>
    </row>
    <row r="277" spans="3:25" x14ac:dyDescent="0.2">
      <c r="C277" t="s">
        <v>278</v>
      </c>
      <c r="L277" s="36"/>
      <c r="M277" s="36"/>
      <c r="O277" s="36"/>
      <c r="P277" s="36"/>
      <c r="S277" s="36"/>
      <c r="T277" s="36"/>
      <c r="U277" s="78">
        <f t="shared" si="12"/>
        <v>0</v>
      </c>
      <c r="V277" s="78"/>
      <c r="X277" s="411">
        <f t="shared" si="13"/>
        <v>0</v>
      </c>
      <c r="Y277" s="8"/>
    </row>
    <row r="278" spans="3:25" x14ac:dyDescent="0.2">
      <c r="C278" t="s">
        <v>263</v>
      </c>
      <c r="L278" s="36"/>
      <c r="M278" s="36"/>
      <c r="O278" s="36"/>
      <c r="P278" s="36"/>
      <c r="S278" s="36"/>
      <c r="T278" s="36"/>
      <c r="U278" s="78">
        <f t="shared" si="12"/>
        <v>0</v>
      </c>
      <c r="V278" s="78"/>
      <c r="X278" s="411">
        <f t="shared" si="13"/>
        <v>0</v>
      </c>
      <c r="Y278" s="8"/>
    </row>
    <row r="279" spans="3:25" x14ac:dyDescent="0.2">
      <c r="C279" t="s">
        <v>55</v>
      </c>
      <c r="L279" s="36"/>
      <c r="M279" s="36"/>
      <c r="O279" s="36"/>
      <c r="P279" s="36"/>
      <c r="S279" s="36"/>
      <c r="T279" s="36"/>
      <c r="U279" s="78">
        <f t="shared" si="12"/>
        <v>0</v>
      </c>
      <c r="V279" s="78"/>
      <c r="X279" s="411">
        <f t="shared" si="13"/>
        <v>0</v>
      </c>
      <c r="Y279" s="8"/>
    </row>
    <row r="280" spans="3:25" ht="7.5" customHeight="1" x14ac:dyDescent="0.2">
      <c r="L280" s="36"/>
      <c r="M280" s="36"/>
      <c r="O280" s="36"/>
      <c r="P280" s="36"/>
      <c r="S280" s="36"/>
      <c r="T280" s="36"/>
      <c r="U280" s="36"/>
      <c r="V280" s="36"/>
      <c r="X280" s="411"/>
      <c r="Y280" s="8"/>
    </row>
    <row r="281" spans="3:25" ht="13.5" thickBot="1" x14ac:dyDescent="0.25">
      <c r="L281" s="24">
        <f>SUM(L242:L280)</f>
        <v>0</v>
      </c>
      <c r="M281" s="24">
        <f>SUM(M242:M280)</f>
        <v>0</v>
      </c>
      <c r="N281" s="10"/>
      <c r="O281" s="24">
        <f t="shared" ref="O281:V281" si="14">SUM(O242:O280)</f>
        <v>0</v>
      </c>
      <c r="P281" s="24">
        <f t="shared" si="14"/>
        <v>0</v>
      </c>
      <c r="Q281" s="24">
        <f t="shared" si="14"/>
        <v>0</v>
      </c>
      <c r="R281" s="24">
        <f t="shared" si="14"/>
        <v>0</v>
      </c>
      <c r="S281" s="24">
        <f t="shared" si="14"/>
        <v>0</v>
      </c>
      <c r="T281" s="24">
        <f t="shared" si="14"/>
        <v>0</v>
      </c>
      <c r="U281" s="24">
        <f t="shared" si="14"/>
        <v>0</v>
      </c>
      <c r="V281" s="24">
        <f t="shared" si="14"/>
        <v>0</v>
      </c>
      <c r="W281" s="10"/>
      <c r="X281" s="412">
        <f>SUM(X242:X280)</f>
        <v>0</v>
      </c>
      <c r="Y281" s="412">
        <f>SUM(Y242:Y280)</f>
        <v>0</v>
      </c>
    </row>
    <row r="282" spans="3:25" ht="13.5" thickTop="1" x14ac:dyDescent="0.2">
      <c r="L282" s="5">
        <f>L281-M281</f>
        <v>0</v>
      </c>
      <c r="O282" s="5">
        <f>O281-P281</f>
        <v>0</v>
      </c>
      <c r="Q282" s="5">
        <f>Q281-R281</f>
        <v>0</v>
      </c>
      <c r="S282" s="5">
        <f>S281-T281</f>
        <v>0</v>
      </c>
      <c r="U282" s="5">
        <f>U281-V281</f>
        <v>0</v>
      </c>
      <c r="X282" s="33">
        <f>X281-Y281</f>
        <v>0</v>
      </c>
    </row>
    <row r="291" spans="4:4" x14ac:dyDescent="0.2">
      <c r="D291" s="215"/>
    </row>
    <row r="292" spans="4:4" x14ac:dyDescent="0.2">
      <c r="D292" s="215"/>
    </row>
    <row r="293" spans="4:4" x14ac:dyDescent="0.2">
      <c r="D293" s="215"/>
    </row>
  </sheetData>
  <sheetProtection algorithmName="SHA-512" hashValue="48wf4YTB91TIlYFds7+fe/G6SkAEbIYk5Q1W5N1vDsjAeZ7zTpzXaPoNCCEDn4QWgHaBsWrbLV73ExWx2wINPA==" saltValue="Ga9gvXH18lrewG8FtKvRFQ==" spinCount="100000" sheet="1" objects="1" scenarios="1"/>
  <mergeCells count="195">
    <mergeCell ref="I146:K146"/>
    <mergeCell ref="C148:I148"/>
    <mergeCell ref="M148:M149"/>
    <mergeCell ref="D162:J164"/>
    <mergeCell ref="D137:I138"/>
    <mergeCell ref="X144:Y144"/>
    <mergeCell ref="U240:V240"/>
    <mergeCell ref="E151:I151"/>
    <mergeCell ref="B154:T154"/>
    <mergeCell ref="C155:J156"/>
    <mergeCell ref="D157:J158"/>
    <mergeCell ref="M183:P184"/>
    <mergeCell ref="B186:T186"/>
    <mergeCell ref="L240:M240"/>
    <mergeCell ref="O240:P240"/>
    <mergeCell ref="Q240:R240"/>
    <mergeCell ref="X240:Y240"/>
    <mergeCell ref="S240:T240"/>
    <mergeCell ref="A239:Y239"/>
    <mergeCell ref="D229:T230"/>
    <mergeCell ref="M119:M120"/>
    <mergeCell ref="O119:O120"/>
    <mergeCell ref="P119:P120"/>
    <mergeCell ref="D132:I133"/>
    <mergeCell ref="L132:L133"/>
    <mergeCell ref="M132:M133"/>
    <mergeCell ref="Q132:Q133"/>
    <mergeCell ref="C127:J128"/>
    <mergeCell ref="D129:I130"/>
    <mergeCell ref="L129:L130"/>
    <mergeCell ref="M129:M130"/>
    <mergeCell ref="Q119:Q120"/>
    <mergeCell ref="F83:H83"/>
    <mergeCell ref="F65:H65"/>
    <mergeCell ref="B82:T82"/>
    <mergeCell ref="W79:Y79"/>
    <mergeCell ref="D71:I72"/>
    <mergeCell ref="D74:I75"/>
    <mergeCell ref="Q68:Q69"/>
    <mergeCell ref="D113:J114"/>
    <mergeCell ref="L113:L114"/>
    <mergeCell ref="R111:R112"/>
    <mergeCell ref="S111:S112"/>
    <mergeCell ref="O111:O112"/>
    <mergeCell ref="P71:P72"/>
    <mergeCell ref="Q74:Q75"/>
    <mergeCell ref="M74:M75"/>
    <mergeCell ref="O74:O75"/>
    <mergeCell ref="M71:M72"/>
    <mergeCell ref="P95:S97"/>
    <mergeCell ref="P74:P75"/>
    <mergeCell ref="T74:T75"/>
    <mergeCell ref="Q90:Q91"/>
    <mergeCell ref="R79:R80"/>
    <mergeCell ref="T90:T91"/>
    <mergeCell ref="P90:P91"/>
    <mergeCell ref="Q116:Q117"/>
    <mergeCell ref="R116:R117"/>
    <mergeCell ref="S116:S117"/>
    <mergeCell ref="P113:P114"/>
    <mergeCell ref="Q113:Q114"/>
    <mergeCell ref="R113:R114"/>
    <mergeCell ref="S113:S114"/>
    <mergeCell ref="M113:M114"/>
    <mergeCell ref="O113:O114"/>
    <mergeCell ref="K135:L135"/>
    <mergeCell ref="A1:T1"/>
    <mergeCell ref="D29:I30"/>
    <mergeCell ref="D26:I27"/>
    <mergeCell ref="O32:O33"/>
    <mergeCell ref="P32:P33"/>
    <mergeCell ref="R66:R67"/>
    <mergeCell ref="R32:R33"/>
    <mergeCell ref="Q32:Q33"/>
    <mergeCell ref="T26:T27"/>
    <mergeCell ref="T29:T30"/>
    <mergeCell ref="M32:M33"/>
    <mergeCell ref="B64:T64"/>
    <mergeCell ref="D56:I56"/>
    <mergeCell ref="R90:R91"/>
    <mergeCell ref="S90:S91"/>
    <mergeCell ref="B2:N2"/>
    <mergeCell ref="B21:T21"/>
    <mergeCell ref="B3:T3"/>
    <mergeCell ref="L26:L27"/>
    <mergeCell ref="M26:M27"/>
    <mergeCell ref="D37:H37"/>
    <mergeCell ref="S26:S27"/>
    <mergeCell ref="T32:T33"/>
    <mergeCell ref="R26:R27"/>
    <mergeCell ref="M29:M30"/>
    <mergeCell ref="O71:O72"/>
    <mergeCell ref="D79:I80"/>
    <mergeCell ref="M79:M80"/>
    <mergeCell ref="O79:O80"/>
    <mergeCell ref="P79:P80"/>
    <mergeCell ref="L79:L80"/>
    <mergeCell ref="O135:P135"/>
    <mergeCell ref="D116:J117"/>
    <mergeCell ref="M116:M117"/>
    <mergeCell ref="L45:L46"/>
    <mergeCell ref="M45:M46"/>
    <mergeCell ref="O45:O46"/>
    <mergeCell ref="P45:P46"/>
    <mergeCell ref="M51:M52"/>
    <mergeCell ref="O51:O52"/>
    <mergeCell ref="P51:P52"/>
    <mergeCell ref="Q51:Q52"/>
    <mergeCell ref="M48:M49"/>
    <mergeCell ref="O48:O49"/>
    <mergeCell ref="P26:P27"/>
    <mergeCell ref="O29:O30"/>
    <mergeCell ref="Q26:Q27"/>
    <mergeCell ref="Q71:Q72"/>
    <mergeCell ref="T48:T49"/>
    <mergeCell ref="T51:T52"/>
    <mergeCell ref="D41:T41"/>
    <mergeCell ref="P29:P30"/>
    <mergeCell ref="Q29:Q30"/>
    <mergeCell ref="D32:I33"/>
    <mergeCell ref="C5:T6"/>
    <mergeCell ref="C11:T12"/>
    <mergeCell ref="C18:T19"/>
    <mergeCell ref="C14:T14"/>
    <mergeCell ref="C8:T9"/>
    <mergeCell ref="C16:T16"/>
    <mergeCell ref="R22:R23"/>
    <mergeCell ref="S22:S23"/>
    <mergeCell ref="O22:O23"/>
    <mergeCell ref="P22:P23"/>
    <mergeCell ref="Q22:Q23"/>
    <mergeCell ref="E35:I35"/>
    <mergeCell ref="O26:O27"/>
    <mergeCell ref="T45:T46"/>
    <mergeCell ref="D51:I52"/>
    <mergeCell ref="Q45:Q46"/>
    <mergeCell ref="Q48:Q49"/>
    <mergeCell ref="R45:R46"/>
    <mergeCell ref="S48:S49"/>
    <mergeCell ref="S45:S46"/>
    <mergeCell ref="D68:I69"/>
    <mergeCell ref="L68:L69"/>
    <mergeCell ref="M68:M69"/>
    <mergeCell ref="O66:O67"/>
    <mergeCell ref="P66:P67"/>
    <mergeCell ref="Q66:Q67"/>
    <mergeCell ref="D45:I46"/>
    <mergeCell ref="O90:O91"/>
    <mergeCell ref="S32:S33"/>
    <mergeCell ref="R29:R30"/>
    <mergeCell ref="S29:S30"/>
    <mergeCell ref="S66:S67"/>
    <mergeCell ref="R43:R44"/>
    <mergeCell ref="S43:S44"/>
    <mergeCell ref="S51:S52"/>
    <mergeCell ref="R51:R52"/>
    <mergeCell ref="R48:R49"/>
    <mergeCell ref="O43:O44"/>
    <mergeCell ref="P43:P44"/>
    <mergeCell ref="Q43:Q44"/>
    <mergeCell ref="P48:P49"/>
    <mergeCell ref="D62:T62"/>
    <mergeCell ref="D48:I49"/>
    <mergeCell ref="R71:R72"/>
    <mergeCell ref="T68:T69"/>
    <mergeCell ref="S68:S69"/>
    <mergeCell ref="O68:O69"/>
    <mergeCell ref="P68:P69"/>
    <mergeCell ref="R68:R69"/>
    <mergeCell ref="S71:S72"/>
    <mergeCell ref="T71:T72"/>
    <mergeCell ref="Q79:Q80"/>
    <mergeCell ref="B102:T106"/>
    <mergeCell ref="S74:S75"/>
    <mergeCell ref="R74:R75"/>
    <mergeCell ref="O116:O117"/>
    <mergeCell ref="P116:P117"/>
    <mergeCell ref="R119:R120"/>
    <mergeCell ref="S119:S120"/>
    <mergeCell ref="C124:J125"/>
    <mergeCell ref="L124:L125"/>
    <mergeCell ref="D119:J120"/>
    <mergeCell ref="B100:T100"/>
    <mergeCell ref="B108:T109"/>
    <mergeCell ref="C111:J112"/>
    <mergeCell ref="Q111:Q112"/>
    <mergeCell ref="P111:P112"/>
    <mergeCell ref="S79:S80"/>
    <mergeCell ref="T79:T80"/>
    <mergeCell ref="O95:O97"/>
    <mergeCell ref="D95:J97"/>
    <mergeCell ref="D86:J86"/>
    <mergeCell ref="D88:J88"/>
    <mergeCell ref="D90:J91"/>
    <mergeCell ref="M90:M91"/>
  </mergeCells>
  <phoneticPr fontId="0" type="noConversion"/>
  <printOptions horizontalCentered="1"/>
  <pageMargins left="0.5" right="0.45" top="0.67" bottom="0.62" header="0.5" footer="0.5"/>
  <pageSetup scale="61" orientation="landscape" r:id="rId1"/>
  <headerFooter alignWithMargins="0">
    <oddHeader>&amp;R&amp;"Arial,Bold"&amp;12Entry D</oddHeader>
    <oddFooter>&amp;R  &amp;P</oddFooter>
  </headerFooter>
  <rowBreaks count="6" manualBreakCount="6">
    <brk id="62" max="19" man="1"/>
    <brk id="98" max="19" man="1"/>
    <brk id="153" max="19" man="1"/>
    <brk id="185" max="19" man="1"/>
    <brk id="231" max="19" man="1"/>
    <brk id="237" max="22" man="1"/>
  </rowBreaks>
  <ignoredErrors>
    <ignoredError sqref="B5 B8 B11 B14 B16 B18 B24 B44 B111 B124 B127 B135 B148 B155" numberStoredAsText="1"/>
    <ignoredError sqref="R66:S66" unlockedFormula="1"/>
    <ignoredError sqref="X251" formula="1"/>
  </ignoredError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P116"/>
  <sheetViews>
    <sheetView workbookViewId="0">
      <selection activeCell="A11" sqref="A11"/>
    </sheetView>
  </sheetViews>
  <sheetFormatPr defaultRowHeight="12.75" x14ac:dyDescent="0.2"/>
  <cols>
    <col min="1" max="1" width="4" style="4" customWidth="1"/>
    <col min="2" max="2" width="4" customWidth="1"/>
    <col min="4" max="4" width="9.28515625" customWidth="1"/>
    <col min="5" max="5" width="4.42578125" customWidth="1"/>
    <col min="6" max="6" width="10.42578125" bestFit="1" customWidth="1"/>
    <col min="7" max="7" width="11.28515625" bestFit="1" customWidth="1"/>
    <col min="8" max="8" width="1.42578125" style="1" customWidth="1"/>
    <col min="10" max="10" width="13.42578125" customWidth="1"/>
    <col min="11" max="11" width="12.5703125" customWidth="1"/>
    <col min="12" max="12" width="11.42578125" bestFit="1" customWidth="1"/>
    <col min="13" max="13" width="1.7109375" customWidth="1"/>
    <col min="14" max="14" width="10.42578125" bestFit="1" customWidth="1"/>
    <col min="15" max="15" width="10.7109375" customWidth="1"/>
    <col min="16" max="16" width="8.5703125" customWidth="1"/>
  </cols>
  <sheetData>
    <row r="1" spans="1:16" ht="7.5" customHeight="1" x14ac:dyDescent="0.2"/>
    <row r="2" spans="1:16" ht="33.75" customHeight="1" x14ac:dyDescent="0.25">
      <c r="A2" s="1107" t="s">
        <v>96</v>
      </c>
      <c r="B2" s="1108"/>
      <c r="C2" s="1108"/>
      <c r="D2" s="1108"/>
      <c r="E2" s="1108"/>
      <c r="F2" s="1108"/>
      <c r="G2" s="1108"/>
      <c r="H2" s="1108"/>
      <c r="I2" s="1108"/>
      <c r="J2" s="1108"/>
      <c r="K2" s="1108"/>
      <c r="L2" s="1108"/>
      <c r="M2" s="1108"/>
      <c r="N2" s="1108"/>
      <c r="O2" s="1108"/>
      <c r="P2" s="1109"/>
    </row>
    <row r="3" spans="1:16" ht="11.25" customHeight="1" x14ac:dyDescent="0.2">
      <c r="O3" s="2"/>
    </row>
    <row r="4" spans="1:16" ht="105" customHeight="1" x14ac:dyDescent="0.2">
      <c r="B4" s="1011" t="s">
        <v>443</v>
      </c>
      <c r="C4" s="1011"/>
      <c r="D4" s="1011"/>
      <c r="E4" s="1011"/>
      <c r="F4" s="1011"/>
      <c r="G4" s="1011"/>
      <c r="H4" s="1011"/>
      <c r="I4" s="1011"/>
      <c r="J4" s="1011"/>
      <c r="K4" s="1011"/>
      <c r="L4" s="1011"/>
      <c r="M4" s="1011"/>
      <c r="N4" s="1011"/>
      <c r="O4" s="1011"/>
      <c r="P4" s="1011"/>
    </row>
    <row r="5" spans="1:16" ht="9" customHeight="1" x14ac:dyDescent="0.2"/>
    <row r="6" spans="1:16" ht="12.75" customHeight="1" x14ac:dyDescent="0.2">
      <c r="B6" s="38" t="s">
        <v>662</v>
      </c>
      <c r="C6" s="1011" t="s">
        <v>423</v>
      </c>
      <c r="D6" s="1011"/>
      <c r="E6" s="1011"/>
      <c r="F6" s="1011"/>
      <c r="G6" s="1011"/>
      <c r="H6" s="1011"/>
      <c r="I6" s="1011"/>
      <c r="J6" s="1011"/>
      <c r="K6" s="1011"/>
      <c r="L6" s="1011"/>
      <c r="M6" s="1011"/>
      <c r="N6" s="1011"/>
      <c r="O6" s="1011"/>
      <c r="P6" s="1011"/>
    </row>
    <row r="7" spans="1:16" ht="25.5" customHeight="1" x14ac:dyDescent="0.2">
      <c r="C7" s="1011"/>
      <c r="D7" s="1011"/>
      <c r="E7" s="1011"/>
      <c r="F7" s="1011"/>
      <c r="G7" s="1011"/>
      <c r="H7" s="1011"/>
      <c r="I7" s="1011"/>
      <c r="J7" s="1011"/>
      <c r="K7" s="1011"/>
      <c r="L7" s="1011"/>
      <c r="M7" s="1011"/>
      <c r="N7" s="1011"/>
      <c r="O7" s="1011"/>
      <c r="P7" s="1011"/>
    </row>
    <row r="8" spans="1:16" ht="6" customHeight="1" x14ac:dyDescent="0.2"/>
    <row r="9" spans="1:16" ht="11.25" customHeight="1" x14ac:dyDescent="0.2">
      <c r="B9" s="38" t="s">
        <v>663</v>
      </c>
      <c r="C9" s="1011" t="s">
        <v>335</v>
      </c>
      <c r="D9" s="1011"/>
      <c r="E9" s="1011"/>
      <c r="F9" s="1011"/>
      <c r="G9" s="1011"/>
      <c r="H9" s="1011"/>
      <c r="I9" s="1011"/>
      <c r="J9" s="1011"/>
      <c r="K9" s="1011"/>
      <c r="L9" s="1011"/>
      <c r="M9" s="1011"/>
      <c r="N9" s="1011"/>
      <c r="O9" s="1011"/>
      <c r="P9" s="1011"/>
    </row>
    <row r="10" spans="1:16" ht="12" customHeight="1" x14ac:dyDescent="0.2">
      <c r="B10" s="38"/>
      <c r="C10" s="1011"/>
      <c r="D10" s="1011"/>
      <c r="E10" s="1011"/>
      <c r="F10" s="1011"/>
      <c r="G10" s="1011"/>
      <c r="H10" s="1011"/>
      <c r="I10" s="1011"/>
      <c r="J10" s="1011"/>
      <c r="K10" s="1011"/>
      <c r="L10" s="1011"/>
      <c r="M10" s="1011"/>
      <c r="N10" s="1011"/>
      <c r="O10" s="1011"/>
      <c r="P10" s="1011"/>
    </row>
    <row r="11" spans="1:16" ht="5.25" customHeight="1" x14ac:dyDescent="0.2">
      <c r="B11" s="38"/>
      <c r="C11" s="34"/>
      <c r="D11" s="34"/>
      <c r="E11" s="34"/>
      <c r="F11" s="34"/>
      <c r="G11" s="34"/>
      <c r="H11" s="34"/>
      <c r="I11" s="34"/>
      <c r="J11" s="34"/>
      <c r="K11" s="34"/>
      <c r="L11" s="34"/>
      <c r="M11" s="34"/>
      <c r="N11" s="34"/>
      <c r="O11" s="34"/>
      <c r="P11" s="34"/>
    </row>
    <row r="12" spans="1:16" ht="12" customHeight="1" x14ac:dyDescent="0.2">
      <c r="B12" s="38" t="s">
        <v>528</v>
      </c>
      <c r="C12" s="1011" t="s">
        <v>336</v>
      </c>
      <c r="D12" s="1011"/>
      <c r="E12" s="1011"/>
      <c r="F12" s="1011"/>
      <c r="G12" s="1011"/>
      <c r="H12" s="1011"/>
      <c r="I12" s="1011"/>
      <c r="J12" s="1011"/>
      <c r="K12" s="1011"/>
      <c r="L12" s="1011"/>
      <c r="M12" s="1011"/>
      <c r="N12" s="1011"/>
      <c r="O12" s="1011"/>
      <c r="P12" s="1011"/>
    </row>
    <row r="13" spans="1:16" ht="13.5" hidden="1" customHeight="1" x14ac:dyDescent="0.2">
      <c r="B13" s="38"/>
      <c r="C13" s="1011"/>
      <c r="D13" s="1011"/>
      <c r="E13" s="1011"/>
      <c r="F13" s="1011"/>
      <c r="G13" s="1011"/>
      <c r="H13" s="1011"/>
      <c r="I13" s="1011"/>
      <c r="J13" s="1011"/>
      <c r="K13" s="1011"/>
      <c r="L13" s="1011"/>
      <c r="M13" s="1011"/>
      <c r="N13" s="1011"/>
      <c r="O13" s="1011"/>
      <c r="P13" s="1011"/>
    </row>
    <row r="14" spans="1:16" ht="5.25" customHeight="1" x14ac:dyDescent="0.2">
      <c r="B14" s="38"/>
    </row>
    <row r="15" spans="1:16" ht="12.75" customHeight="1" x14ac:dyDescent="0.2">
      <c r="B15" s="38" t="s">
        <v>337</v>
      </c>
      <c r="C15" s="1011" t="s">
        <v>536</v>
      </c>
      <c r="D15" s="1011"/>
      <c r="E15" s="1011"/>
      <c r="F15" s="1011"/>
      <c r="G15" s="1011"/>
      <c r="H15" s="1011"/>
      <c r="I15" s="1011"/>
      <c r="J15" s="1011"/>
      <c r="K15" s="1011"/>
      <c r="L15" s="1011"/>
      <c r="M15" s="1011"/>
      <c r="N15" s="1011"/>
      <c r="O15" s="1011"/>
    </row>
    <row r="16" spans="1:16" ht="11.25" customHeight="1" x14ac:dyDescent="0.2">
      <c r="B16" s="38"/>
      <c r="C16" s="1011"/>
      <c r="D16" s="1011"/>
      <c r="E16" s="1011"/>
      <c r="F16" s="1011"/>
      <c r="G16" s="1011"/>
      <c r="H16" s="1011"/>
      <c r="I16" s="1011"/>
      <c r="J16" s="1011"/>
      <c r="K16" s="1011"/>
      <c r="L16" s="1011"/>
      <c r="M16" s="1011"/>
      <c r="N16" s="1011"/>
      <c r="O16" s="1011"/>
    </row>
    <row r="17" spans="1:16" ht="6" customHeight="1" x14ac:dyDescent="0.2"/>
    <row r="18" spans="1:16" ht="12.75" customHeight="1" x14ac:dyDescent="0.2"/>
    <row r="19" spans="1:16" ht="25.5" customHeight="1" x14ac:dyDescent="0.2">
      <c r="A19" s="4" t="s">
        <v>341</v>
      </c>
      <c r="B19" s="1115" t="s">
        <v>484</v>
      </c>
      <c r="C19" s="1116"/>
      <c r="D19" s="1116"/>
      <c r="E19" s="1116"/>
      <c r="F19" s="1116"/>
      <c r="G19" s="1116"/>
      <c r="H19" s="1116"/>
      <c r="I19" s="1116"/>
      <c r="J19" s="1116"/>
      <c r="K19" s="1116"/>
      <c r="L19" s="1116"/>
      <c r="M19" s="1116"/>
      <c r="N19" s="1116"/>
      <c r="O19" s="1116"/>
      <c r="P19" s="1117"/>
    </row>
    <row r="20" spans="1:16" x14ac:dyDescent="0.2">
      <c r="H20" s="9"/>
      <c r="I20" s="9"/>
      <c r="J20" s="9"/>
      <c r="K20" s="9"/>
      <c r="L20" s="9"/>
      <c r="N20" s="9"/>
    </row>
    <row r="21" spans="1:16" ht="39" customHeight="1" x14ac:dyDescent="0.2">
      <c r="B21" s="1011" t="s">
        <v>558</v>
      </c>
      <c r="C21" s="1011"/>
      <c r="D21" s="1011"/>
      <c r="E21" s="1011"/>
      <c r="F21" s="1011"/>
      <c r="G21" s="1011"/>
      <c r="H21" s="1011"/>
      <c r="I21" s="1011"/>
      <c r="J21" s="1011"/>
      <c r="K21" s="1011"/>
      <c r="L21" s="1011"/>
      <c r="M21" s="1011"/>
      <c r="N21" s="1011"/>
      <c r="O21" s="1011"/>
      <c r="P21" s="1011"/>
    </row>
    <row r="22" spans="1:16" x14ac:dyDescent="0.2">
      <c r="B22" s="38"/>
      <c r="H22"/>
      <c r="J22" s="42"/>
      <c r="K22" s="35"/>
      <c r="L22" s="35"/>
      <c r="M22" s="35"/>
      <c r="N22" s="35"/>
    </row>
    <row r="23" spans="1:16" x14ac:dyDescent="0.2">
      <c r="B23" s="38"/>
      <c r="H23"/>
      <c r="J23" s="42" t="s">
        <v>381</v>
      </c>
      <c r="L23" s="354" t="s">
        <v>332</v>
      </c>
    </row>
    <row r="24" spans="1:16" x14ac:dyDescent="0.2">
      <c r="B24" s="38"/>
      <c r="C24" t="s">
        <v>269</v>
      </c>
      <c r="H24"/>
      <c r="J24" s="234"/>
      <c r="L24" s="234"/>
    </row>
    <row r="25" spans="1:16" x14ac:dyDescent="0.2">
      <c r="B25" s="38"/>
      <c r="C25" t="s">
        <v>270</v>
      </c>
      <c r="H25"/>
      <c r="J25" s="234"/>
      <c r="L25" s="234"/>
    </row>
    <row r="26" spans="1:16" x14ac:dyDescent="0.2">
      <c r="B26" s="38"/>
      <c r="C26" t="s">
        <v>271</v>
      </c>
      <c r="H26"/>
      <c r="J26" s="234"/>
      <c r="L26" s="234"/>
    </row>
    <row r="27" spans="1:16" x14ac:dyDescent="0.2">
      <c r="B27" s="38"/>
      <c r="C27" t="s">
        <v>272</v>
      </c>
      <c r="H27"/>
      <c r="J27" s="234"/>
      <c r="L27" s="234"/>
    </row>
    <row r="28" spans="1:16" x14ac:dyDescent="0.2">
      <c r="B28" s="38"/>
      <c r="C28" t="s">
        <v>273</v>
      </c>
      <c r="H28"/>
      <c r="J28" s="234"/>
      <c r="L28" s="234"/>
    </row>
    <row r="29" spans="1:16" x14ac:dyDescent="0.2">
      <c r="B29" s="38"/>
      <c r="C29" t="s">
        <v>274</v>
      </c>
      <c r="H29"/>
      <c r="J29" s="234"/>
      <c r="L29" s="234"/>
    </row>
    <row r="30" spans="1:16" x14ac:dyDescent="0.2">
      <c r="B30" s="38"/>
      <c r="C30" t="s">
        <v>275</v>
      </c>
      <c r="H30"/>
      <c r="J30" s="234"/>
      <c r="L30" s="234"/>
    </row>
    <row r="31" spans="1:16" x14ac:dyDescent="0.2">
      <c r="B31" s="38"/>
      <c r="C31" t="s">
        <v>387</v>
      </c>
      <c r="H31"/>
      <c r="J31" s="234"/>
      <c r="L31" s="234"/>
    </row>
    <row r="32" spans="1:16" x14ac:dyDescent="0.2">
      <c r="B32" s="38"/>
      <c r="C32" t="s">
        <v>276</v>
      </c>
      <c r="H32"/>
      <c r="J32" s="234"/>
      <c r="L32" s="234"/>
    </row>
    <row r="33" spans="1:16" x14ac:dyDescent="0.2">
      <c r="B33" s="38"/>
      <c r="C33" t="s">
        <v>243</v>
      </c>
      <c r="H33"/>
      <c r="J33" s="234"/>
      <c r="L33" s="234"/>
    </row>
    <row r="34" spans="1:16" x14ac:dyDescent="0.2">
      <c r="B34" s="38"/>
      <c r="C34" t="s">
        <v>244</v>
      </c>
      <c r="H34"/>
      <c r="J34" s="234"/>
      <c r="L34" s="234"/>
    </row>
    <row r="35" spans="1:16" x14ac:dyDescent="0.2">
      <c r="B35" s="38"/>
      <c r="C35" t="s">
        <v>277</v>
      </c>
      <c r="H35"/>
      <c r="J35" s="234"/>
      <c r="L35" s="234"/>
    </row>
    <row r="36" spans="1:16" x14ac:dyDescent="0.2">
      <c r="B36" s="38"/>
      <c r="C36" t="s">
        <v>279</v>
      </c>
      <c r="H36"/>
      <c r="J36" s="234"/>
      <c r="L36" s="234"/>
    </row>
    <row r="37" spans="1:16" x14ac:dyDescent="0.2">
      <c r="B37" s="38"/>
      <c r="C37" t="s">
        <v>280</v>
      </c>
      <c r="H37"/>
      <c r="J37" s="234"/>
      <c r="L37" s="234"/>
    </row>
    <row r="38" spans="1:16" x14ac:dyDescent="0.2">
      <c r="B38" s="38"/>
      <c r="C38" t="s">
        <v>278</v>
      </c>
      <c r="H38"/>
      <c r="J38" s="234"/>
      <c r="L38" s="234"/>
    </row>
    <row r="39" spans="1:16" x14ac:dyDescent="0.2">
      <c r="C39" t="s">
        <v>263</v>
      </c>
      <c r="H39"/>
      <c r="J39" s="234"/>
      <c r="L39" s="235"/>
    </row>
    <row r="40" spans="1:16" x14ac:dyDescent="0.2">
      <c r="C40" t="s">
        <v>55</v>
      </c>
      <c r="H40"/>
      <c r="J40" s="234"/>
      <c r="L40" s="235"/>
    </row>
    <row r="41" spans="1:16" x14ac:dyDescent="0.2">
      <c r="H41"/>
      <c r="L41" s="9"/>
      <c r="O41" s="1195"/>
      <c r="P41" s="1195"/>
    </row>
    <row r="42" spans="1:16" ht="18.75" customHeight="1" thickBot="1" x14ac:dyDescent="0.25">
      <c r="C42" s="360" t="s">
        <v>461</v>
      </c>
      <c r="H42"/>
      <c r="J42" s="142">
        <f>SUM(J24:J40)</f>
        <v>0</v>
      </c>
      <c r="L42" s="76">
        <f>SUM(L24:L40)</f>
        <v>0</v>
      </c>
      <c r="O42" s="1195"/>
      <c r="P42" s="1195"/>
    </row>
    <row r="43" spans="1:16" ht="12.75" customHeight="1" thickTop="1" x14ac:dyDescent="0.2"/>
    <row r="44" spans="1:16" ht="25.5" customHeight="1" x14ac:dyDescent="0.2">
      <c r="A44" s="4" t="s">
        <v>342</v>
      </c>
      <c r="B44" s="1115" t="s">
        <v>559</v>
      </c>
      <c r="C44" s="1116"/>
      <c r="D44" s="1116"/>
      <c r="E44" s="1116"/>
      <c r="F44" s="1116"/>
      <c r="G44" s="1116"/>
      <c r="H44" s="1116"/>
      <c r="I44" s="1116"/>
      <c r="J44" s="1116"/>
      <c r="K44" s="1116"/>
      <c r="L44" s="1116"/>
      <c r="M44" s="1116"/>
      <c r="N44" s="1116"/>
      <c r="O44" s="1116"/>
      <c r="P44" s="1117"/>
    </row>
    <row r="45" spans="1:16" ht="6" customHeight="1" x14ac:dyDescent="0.2">
      <c r="B45" s="41"/>
      <c r="C45" s="32"/>
      <c r="D45" s="32"/>
      <c r="E45" s="32"/>
      <c r="F45" s="32"/>
      <c r="G45" s="32"/>
      <c r="H45" s="31"/>
      <c r="I45" s="32"/>
      <c r="J45" s="32"/>
      <c r="K45" s="32"/>
      <c r="L45" s="32"/>
      <c r="M45" s="32"/>
      <c r="N45" s="32"/>
    </row>
    <row r="46" spans="1:16" x14ac:dyDescent="0.2">
      <c r="H46"/>
      <c r="L46" s="3" t="s">
        <v>657</v>
      </c>
    </row>
    <row r="47" spans="1:16" ht="6" customHeight="1" x14ac:dyDescent="0.2">
      <c r="H47"/>
    </row>
    <row r="48" spans="1:16" ht="12.75" customHeight="1" x14ac:dyDescent="0.2">
      <c r="B48" s="38" t="s">
        <v>662</v>
      </c>
      <c r="C48" s="1011" t="s">
        <v>380</v>
      </c>
      <c r="D48" s="1011"/>
      <c r="E48" s="1011"/>
      <c r="F48" s="1011"/>
      <c r="G48" s="1011"/>
      <c r="H48" s="1011"/>
      <c r="I48" s="1011"/>
      <c r="J48" s="1011"/>
      <c r="L48" s="77"/>
    </row>
    <row r="49" spans="2:16" ht="12.75" customHeight="1" x14ac:dyDescent="0.2">
      <c r="B49" s="38"/>
      <c r="C49" s="1011"/>
      <c r="D49" s="1011"/>
      <c r="E49" s="1011"/>
      <c r="F49" s="1011"/>
      <c r="G49" s="1011"/>
      <c r="H49" s="1011"/>
      <c r="I49" s="1011"/>
      <c r="J49" s="1011"/>
      <c r="L49" s="77"/>
    </row>
    <row r="50" spans="2:16" x14ac:dyDescent="0.2">
      <c r="D50" t="s">
        <v>118</v>
      </c>
      <c r="H50"/>
      <c r="L50" s="234">
        <v>0</v>
      </c>
    </row>
    <row r="51" spans="2:16" x14ac:dyDescent="0.2">
      <c r="D51" t="s">
        <v>723</v>
      </c>
      <c r="H51"/>
      <c r="L51" s="234">
        <v>0</v>
      </c>
    </row>
    <row r="52" spans="2:16" x14ac:dyDescent="0.2">
      <c r="D52" t="s">
        <v>724</v>
      </c>
      <c r="H52"/>
      <c r="L52" s="234"/>
    </row>
    <row r="53" spans="2:16" x14ac:dyDescent="0.2">
      <c r="D53" t="s">
        <v>100</v>
      </c>
      <c r="H53"/>
      <c r="L53" s="234"/>
    </row>
    <row r="54" spans="2:16" ht="15" thickBot="1" x14ac:dyDescent="0.25">
      <c r="D54" s="121" t="s">
        <v>297</v>
      </c>
      <c r="H54"/>
      <c r="K54" s="359" t="s">
        <v>144</v>
      </c>
      <c r="L54" s="76">
        <f>SUM(L50:L53)</f>
        <v>0</v>
      </c>
      <c r="M54" s="2"/>
      <c r="N54" s="1197" t="str">
        <f>IF(L54=L61," ","Recheck numbers. Entry does not appear to zero out.")</f>
        <v xml:space="preserve"> </v>
      </c>
      <c r="O54" s="1197"/>
    </row>
    <row r="55" spans="2:16" ht="13.5" thickTop="1" x14ac:dyDescent="0.2">
      <c r="H55"/>
      <c r="L55" s="31"/>
      <c r="N55" s="1197"/>
      <c r="O55" s="1197"/>
    </row>
    <row r="56" spans="2:16" x14ac:dyDescent="0.2">
      <c r="B56" s="38" t="s">
        <v>663</v>
      </c>
      <c r="C56" s="1011" t="s">
        <v>615</v>
      </c>
      <c r="D56" s="1011"/>
      <c r="E56" s="1011"/>
      <c r="F56" s="1011"/>
      <c r="G56" s="1011"/>
      <c r="H56" s="1011"/>
      <c r="I56" s="1011"/>
      <c r="J56" s="1011"/>
      <c r="L56" s="31"/>
    </row>
    <row r="57" spans="2:16" x14ac:dyDescent="0.2">
      <c r="C57" s="1011"/>
      <c r="D57" s="1011"/>
      <c r="E57" s="1011"/>
      <c r="F57" s="1011"/>
      <c r="G57" s="1011"/>
      <c r="H57" s="1011"/>
      <c r="I57" s="1011"/>
      <c r="J57" s="1011"/>
      <c r="L57" s="31"/>
    </row>
    <row r="58" spans="2:16" x14ac:dyDescent="0.2">
      <c r="D58" t="s">
        <v>379</v>
      </c>
      <c r="H58"/>
      <c r="L58" s="167">
        <f>'Conversion Worksheet'!W392+'Conversion Worksheet'!W393-'Conversion Worksheet'!X392-'Conversion Worksheet'!X393</f>
        <v>0</v>
      </c>
    </row>
    <row r="59" spans="2:16" x14ac:dyDescent="0.2">
      <c r="D59" t="s">
        <v>445</v>
      </c>
      <c r="H59"/>
      <c r="L59" s="167">
        <f>'C. Capital Outlay &amp; Donations'!K130</f>
        <v>0</v>
      </c>
    </row>
    <row r="60" spans="2:16" x14ac:dyDescent="0.2">
      <c r="D60" t="s">
        <v>446</v>
      </c>
      <c r="H60"/>
      <c r="L60" s="167">
        <f>J42</f>
        <v>0</v>
      </c>
    </row>
    <row r="61" spans="2:16" ht="15" thickBot="1" x14ac:dyDescent="0.25">
      <c r="D61" s="121" t="s">
        <v>616</v>
      </c>
      <c r="H61"/>
      <c r="K61" s="359" t="s">
        <v>144</v>
      </c>
      <c r="L61" s="76">
        <f>SUM(L58:L60)</f>
        <v>0</v>
      </c>
    </row>
    <row r="62" spans="2:16" ht="13.5" thickTop="1" x14ac:dyDescent="0.2">
      <c r="H62"/>
      <c r="L62" s="31"/>
    </row>
    <row r="63" spans="2:16" x14ac:dyDescent="0.2">
      <c r="H63"/>
      <c r="L63" s="31"/>
    </row>
    <row r="64" spans="2:16" ht="25.5" customHeight="1" x14ac:dyDescent="0.2">
      <c r="C64" s="1196" t="s">
        <v>447</v>
      </c>
      <c r="D64" s="1196"/>
      <c r="E64" s="1196"/>
      <c r="F64" s="1196"/>
      <c r="G64" s="1196"/>
      <c r="H64" s="1196"/>
      <c r="I64" s="1196"/>
      <c r="J64" s="1196"/>
      <c r="K64" s="1196"/>
      <c r="L64" s="1196"/>
      <c r="M64" s="1196"/>
      <c r="N64" s="1196"/>
      <c r="O64" s="1196"/>
      <c r="P64" s="1196"/>
    </row>
    <row r="65" spans="1:16" hidden="1" x14ac:dyDescent="0.2">
      <c r="C65" s="1196"/>
      <c r="D65" s="1196"/>
      <c r="E65" s="1196"/>
      <c r="F65" s="1196"/>
      <c r="G65" s="1196"/>
      <c r="H65" s="1196"/>
      <c r="I65" s="1196"/>
      <c r="J65" s="1196"/>
      <c r="K65" s="1196"/>
      <c r="L65" s="1196"/>
      <c r="M65" s="1196"/>
      <c r="N65" s="1196"/>
      <c r="O65" s="1196"/>
      <c r="P65" s="1196"/>
    </row>
    <row r="66" spans="1:16" x14ac:dyDescent="0.2">
      <c r="D66" s="2"/>
      <c r="H66"/>
      <c r="L66" s="31"/>
    </row>
    <row r="67" spans="1:16" ht="25.5" customHeight="1" x14ac:dyDescent="0.2">
      <c r="A67" s="4" t="s">
        <v>527</v>
      </c>
      <c r="B67" s="1115" t="s">
        <v>444</v>
      </c>
      <c r="C67" s="1116"/>
      <c r="D67" s="1116"/>
      <c r="E67" s="1116"/>
      <c r="F67" s="1116"/>
      <c r="G67" s="1116"/>
      <c r="H67" s="1116"/>
      <c r="I67" s="1116"/>
      <c r="J67" s="1116"/>
      <c r="K67" s="1116"/>
      <c r="L67" s="1116"/>
      <c r="M67" s="1116"/>
      <c r="N67" s="1116"/>
      <c r="O67" s="1116"/>
      <c r="P67" s="1117"/>
    </row>
    <row r="68" spans="1:16" x14ac:dyDescent="0.2">
      <c r="H68" s="9"/>
      <c r="I68" s="9"/>
      <c r="J68" s="9"/>
      <c r="K68" s="9"/>
      <c r="L68" s="9"/>
      <c r="N68" s="9"/>
    </row>
    <row r="69" spans="1:16" x14ac:dyDescent="0.2">
      <c r="H69" s="9"/>
      <c r="I69" s="9"/>
      <c r="K69" s="9"/>
      <c r="L69" s="3" t="s">
        <v>657</v>
      </c>
      <c r="N69" s="9"/>
    </row>
    <row r="70" spans="1:16" x14ac:dyDescent="0.2">
      <c r="H70"/>
      <c r="K70" s="9"/>
      <c r="L70" s="11"/>
    </row>
    <row r="71" spans="1:16" ht="12" customHeight="1" x14ac:dyDescent="0.2">
      <c r="B71" s="38" t="s">
        <v>662</v>
      </c>
      <c r="C71" t="s">
        <v>537</v>
      </c>
      <c r="H71"/>
      <c r="K71" s="9"/>
      <c r="L71" s="228">
        <v>0</v>
      </c>
    </row>
    <row r="72" spans="1:16" x14ac:dyDescent="0.2">
      <c r="H72"/>
      <c r="K72" s="9"/>
      <c r="L72" s="11"/>
    </row>
    <row r="73" spans="1:16" x14ac:dyDescent="0.2">
      <c r="B73" s="38" t="s">
        <v>663</v>
      </c>
      <c r="C73" t="s">
        <v>538</v>
      </c>
      <c r="H73"/>
      <c r="K73" s="9"/>
      <c r="L73" s="228">
        <v>0</v>
      </c>
    </row>
    <row r="74" spans="1:16" ht="6.75" customHeight="1" x14ac:dyDescent="0.2">
      <c r="B74" s="38"/>
      <c r="H74"/>
      <c r="K74" s="9"/>
    </row>
    <row r="75" spans="1:16" ht="13.5" thickBot="1" x14ac:dyDescent="0.25">
      <c r="B75" s="38"/>
      <c r="C75" s="360" t="s">
        <v>334</v>
      </c>
      <c r="H75"/>
      <c r="K75" s="9"/>
      <c r="L75" s="75">
        <f>L73-L71</f>
        <v>0</v>
      </c>
    </row>
    <row r="76" spans="1:16" ht="13.5" thickTop="1" x14ac:dyDescent="0.2">
      <c r="H76"/>
      <c r="L76" s="9"/>
      <c r="N76" s="9"/>
      <c r="O76" s="342"/>
    </row>
    <row r="77" spans="1:16" ht="25.5" customHeight="1" x14ac:dyDescent="0.2">
      <c r="A77" s="4" t="s">
        <v>529</v>
      </c>
      <c r="B77" s="1192" t="s">
        <v>483</v>
      </c>
      <c r="C77" s="1193"/>
      <c r="D77" s="1193"/>
      <c r="E77" s="1193"/>
      <c r="F77" s="1193"/>
      <c r="G77" s="1193"/>
      <c r="H77" s="1193"/>
      <c r="I77" s="1193"/>
      <c r="J77" s="1193"/>
      <c r="K77" s="1193"/>
      <c r="L77" s="1193"/>
      <c r="M77" s="1193"/>
      <c r="N77" s="1193"/>
      <c r="O77" s="1193"/>
      <c r="P77" s="1194"/>
    </row>
    <row r="78" spans="1:16" ht="6.75" customHeight="1" x14ac:dyDescent="0.2"/>
    <row r="79" spans="1:16" x14ac:dyDescent="0.2">
      <c r="L79" s="46" t="s">
        <v>658</v>
      </c>
      <c r="M79" s="42"/>
      <c r="N79" s="46" t="s">
        <v>659</v>
      </c>
    </row>
    <row r="80" spans="1:16" ht="6.75" customHeight="1" x14ac:dyDescent="0.2"/>
    <row r="81" spans="4:14" ht="12.75" customHeight="1" x14ac:dyDescent="0.2">
      <c r="D81" t="s">
        <v>703</v>
      </c>
      <c r="E81" t="s">
        <v>624</v>
      </c>
      <c r="L81" s="70">
        <f>J42</f>
        <v>0</v>
      </c>
      <c r="M81" s="11"/>
      <c r="N81" s="70"/>
    </row>
    <row r="82" spans="4:14" ht="12.75" customHeight="1" x14ac:dyDescent="0.2">
      <c r="E82" t="s">
        <v>317</v>
      </c>
      <c r="L82" s="70">
        <f>L42</f>
        <v>0</v>
      </c>
      <c r="M82" s="11"/>
      <c r="N82" s="70"/>
    </row>
    <row r="83" spans="4:14" ht="12.75" customHeight="1" x14ac:dyDescent="0.2">
      <c r="F83" t="s">
        <v>269</v>
      </c>
      <c r="L83" s="70"/>
      <c r="M83" s="11"/>
      <c r="N83" s="70">
        <f>J24+L24</f>
        <v>0</v>
      </c>
    </row>
    <row r="84" spans="4:14" ht="12.75" customHeight="1" x14ac:dyDescent="0.2">
      <c r="F84" t="s">
        <v>270</v>
      </c>
      <c r="L84" s="70"/>
      <c r="M84" s="11"/>
      <c r="N84" s="70">
        <f t="shared" ref="N84:N99" si="0">J25+L25</f>
        <v>0</v>
      </c>
    </row>
    <row r="85" spans="4:14" ht="12.75" customHeight="1" x14ac:dyDescent="0.2">
      <c r="F85" t="s">
        <v>271</v>
      </c>
      <c r="L85" s="70"/>
      <c r="M85" s="11"/>
      <c r="N85" s="70">
        <f t="shared" si="0"/>
        <v>0</v>
      </c>
    </row>
    <row r="86" spans="4:14" ht="12.75" customHeight="1" x14ac:dyDescent="0.2">
      <c r="F86" t="s">
        <v>272</v>
      </c>
      <c r="L86" s="70"/>
      <c r="M86" s="11"/>
      <c r="N86" s="70">
        <f t="shared" si="0"/>
        <v>0</v>
      </c>
    </row>
    <row r="87" spans="4:14" ht="12.75" customHeight="1" x14ac:dyDescent="0.2">
      <c r="F87" t="s">
        <v>273</v>
      </c>
      <c r="L87" s="70"/>
      <c r="M87" s="11"/>
      <c r="N87" s="70">
        <f t="shared" si="0"/>
        <v>0</v>
      </c>
    </row>
    <row r="88" spans="4:14" ht="12.75" customHeight="1" x14ac:dyDescent="0.2">
      <c r="F88" t="s">
        <v>274</v>
      </c>
      <c r="L88" s="70"/>
      <c r="M88" s="11"/>
      <c r="N88" s="70">
        <f t="shared" si="0"/>
        <v>0</v>
      </c>
    </row>
    <row r="89" spans="4:14" ht="12.75" customHeight="1" x14ac:dyDescent="0.2">
      <c r="F89" t="s">
        <v>275</v>
      </c>
      <c r="L89" s="70"/>
      <c r="M89" s="11"/>
      <c r="N89" s="70">
        <f t="shared" si="0"/>
        <v>0</v>
      </c>
    </row>
    <row r="90" spans="4:14" ht="12.75" customHeight="1" x14ac:dyDescent="0.2">
      <c r="F90" t="s">
        <v>387</v>
      </c>
      <c r="L90" s="70"/>
      <c r="M90" s="11"/>
      <c r="N90" s="70">
        <f t="shared" si="0"/>
        <v>0</v>
      </c>
    </row>
    <row r="91" spans="4:14" ht="12.75" customHeight="1" x14ac:dyDescent="0.2">
      <c r="F91" t="s">
        <v>276</v>
      </c>
      <c r="L91" s="70"/>
      <c r="M91" s="11"/>
      <c r="N91" s="70">
        <f t="shared" si="0"/>
        <v>0</v>
      </c>
    </row>
    <row r="92" spans="4:14" ht="12.75" customHeight="1" x14ac:dyDescent="0.2">
      <c r="F92" t="s">
        <v>243</v>
      </c>
      <c r="L92" s="70"/>
      <c r="M92" s="11"/>
      <c r="N92" s="70">
        <f t="shared" si="0"/>
        <v>0</v>
      </c>
    </row>
    <row r="93" spans="4:14" ht="12.75" customHeight="1" x14ac:dyDescent="0.2">
      <c r="F93" t="s">
        <v>244</v>
      </c>
      <c r="L93" s="70"/>
      <c r="M93" s="11"/>
      <c r="N93" s="70">
        <f t="shared" si="0"/>
        <v>0</v>
      </c>
    </row>
    <row r="94" spans="4:14" ht="12.75" customHeight="1" x14ac:dyDescent="0.2">
      <c r="F94" t="s">
        <v>277</v>
      </c>
      <c r="L94" s="70"/>
      <c r="M94" s="11"/>
      <c r="N94" s="70">
        <f t="shared" si="0"/>
        <v>0</v>
      </c>
    </row>
    <row r="95" spans="4:14" ht="12.75" customHeight="1" x14ac:dyDescent="0.2">
      <c r="F95" t="s">
        <v>279</v>
      </c>
      <c r="L95" s="70"/>
      <c r="M95" s="11"/>
      <c r="N95" s="70">
        <f t="shared" si="0"/>
        <v>0</v>
      </c>
    </row>
    <row r="96" spans="4:14" ht="12.75" customHeight="1" x14ac:dyDescent="0.2">
      <c r="F96" t="s">
        <v>280</v>
      </c>
      <c r="L96" s="70"/>
      <c r="M96" s="11"/>
      <c r="N96" s="70">
        <f t="shared" si="0"/>
        <v>0</v>
      </c>
    </row>
    <row r="97" spans="4:14" ht="12.75" customHeight="1" x14ac:dyDescent="0.2">
      <c r="F97" t="s">
        <v>278</v>
      </c>
      <c r="L97" s="70"/>
      <c r="M97" s="11"/>
      <c r="N97" s="70">
        <f t="shared" si="0"/>
        <v>0</v>
      </c>
    </row>
    <row r="98" spans="4:14" ht="12.75" customHeight="1" x14ac:dyDescent="0.2">
      <c r="F98" t="s">
        <v>263</v>
      </c>
      <c r="L98" s="70"/>
      <c r="M98" s="11"/>
      <c r="N98" s="70">
        <f t="shared" si="0"/>
        <v>0</v>
      </c>
    </row>
    <row r="99" spans="4:14" x14ac:dyDescent="0.2">
      <c r="F99" t="s">
        <v>55</v>
      </c>
      <c r="L99" s="70"/>
      <c r="M99" s="11"/>
      <c r="N99" s="70">
        <f t="shared" si="0"/>
        <v>0</v>
      </c>
    </row>
    <row r="100" spans="4:14" ht="6" customHeight="1" x14ac:dyDescent="0.2"/>
    <row r="101" spans="4:14" ht="12.75" customHeight="1" x14ac:dyDescent="0.2">
      <c r="D101" t="s">
        <v>584</v>
      </c>
      <c r="E101" t="s">
        <v>119</v>
      </c>
      <c r="L101" s="70">
        <f>L50</f>
        <v>0</v>
      </c>
      <c r="M101" s="11"/>
      <c r="N101" s="70"/>
    </row>
    <row r="102" spans="4:14" ht="12.75" customHeight="1" x14ac:dyDescent="0.2">
      <c r="E102" t="s">
        <v>723</v>
      </c>
      <c r="L102" s="70">
        <f>L51</f>
        <v>0</v>
      </c>
      <c r="M102" s="11"/>
      <c r="N102" s="70"/>
    </row>
    <row r="103" spans="4:14" ht="12.75" customHeight="1" x14ac:dyDescent="0.2">
      <c r="E103" t="s">
        <v>724</v>
      </c>
      <c r="L103" s="70">
        <f>L52</f>
        <v>0</v>
      </c>
      <c r="M103" s="11"/>
      <c r="N103" s="70"/>
    </row>
    <row r="104" spans="4:14" ht="12.75" customHeight="1" x14ac:dyDescent="0.2">
      <c r="E104" t="s">
        <v>100</v>
      </c>
      <c r="L104" s="70">
        <f>L53</f>
        <v>0</v>
      </c>
      <c r="M104" s="11"/>
      <c r="N104" s="70"/>
    </row>
    <row r="105" spans="4:14" x14ac:dyDescent="0.2">
      <c r="F105" t="s">
        <v>624</v>
      </c>
      <c r="L105" s="70"/>
      <c r="M105" s="11"/>
      <c r="N105" s="70">
        <f>SUM(L101:L104)</f>
        <v>0</v>
      </c>
    </row>
    <row r="106" spans="4:14" ht="5.25" customHeight="1" x14ac:dyDescent="0.2">
      <c r="L106" s="77"/>
      <c r="M106" s="11"/>
      <c r="N106" s="77"/>
    </row>
    <row r="107" spans="4:14" x14ac:dyDescent="0.2">
      <c r="D107" t="s">
        <v>333</v>
      </c>
      <c r="E107" t="s">
        <v>350</v>
      </c>
      <c r="L107" s="70">
        <f>L71</f>
        <v>0</v>
      </c>
      <c r="M107" s="11"/>
      <c r="N107" s="70"/>
    </row>
    <row r="108" spans="4:14" x14ac:dyDescent="0.2">
      <c r="F108" t="s">
        <v>349</v>
      </c>
      <c r="L108" s="70"/>
      <c r="M108" s="11"/>
      <c r="N108" s="70">
        <f>L71</f>
        <v>0</v>
      </c>
    </row>
    <row r="109" spans="4:14" ht="6" customHeight="1" x14ac:dyDescent="0.2">
      <c r="L109" s="77"/>
      <c r="M109" s="11"/>
      <c r="N109" s="77"/>
    </row>
    <row r="110" spans="4:14" x14ac:dyDescent="0.2">
      <c r="D110" t="s">
        <v>338</v>
      </c>
      <c r="E110" t="s">
        <v>349</v>
      </c>
      <c r="L110" s="70">
        <f>IF(L71-L73&lt;0,0, L71-L73)</f>
        <v>0</v>
      </c>
      <c r="M110" s="78"/>
      <c r="N110" s="70">
        <f>IF(L71-L73&gt;0,"0", L73-L71)</f>
        <v>0</v>
      </c>
    </row>
    <row r="111" spans="4:14" x14ac:dyDescent="0.2">
      <c r="F111" t="s">
        <v>317</v>
      </c>
      <c r="L111" s="70">
        <f>N110</f>
        <v>0</v>
      </c>
      <c r="M111" s="78"/>
      <c r="N111" s="70">
        <f>L110</f>
        <v>0</v>
      </c>
    </row>
    <row r="112" spans="4:14" ht="6" customHeight="1" x14ac:dyDescent="0.2">
      <c r="M112" s="78"/>
    </row>
    <row r="113" spans="12:14" ht="13.5" thickBot="1" x14ac:dyDescent="0.25">
      <c r="L113" s="76">
        <f>SUM(L81:L112)</f>
        <v>0</v>
      </c>
      <c r="M113" s="11"/>
      <c r="N113" s="76">
        <f>SUM(N81:N112)</f>
        <v>0</v>
      </c>
    </row>
    <row r="114" spans="12:14" ht="13.5" thickTop="1" x14ac:dyDescent="0.2">
      <c r="L114" s="77">
        <f>L113-N113</f>
        <v>0</v>
      </c>
      <c r="M114" s="11"/>
      <c r="N114" s="77"/>
    </row>
    <row r="115" spans="12:14" x14ac:dyDescent="0.2">
      <c r="L115" s="77"/>
      <c r="M115" s="11"/>
      <c r="N115" s="77"/>
    </row>
    <row r="116" spans="12:14" ht="4.5" customHeight="1" x14ac:dyDescent="0.2">
      <c r="L116" s="77"/>
      <c r="M116" s="11"/>
      <c r="N116" s="77"/>
    </row>
  </sheetData>
  <sheetProtection algorithmName="SHA-512" hashValue="VPdC1z6yvpE3WzbZp5P/p0/rczSFCMYxhRoAwF83DAzzLd9Z7LwkuKgMjXNKuojG3U0WpW7y/hvkzEvYRA9KwQ==" saltValue="FSWBUSA27fdS6EiunfigRw==" spinCount="100000" sheet="1" objects="1" scenarios="1"/>
  <mergeCells count="16">
    <mergeCell ref="B77:P77"/>
    <mergeCell ref="A2:P2"/>
    <mergeCell ref="B4:P4"/>
    <mergeCell ref="C9:P10"/>
    <mergeCell ref="C12:P13"/>
    <mergeCell ref="C15:O16"/>
    <mergeCell ref="O41:P42"/>
    <mergeCell ref="C6:P7"/>
    <mergeCell ref="B19:P19"/>
    <mergeCell ref="B44:P44"/>
    <mergeCell ref="B67:P67"/>
    <mergeCell ref="C64:P65"/>
    <mergeCell ref="B21:P21"/>
    <mergeCell ref="C48:J49"/>
    <mergeCell ref="C56:J57"/>
    <mergeCell ref="N54:O55"/>
  </mergeCells>
  <phoneticPr fontId="0" type="noConversion"/>
  <printOptions horizontalCentered="1"/>
  <pageMargins left="0.36" right="0.37" top="0.71" bottom="0.5" header="0.5" footer="0.5"/>
  <pageSetup scale="75" orientation="portrait" r:id="rId1"/>
  <headerFooter alignWithMargins="0">
    <oddHeader>&amp;R&amp;"Arial,Bold"&amp;12Entry E</oddHeader>
    <oddFooter>&amp;R&amp;P</oddFooter>
  </headerFooter>
  <rowBreaks count="1" manualBreakCount="1">
    <brk id="64" max="15" man="1"/>
  </rowBreaks>
  <ignoredErrors>
    <ignoredError sqref="B6 B9 B12 B15 B48 B56 B71 B73"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79"/>
  <sheetViews>
    <sheetView workbookViewId="0">
      <selection activeCell="A11" sqref="A11"/>
    </sheetView>
  </sheetViews>
  <sheetFormatPr defaultRowHeight="12.75" x14ac:dyDescent="0.2"/>
  <cols>
    <col min="1" max="1" width="4" style="4" customWidth="1"/>
    <col min="2" max="2" width="4" customWidth="1"/>
    <col min="4" max="4" width="9.28515625" customWidth="1"/>
    <col min="5" max="5" width="5.42578125" customWidth="1"/>
    <col min="6" max="6" width="10.42578125" bestFit="1" customWidth="1"/>
    <col min="7" max="7" width="11.28515625" bestFit="1" customWidth="1"/>
    <col min="8" max="8" width="1.42578125" style="1" customWidth="1"/>
    <col min="9" max="9" width="11.28515625" customWidth="1"/>
    <col min="10" max="10" width="11.85546875" bestFit="1" customWidth="1"/>
    <col min="11" max="11" width="11.140625" customWidth="1"/>
    <col min="12" max="12" width="11.42578125" bestFit="1" customWidth="1"/>
    <col min="13" max="13" width="1.7109375" customWidth="1"/>
    <col min="14" max="14" width="11.42578125" customWidth="1"/>
    <col min="15" max="15" width="10" bestFit="1" customWidth="1"/>
    <col min="16" max="16" width="1.7109375" customWidth="1"/>
    <col min="17" max="17" width="11.28515625" customWidth="1"/>
    <col min="18" max="19" width="11.42578125" customWidth="1"/>
  </cols>
  <sheetData>
    <row r="1" spans="1:16" ht="7.5" customHeight="1" x14ac:dyDescent="0.2"/>
    <row r="2" spans="1:16" ht="33.75" customHeight="1" x14ac:dyDescent="0.25">
      <c r="A2" s="1107" t="s">
        <v>94</v>
      </c>
      <c r="B2" s="1108"/>
      <c r="C2" s="1108"/>
      <c r="D2" s="1108"/>
      <c r="E2" s="1108"/>
      <c r="F2" s="1108"/>
      <c r="G2" s="1108"/>
      <c r="H2" s="1108"/>
      <c r="I2" s="1108"/>
      <c r="J2" s="1108"/>
      <c r="K2" s="1108"/>
      <c r="L2" s="1108"/>
      <c r="M2" s="1108"/>
      <c r="N2" s="1108"/>
      <c r="O2" s="1108"/>
      <c r="P2" s="1109"/>
    </row>
    <row r="3" spans="1:16" ht="11.25" customHeight="1" x14ac:dyDescent="0.2"/>
    <row r="4" spans="1:16" ht="28.5" customHeight="1" x14ac:dyDescent="0.2">
      <c r="A4" s="1114" t="s">
        <v>771</v>
      </c>
      <c r="B4" s="1196"/>
      <c r="C4" s="1196"/>
      <c r="D4" s="1196"/>
      <c r="E4" s="1196"/>
      <c r="F4" s="1196"/>
      <c r="G4" s="1196"/>
      <c r="H4" s="1196"/>
      <c r="I4" s="1196"/>
      <c r="J4" s="1196"/>
      <c r="K4" s="1196"/>
      <c r="L4" s="1196"/>
      <c r="M4" s="1196"/>
      <c r="N4" s="1196"/>
      <c r="O4" s="1196"/>
      <c r="P4" s="1196"/>
    </row>
    <row r="5" spans="1:16" ht="5.25" customHeight="1" x14ac:dyDescent="0.2">
      <c r="A5" s="396"/>
      <c r="B5" s="396"/>
      <c r="C5" s="396"/>
      <c r="D5" s="396"/>
      <c r="E5" s="396"/>
      <c r="F5" s="396"/>
      <c r="G5" s="396"/>
      <c r="H5" s="396"/>
      <c r="I5" s="396"/>
      <c r="J5" s="396"/>
      <c r="K5" s="396"/>
      <c r="L5" s="396"/>
      <c r="M5" s="396"/>
      <c r="N5" s="396"/>
      <c r="O5" s="396"/>
      <c r="P5" s="396"/>
    </row>
    <row r="6" spans="1:16" ht="72" customHeight="1" x14ac:dyDescent="0.2">
      <c r="A6" s="1196" t="s">
        <v>448</v>
      </c>
      <c r="B6" s="1199"/>
      <c r="C6" s="1199"/>
      <c r="D6" s="1199"/>
      <c r="E6" s="1199"/>
      <c r="F6" s="1199"/>
      <c r="G6" s="1199"/>
      <c r="H6" s="1199"/>
      <c r="I6" s="1199"/>
      <c r="J6" s="1199"/>
      <c r="K6" s="1199"/>
      <c r="L6" s="1199"/>
      <c r="M6" s="1199"/>
      <c r="N6" s="1199"/>
      <c r="O6" s="1199"/>
      <c r="P6" s="1199"/>
    </row>
    <row r="7" spans="1:16" ht="5.25" customHeight="1" x14ac:dyDescent="0.2"/>
    <row r="8" spans="1:16" ht="9" customHeight="1" x14ac:dyDescent="0.2"/>
    <row r="9" spans="1:16" ht="12.75" customHeight="1" x14ac:dyDescent="0.2">
      <c r="B9" s="38" t="s">
        <v>662</v>
      </c>
      <c r="C9" s="1011" t="s">
        <v>422</v>
      </c>
      <c r="D9" s="1011"/>
      <c r="E9" s="1011"/>
      <c r="F9" s="1011"/>
      <c r="G9" s="1011"/>
      <c r="H9" s="1011"/>
      <c r="I9" s="1011"/>
      <c r="J9" s="1011"/>
      <c r="K9" s="1011"/>
      <c r="L9" s="1011"/>
      <c r="M9" s="1011"/>
      <c r="N9" s="1011"/>
      <c r="O9" s="1011"/>
      <c r="P9" s="1011"/>
    </row>
    <row r="10" spans="1:16" ht="12.75" customHeight="1" x14ac:dyDescent="0.2">
      <c r="B10" s="38"/>
      <c r="C10" s="1011"/>
      <c r="D10" s="1011"/>
      <c r="E10" s="1011"/>
      <c r="F10" s="1011"/>
      <c r="G10" s="1011"/>
      <c r="H10" s="1011"/>
      <c r="I10" s="1011"/>
      <c r="J10" s="1011"/>
      <c r="K10" s="1011"/>
      <c r="L10" s="1011"/>
      <c r="M10" s="1011"/>
      <c r="N10" s="1011"/>
      <c r="O10" s="1011"/>
      <c r="P10" s="1011"/>
    </row>
    <row r="11" spans="1:16" ht="5.25" customHeight="1" x14ac:dyDescent="0.2">
      <c r="B11" s="38"/>
      <c r="C11" s="34"/>
      <c r="D11" s="34"/>
      <c r="E11" s="34"/>
      <c r="F11" s="34"/>
      <c r="G11" s="34"/>
      <c r="H11" s="34"/>
      <c r="I11" s="34"/>
      <c r="J11" s="34"/>
      <c r="K11" s="34"/>
      <c r="L11" s="34"/>
      <c r="M11" s="34"/>
      <c r="N11" s="34"/>
      <c r="O11" s="34"/>
      <c r="P11" s="34"/>
    </row>
    <row r="12" spans="1:16" ht="12.75" customHeight="1" x14ac:dyDescent="0.2">
      <c r="B12" s="38"/>
      <c r="C12" s="34"/>
      <c r="D12" s="34"/>
      <c r="E12" s="34"/>
      <c r="F12" s="34"/>
      <c r="G12" s="34"/>
      <c r="H12" s="34"/>
      <c r="I12" s="34"/>
      <c r="J12" s="34"/>
      <c r="K12" s="34"/>
      <c r="L12" s="34"/>
      <c r="M12" s="34"/>
      <c r="N12" s="34"/>
      <c r="O12" s="34"/>
    </row>
    <row r="13" spans="1:16" ht="6" customHeight="1" x14ac:dyDescent="0.2"/>
    <row r="14" spans="1:16" x14ac:dyDescent="0.2">
      <c r="C14" s="1198"/>
      <c r="D14" s="1198"/>
      <c r="E14" s="1198"/>
      <c r="F14" s="1198"/>
      <c r="G14" s="1198"/>
      <c r="H14" s="1198"/>
      <c r="I14" s="1198"/>
      <c r="J14" s="1198"/>
      <c r="K14" s="1198"/>
      <c r="L14" s="1198"/>
      <c r="M14" s="1198"/>
      <c r="N14" s="1198"/>
      <c r="O14" s="1198"/>
    </row>
    <row r="15" spans="1:16" ht="25.5" customHeight="1" x14ac:dyDescent="0.2">
      <c r="A15" s="4" t="s">
        <v>341</v>
      </c>
      <c r="B15" s="1115" t="s">
        <v>104</v>
      </c>
      <c r="C15" s="1116"/>
      <c r="D15" s="1116"/>
      <c r="E15" s="1116"/>
      <c r="F15" s="1116"/>
      <c r="G15" s="1116"/>
      <c r="H15" s="1116"/>
      <c r="I15" s="1116"/>
      <c r="J15" s="1116"/>
      <c r="K15" s="1116"/>
      <c r="L15" s="1116"/>
      <c r="M15" s="1116"/>
      <c r="N15" s="1116"/>
      <c r="O15" s="1117"/>
      <c r="P15" s="41"/>
    </row>
    <row r="16" spans="1:16" ht="12.75" customHeight="1" x14ac:dyDescent="0.2">
      <c r="B16" s="41"/>
      <c r="C16" s="32"/>
      <c r="D16" s="32"/>
      <c r="E16" s="32"/>
      <c r="F16" s="32"/>
      <c r="G16" s="32"/>
      <c r="H16" s="31"/>
      <c r="I16" s="32"/>
      <c r="J16" s="32"/>
      <c r="K16" s="32"/>
      <c r="L16" s="32"/>
      <c r="M16" s="32"/>
      <c r="N16" s="32"/>
    </row>
    <row r="17" spans="1:15" x14ac:dyDescent="0.2">
      <c r="B17" s="41"/>
      <c r="C17" s="32"/>
      <c r="D17" s="32"/>
      <c r="E17" s="32"/>
      <c r="F17" s="32"/>
      <c r="G17" s="32"/>
      <c r="H17" s="31"/>
      <c r="I17" s="32"/>
      <c r="J17" s="83" t="s">
        <v>92</v>
      </c>
      <c r="K17" s="83"/>
      <c r="L17" s="83"/>
      <c r="M17" s="83"/>
      <c r="N17" s="83"/>
    </row>
    <row r="18" spans="1:15" x14ac:dyDescent="0.2">
      <c r="H18" s="9"/>
      <c r="I18" s="9"/>
      <c r="J18" s="3" t="s">
        <v>657</v>
      </c>
      <c r="L18" s="43"/>
      <c r="M18" s="43"/>
      <c r="N18" s="43"/>
    </row>
    <row r="19" spans="1:15" ht="6" customHeight="1" x14ac:dyDescent="0.2">
      <c r="H19" s="9"/>
      <c r="I19" s="9"/>
    </row>
    <row r="20" spans="1:15" ht="13.5" customHeight="1" x14ac:dyDescent="0.2">
      <c r="B20" s="38" t="s">
        <v>662</v>
      </c>
      <c r="C20" s="1012" t="s">
        <v>31</v>
      </c>
      <c r="D20" s="1012"/>
      <c r="E20" s="1012"/>
      <c r="F20" s="1012"/>
      <c r="G20" s="1012"/>
      <c r="H20" s="1012"/>
      <c r="I20" s="9"/>
      <c r="J20" s="31"/>
    </row>
    <row r="21" spans="1:15" ht="15" customHeight="1" x14ac:dyDescent="0.2">
      <c r="B21" s="38"/>
      <c r="C21" s="1012"/>
      <c r="D21" s="1012"/>
      <c r="E21" s="1012"/>
      <c r="F21" s="1012"/>
      <c r="G21" s="1012"/>
      <c r="H21" s="1012"/>
      <c r="I21" s="9"/>
      <c r="J21" s="31"/>
    </row>
    <row r="22" spans="1:15" x14ac:dyDescent="0.2">
      <c r="C22" s="360" t="s">
        <v>718</v>
      </c>
      <c r="H22"/>
      <c r="I22" s="9"/>
      <c r="J22" s="235">
        <v>0</v>
      </c>
      <c r="N22" s="11"/>
    </row>
    <row r="23" spans="1:15" x14ac:dyDescent="0.2">
      <c r="C23" s="366" t="s">
        <v>721</v>
      </c>
      <c r="H23"/>
      <c r="I23" s="9"/>
      <c r="J23" s="235"/>
      <c r="N23" s="11"/>
    </row>
    <row r="24" spans="1:15" x14ac:dyDescent="0.2">
      <c r="C24" s="366" t="s">
        <v>720</v>
      </c>
      <c r="H24"/>
      <c r="I24" s="9"/>
      <c r="J24" s="235"/>
      <c r="N24" s="11"/>
    </row>
    <row r="25" spans="1:15" x14ac:dyDescent="0.2">
      <c r="C25" s="366" t="s">
        <v>719</v>
      </c>
      <c r="H25"/>
      <c r="I25" s="9"/>
      <c r="J25" s="235"/>
      <c r="N25" s="11"/>
    </row>
    <row r="26" spans="1:15" x14ac:dyDescent="0.2">
      <c r="H26" s="9"/>
      <c r="I26" s="9"/>
      <c r="J26" s="236"/>
      <c r="N26" s="11"/>
    </row>
    <row r="27" spans="1:15" ht="7.5" customHeight="1" x14ac:dyDescent="0.2">
      <c r="H27" s="9"/>
      <c r="I27" s="9"/>
      <c r="J27" s="31"/>
    </row>
    <row r="28" spans="1:15" ht="17.25" thickBot="1" x14ac:dyDescent="0.4">
      <c r="D28" t="s">
        <v>622</v>
      </c>
      <c r="H28" s="9"/>
      <c r="I28" s="53"/>
      <c r="J28" s="71">
        <f>SUM(J22:J26)</f>
        <v>0</v>
      </c>
    </row>
    <row r="29" spans="1:15" ht="17.25" thickTop="1" x14ac:dyDescent="0.35">
      <c r="H29" s="9"/>
      <c r="I29" s="53"/>
      <c r="J29" s="8"/>
    </row>
    <row r="30" spans="1:15" ht="12.75" customHeight="1" x14ac:dyDescent="0.2"/>
    <row r="31" spans="1:15" ht="25.5" customHeight="1" x14ac:dyDescent="0.2">
      <c r="A31" s="4" t="s">
        <v>342</v>
      </c>
      <c r="B31" s="1120" t="s">
        <v>316</v>
      </c>
      <c r="C31" s="1121"/>
      <c r="D31" s="1121"/>
      <c r="E31" s="1121"/>
      <c r="F31" s="1121"/>
      <c r="G31" s="1121"/>
      <c r="H31" s="1121"/>
      <c r="I31" s="1121"/>
      <c r="J31" s="1121"/>
      <c r="K31" s="1121"/>
      <c r="L31" s="1121"/>
      <c r="M31" s="1121"/>
      <c r="N31" s="1121"/>
      <c r="O31" s="1122"/>
    </row>
    <row r="32" spans="1:15" ht="19.5" customHeight="1" x14ac:dyDescent="0.2"/>
    <row r="33" spans="1:19" ht="12.75" customHeight="1" x14ac:dyDescent="0.2">
      <c r="L33" s="46" t="s">
        <v>658</v>
      </c>
      <c r="N33" s="46" t="s">
        <v>659</v>
      </c>
    </row>
    <row r="34" spans="1:19" ht="12.75" customHeight="1" x14ac:dyDescent="0.2">
      <c r="D34" t="s">
        <v>165</v>
      </c>
      <c r="E34" t="s">
        <v>105</v>
      </c>
      <c r="F34" t="s">
        <v>718</v>
      </c>
      <c r="L34" s="69">
        <f>J22</f>
        <v>0</v>
      </c>
      <c r="M34" s="36"/>
      <c r="N34" s="69"/>
    </row>
    <row r="35" spans="1:19" ht="12.75" customHeight="1" x14ac:dyDescent="0.2">
      <c r="E35" t="s">
        <v>105</v>
      </c>
      <c r="F35" t="s">
        <v>721</v>
      </c>
      <c r="L35" s="69">
        <f>J23</f>
        <v>0</v>
      </c>
      <c r="M35" s="36"/>
      <c r="N35" s="69"/>
    </row>
    <row r="36" spans="1:19" ht="12.75" customHeight="1" x14ac:dyDescent="0.2">
      <c r="E36" t="s">
        <v>105</v>
      </c>
      <c r="F36" t="s">
        <v>720</v>
      </c>
      <c r="L36" s="69">
        <f>J24</f>
        <v>0</v>
      </c>
      <c r="M36" s="36"/>
      <c r="N36" s="69"/>
    </row>
    <row r="37" spans="1:19" ht="12.75" customHeight="1" x14ac:dyDescent="0.2">
      <c r="E37" t="s">
        <v>105</v>
      </c>
      <c r="F37" t="s">
        <v>722</v>
      </c>
      <c r="L37" s="69">
        <f>J25</f>
        <v>0</v>
      </c>
      <c r="M37" s="36"/>
      <c r="N37" s="69"/>
    </row>
    <row r="38" spans="1:19" ht="12.75" customHeight="1" x14ac:dyDescent="0.2">
      <c r="F38" s="360" t="s">
        <v>718</v>
      </c>
      <c r="L38" s="69"/>
      <c r="M38" s="36"/>
      <c r="N38" s="69">
        <f>J22</f>
        <v>0</v>
      </c>
    </row>
    <row r="39" spans="1:19" ht="12.75" customHeight="1" x14ac:dyDescent="0.2">
      <c r="F39" s="366" t="s">
        <v>721</v>
      </c>
      <c r="L39" s="69"/>
      <c r="M39" s="36"/>
      <c r="N39" s="69">
        <f>J23</f>
        <v>0</v>
      </c>
    </row>
    <row r="40" spans="1:19" ht="12.75" customHeight="1" x14ac:dyDescent="0.2">
      <c r="F40" s="366" t="s">
        <v>720</v>
      </c>
      <c r="L40" s="69"/>
      <c r="M40" s="36"/>
      <c r="N40" s="69">
        <f>J24</f>
        <v>0</v>
      </c>
    </row>
    <row r="41" spans="1:19" ht="12.75" customHeight="1" x14ac:dyDescent="0.2">
      <c r="F41" s="366" t="s">
        <v>719</v>
      </c>
      <c r="L41" s="69"/>
      <c r="M41" s="36"/>
      <c r="N41" s="69">
        <f>J25</f>
        <v>0</v>
      </c>
    </row>
    <row r="42" spans="1:19" ht="12.75" customHeight="1" thickBot="1" x14ac:dyDescent="0.25">
      <c r="L42" s="62">
        <f>SUM(L34:L41)</f>
        <v>0</v>
      </c>
      <c r="M42" s="36"/>
      <c r="N42" s="62">
        <f>SUM(N34:N41)</f>
        <v>0</v>
      </c>
    </row>
    <row r="43" spans="1:19" ht="12.75" customHeight="1" thickTop="1" x14ac:dyDescent="0.2">
      <c r="L43" s="5"/>
    </row>
    <row r="44" spans="1:19" ht="12.75" customHeight="1" x14ac:dyDescent="0.2"/>
    <row r="45" spans="1:19" ht="12.75" customHeight="1" x14ac:dyDescent="0.2">
      <c r="A45"/>
      <c r="H45"/>
    </row>
    <row r="46" spans="1:19" ht="12.75" customHeight="1" x14ac:dyDescent="0.2"/>
    <row r="47" spans="1:19" ht="12.75" customHeight="1" x14ac:dyDescent="0.2">
      <c r="J47" s="1200"/>
      <c r="K47" s="1200"/>
      <c r="L47" s="1200"/>
      <c r="M47" s="1200"/>
      <c r="N47" s="1200"/>
      <c r="O47" s="1200"/>
      <c r="P47" s="1200"/>
      <c r="Q47" s="1200"/>
      <c r="R47" s="1200"/>
      <c r="S47" s="1200"/>
    </row>
    <row r="48" spans="1:19" x14ac:dyDescent="0.2">
      <c r="J48" s="168"/>
      <c r="K48" s="168"/>
      <c r="L48" s="43"/>
      <c r="M48" s="43"/>
      <c r="N48" s="43"/>
      <c r="O48" s="83"/>
      <c r="P48" s="12"/>
      <c r="Q48" s="83"/>
      <c r="R48" s="83"/>
      <c r="S48" s="83"/>
    </row>
    <row r="49" spans="1:19" ht="6.75" customHeight="1" x14ac:dyDescent="0.2">
      <c r="J49" s="12"/>
      <c r="K49" s="12"/>
      <c r="L49" s="12"/>
      <c r="M49" s="12"/>
      <c r="N49" s="12"/>
      <c r="O49" s="12"/>
      <c r="P49" s="12"/>
      <c r="Q49" s="12"/>
      <c r="R49" s="12"/>
      <c r="S49" s="12"/>
    </row>
    <row r="50" spans="1:19" ht="12.75" customHeight="1" x14ac:dyDescent="0.2">
      <c r="F50" s="1"/>
      <c r="H50"/>
      <c r="J50" s="31"/>
      <c r="K50" s="31"/>
      <c r="L50" s="12"/>
      <c r="M50" s="12"/>
      <c r="N50" s="12"/>
      <c r="O50" s="12"/>
      <c r="P50" s="12"/>
      <c r="Q50" s="12"/>
      <c r="R50" s="10"/>
      <c r="S50" s="10"/>
    </row>
    <row r="51" spans="1:19" x14ac:dyDescent="0.2">
      <c r="F51" s="1"/>
      <c r="H51"/>
      <c r="J51" s="31"/>
      <c r="K51" s="31"/>
      <c r="L51" s="12"/>
      <c r="M51" s="12"/>
      <c r="N51" s="12"/>
      <c r="O51" s="12"/>
      <c r="P51" s="12"/>
      <c r="Q51" s="12"/>
      <c r="R51" s="10"/>
      <c r="S51" s="10"/>
    </row>
    <row r="52" spans="1:19" x14ac:dyDescent="0.2">
      <c r="F52" s="1"/>
      <c r="H52"/>
      <c r="J52" s="31"/>
      <c r="K52" s="31"/>
      <c r="L52" s="12"/>
      <c r="M52" s="12"/>
      <c r="N52" s="12"/>
      <c r="O52" s="12"/>
      <c r="P52" s="12"/>
      <c r="Q52" s="12"/>
      <c r="R52" s="10"/>
      <c r="S52" s="10"/>
    </row>
    <row r="53" spans="1:19" x14ac:dyDescent="0.2">
      <c r="F53" s="1"/>
      <c r="H53"/>
      <c r="J53" s="31"/>
      <c r="K53" s="31"/>
      <c r="L53" s="8"/>
      <c r="M53" s="12"/>
      <c r="N53" s="12"/>
      <c r="O53" s="12"/>
      <c r="P53" s="12"/>
      <c r="Q53" s="12"/>
      <c r="R53" s="10"/>
      <c r="S53" s="10"/>
    </row>
    <row r="54" spans="1:19" x14ac:dyDescent="0.2">
      <c r="F54" s="1"/>
      <c r="H54"/>
      <c r="J54" s="31"/>
      <c r="K54" s="31"/>
      <c r="L54" s="12"/>
      <c r="M54" s="12"/>
      <c r="N54" s="12"/>
      <c r="O54" s="12"/>
      <c r="P54" s="12"/>
      <c r="Q54" s="12"/>
      <c r="R54" s="10"/>
      <c r="S54" s="10"/>
    </row>
    <row r="55" spans="1:19" x14ac:dyDescent="0.2">
      <c r="F55" s="1"/>
      <c r="H55"/>
      <c r="J55" s="31"/>
      <c r="K55" s="31"/>
      <c r="L55" s="10"/>
      <c r="M55" s="12"/>
      <c r="N55" s="10"/>
      <c r="O55" s="12"/>
      <c r="P55" s="12"/>
      <c r="Q55" s="10"/>
      <c r="R55" s="10"/>
      <c r="S55" s="10"/>
    </row>
    <row r="56" spans="1:19" s="11" customFormat="1" x14ac:dyDescent="0.2">
      <c r="A56" s="107"/>
      <c r="F56" s="77"/>
      <c r="J56" s="31"/>
      <c r="K56" s="31"/>
      <c r="L56" s="8"/>
      <c r="M56" s="32"/>
      <c r="N56" s="8"/>
      <c r="O56" s="32"/>
      <c r="P56" s="32"/>
      <c r="Q56" s="8"/>
      <c r="R56" s="8"/>
      <c r="S56" s="8"/>
    </row>
    <row r="57" spans="1:19" s="11" customFormat="1" x14ac:dyDescent="0.2">
      <c r="A57" s="107"/>
      <c r="F57" s="77"/>
      <c r="J57" s="31"/>
      <c r="K57" s="31"/>
      <c r="L57" s="8"/>
      <c r="M57" s="32"/>
      <c r="N57" s="32"/>
      <c r="O57" s="32"/>
      <c r="P57" s="32"/>
      <c r="Q57" s="8"/>
      <c r="R57" s="8"/>
      <c r="S57" s="8"/>
    </row>
    <row r="58" spans="1:19" x14ac:dyDescent="0.2">
      <c r="F58" s="1"/>
      <c r="H58"/>
      <c r="J58" s="31"/>
      <c r="K58" s="31"/>
      <c r="L58" s="10"/>
      <c r="M58" s="12"/>
      <c r="N58" s="12"/>
      <c r="O58" s="10"/>
      <c r="P58" s="12"/>
      <c r="Q58" s="12"/>
      <c r="R58" s="10"/>
      <c r="S58" s="10"/>
    </row>
    <row r="59" spans="1:19" x14ac:dyDescent="0.2">
      <c r="F59" s="1"/>
      <c r="H59"/>
      <c r="J59" s="31"/>
      <c r="K59" s="31"/>
      <c r="L59" s="12"/>
      <c r="M59" s="12"/>
      <c r="N59" s="10"/>
      <c r="O59" s="12"/>
      <c r="P59" s="12"/>
      <c r="Q59" s="12"/>
      <c r="R59" s="10"/>
      <c r="S59" s="10"/>
    </row>
    <row r="60" spans="1:19" x14ac:dyDescent="0.2">
      <c r="D60" s="11"/>
      <c r="E60" s="11"/>
      <c r="F60" s="77"/>
      <c r="G60" s="11"/>
      <c r="H60" s="11"/>
      <c r="I60" s="11"/>
      <c r="J60" s="31"/>
      <c r="K60" s="31"/>
      <c r="L60" s="32"/>
      <c r="M60" s="32"/>
      <c r="N60" s="8"/>
      <c r="O60" s="12"/>
      <c r="P60" s="12"/>
      <c r="Q60" s="12"/>
      <c r="R60" s="10"/>
      <c r="S60" s="10"/>
    </row>
    <row r="61" spans="1:19" x14ac:dyDescent="0.2">
      <c r="D61" s="11"/>
      <c r="E61" s="11"/>
      <c r="F61" s="77"/>
      <c r="G61" s="11"/>
      <c r="H61" s="11"/>
      <c r="I61" s="11"/>
      <c r="J61" s="31"/>
      <c r="K61" s="31"/>
      <c r="L61" s="32"/>
      <c r="M61" s="32"/>
      <c r="N61" s="8"/>
      <c r="O61" s="10"/>
      <c r="P61" s="12"/>
      <c r="Q61" s="12"/>
      <c r="R61" s="10"/>
      <c r="S61" s="10"/>
    </row>
    <row r="62" spans="1:19" x14ac:dyDescent="0.2">
      <c r="F62" s="1"/>
      <c r="H62"/>
      <c r="J62" s="31"/>
      <c r="K62" s="31"/>
      <c r="L62" s="12"/>
      <c r="M62" s="12"/>
      <c r="N62" s="12"/>
      <c r="O62" s="12"/>
      <c r="P62" s="12"/>
      <c r="Q62" s="12"/>
      <c r="R62" s="10"/>
      <c r="S62" s="10"/>
    </row>
    <row r="63" spans="1:19" x14ac:dyDescent="0.2">
      <c r="F63" s="1"/>
      <c r="H63"/>
      <c r="J63" s="31"/>
      <c r="K63" s="31"/>
      <c r="L63" s="12"/>
      <c r="M63" s="12"/>
      <c r="N63" s="10"/>
      <c r="O63" s="12"/>
      <c r="P63" s="12"/>
      <c r="Q63" s="12"/>
      <c r="R63" s="10"/>
      <c r="S63" s="10"/>
    </row>
    <row r="64" spans="1:19" x14ac:dyDescent="0.2">
      <c r="F64" s="1"/>
      <c r="H64"/>
      <c r="J64" s="31"/>
      <c r="K64" s="31"/>
      <c r="L64" s="12"/>
      <c r="M64" s="12"/>
      <c r="N64" s="12"/>
      <c r="O64" s="10"/>
      <c r="P64" s="12"/>
      <c r="Q64" s="12"/>
      <c r="R64" s="10"/>
      <c r="S64" s="10"/>
    </row>
    <row r="65" spans="6:19" x14ac:dyDescent="0.2">
      <c r="F65" s="1"/>
      <c r="H65"/>
      <c r="J65" s="31"/>
      <c r="K65" s="31"/>
      <c r="L65" s="10"/>
      <c r="M65" s="12"/>
      <c r="N65" s="10"/>
      <c r="O65" s="12"/>
      <c r="P65" s="12"/>
      <c r="Q65" s="12"/>
      <c r="R65" s="10"/>
      <c r="S65" s="10"/>
    </row>
    <row r="66" spans="6:19" x14ac:dyDescent="0.2">
      <c r="F66" s="1"/>
      <c r="H66"/>
      <c r="J66" s="31"/>
      <c r="K66" s="31"/>
      <c r="L66" s="12"/>
      <c r="M66" s="12"/>
      <c r="N66" s="12"/>
      <c r="O66" s="12"/>
      <c r="P66" s="12"/>
      <c r="Q66" s="12"/>
      <c r="R66" s="10"/>
      <c r="S66" s="10"/>
    </row>
    <row r="67" spans="6:19" x14ac:dyDescent="0.2">
      <c r="F67" s="1"/>
      <c r="H67"/>
      <c r="J67" s="31"/>
      <c r="K67" s="31"/>
      <c r="L67" s="12"/>
      <c r="M67" s="12"/>
      <c r="N67" s="12"/>
      <c r="O67" s="12"/>
      <c r="P67" s="12"/>
      <c r="Q67" s="12"/>
      <c r="R67" s="10"/>
      <c r="S67" s="10"/>
    </row>
    <row r="68" spans="6:19" x14ac:dyDescent="0.2">
      <c r="F68" s="1"/>
      <c r="H68"/>
      <c r="J68" s="31"/>
      <c r="K68" s="31"/>
      <c r="L68" s="12"/>
      <c r="M68" s="12"/>
      <c r="N68" s="12"/>
      <c r="O68" s="12"/>
      <c r="P68" s="12"/>
      <c r="Q68" s="12"/>
      <c r="R68" s="10"/>
      <c r="S68" s="10"/>
    </row>
    <row r="69" spans="6:19" ht="5.25" customHeight="1" x14ac:dyDescent="0.2">
      <c r="F69" s="1"/>
      <c r="H69"/>
      <c r="J69" s="31"/>
      <c r="K69" s="31"/>
      <c r="L69" s="12"/>
      <c r="M69" s="12"/>
      <c r="N69" s="12"/>
      <c r="O69" s="12"/>
      <c r="P69" s="12"/>
      <c r="Q69" s="12"/>
      <c r="R69" s="12"/>
      <c r="S69" s="12"/>
    </row>
    <row r="70" spans="6:19" x14ac:dyDescent="0.2">
      <c r="F70" s="1"/>
      <c r="H70"/>
      <c r="J70" s="10"/>
      <c r="K70" s="10"/>
      <c r="L70" s="10"/>
      <c r="M70" s="10"/>
      <c r="N70" s="10"/>
      <c r="O70" s="10"/>
      <c r="P70" s="10"/>
      <c r="Q70" s="10"/>
      <c r="R70" s="10"/>
      <c r="S70" s="10"/>
    </row>
    <row r="71" spans="6:19" x14ac:dyDescent="0.2">
      <c r="F71" s="1"/>
      <c r="H71"/>
    </row>
    <row r="79" spans="6:19" x14ac:dyDescent="0.2">
      <c r="L79" s="11"/>
    </row>
  </sheetData>
  <sheetProtection algorithmName="SHA-512" hashValue="bNFjH7+xBdCLs+gwwX+MuAAEDT5HqD9z5JDTPiteVgY/ecztXNJgbzWUaLfIuirK3BUV2vDUtYP33DdWw8cjHA==" saltValue="oo+ObyIDWrMvNHDgvp6UOA==" spinCount="100000" sheet="1" objects="1" scenarios="1"/>
  <mergeCells count="12">
    <mergeCell ref="C20:H21"/>
    <mergeCell ref="B31:O31"/>
    <mergeCell ref="R47:S47"/>
    <mergeCell ref="J47:K47"/>
    <mergeCell ref="L47:N47"/>
    <mergeCell ref="O47:Q47"/>
    <mergeCell ref="A2:P2"/>
    <mergeCell ref="C9:P10"/>
    <mergeCell ref="B15:O15"/>
    <mergeCell ref="C14:O14"/>
    <mergeCell ref="A4:P4"/>
    <mergeCell ref="A6:P6"/>
  </mergeCells>
  <phoneticPr fontId="0" type="noConversion"/>
  <printOptions horizontalCentered="1"/>
  <pageMargins left="0.36" right="0.37" top="0.71" bottom="0.5" header="0.5" footer="0.5"/>
  <pageSetup scale="75" orientation="portrait" r:id="rId1"/>
  <headerFooter alignWithMargins="0">
    <oddHeader>&amp;R&amp;"Arial,Bold"&amp;12Entry F</oddHeader>
    <oddFooter>&amp;R &amp;P</oddFooter>
  </headerFooter>
  <rowBreaks count="1" manualBreakCount="1">
    <brk id="43" max="18" man="1"/>
  </rowBreaks>
  <ignoredErrors>
    <ignoredError sqref="B20 B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2</Sort_x0020_Order>
    <Resource_x0020_Category xmlns="b0d8bf0e-b15b-456f-8ae4-2bdf59acac1f">Preparation Aid</Resource_x0020_Category>
    <Publication_x0020_Date xmlns="b0d8bf0e-b15b-456f-8ae4-2bdf59acac1f">06/16/2016</Publication_x0020_Date>
    <Resource_x0020_Group xmlns="b0d8bf0e-b15b-456f-8ae4-2bdf59acac1f">Board of Education Specific Worksheets</Resource_x0020_Group>
    <Category xmlns="b0d8bf0e-b15b-456f-8ae4-2bdf59acac1f">Tools</Category>
    <Description0 xmlns="b0d8bf0e-b15b-456f-8ae4-2bdf59acac1f">Carolina County BOE Governmental Activities Conversion Worksheet</Description0>
    <_dlc_DocId xmlns="d4ea4015-5b02-447c-9074-d5807a41497e"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367078-AC38-4877-B01C-21D4245022C5}">
  <ds:schemaRefs>
    <ds:schemaRef ds:uri="http://schemas.microsoft.com/office/2006/metadata/longProperties"/>
  </ds:schemaRefs>
</ds:datastoreItem>
</file>

<file path=customXml/itemProps2.xml><?xml version="1.0" encoding="utf-8"?>
<ds:datastoreItem xmlns:ds="http://schemas.openxmlformats.org/officeDocument/2006/customXml" ds:itemID="{ED1B2FCB-5AC6-49F5-83A6-B370AB95C614}">
  <ds:schemaRefs>
    <ds:schemaRef ds:uri="http://schemas.microsoft.com/sharepoint/events"/>
  </ds:schemaRefs>
</ds:datastoreItem>
</file>

<file path=customXml/itemProps3.xml><?xml version="1.0" encoding="utf-8"?>
<ds:datastoreItem xmlns:ds="http://schemas.openxmlformats.org/officeDocument/2006/customXml" ds:itemID="{65186A96-B8B1-441F-A921-6B6E7B506647}">
  <ds:schemaRefs>
    <ds:schemaRef ds:uri="http://schemas.microsoft.com/sharepoint/v3/contenttype/forms"/>
  </ds:schemaRefs>
</ds:datastoreItem>
</file>

<file path=customXml/itemProps4.xml><?xml version="1.0" encoding="utf-8"?>
<ds:datastoreItem xmlns:ds="http://schemas.openxmlformats.org/officeDocument/2006/customXml" ds:itemID="{E82749B1-C01C-4DB0-8F7A-99B967FBC915}">
  <ds:schemaRefs>
    <ds:schemaRef ds:uri="http://www.w3.org/XML/1998/namespace"/>
    <ds:schemaRef ds:uri="b0d8bf0e-b15b-456f-8ae4-2bdf59acac1f"/>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http://purl.org/dc/terms/"/>
    <ds:schemaRef ds:uri="d4ea4015-5b02-447c-9074-d5807a41497e"/>
    <ds:schemaRef ds:uri="http://purl.org/dc/dcmitype/"/>
  </ds:schemaRefs>
</ds:datastoreItem>
</file>

<file path=customXml/itemProps5.xml><?xml version="1.0" encoding="utf-8"?>
<ds:datastoreItem xmlns:ds="http://schemas.openxmlformats.org/officeDocument/2006/customXml" ds:itemID="{D7C40A29-2D53-453C-BB8A-E909C2749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43</vt:i4>
      </vt:variant>
    </vt:vector>
  </HeadingPairs>
  <TitlesOfParts>
    <vt:vector size="74" baseType="lpstr">
      <vt:lpstr>Instructions</vt:lpstr>
      <vt:lpstr>Conversion Worksheet</vt:lpstr>
      <vt:lpstr>Beginning Capital Assets &amp; LTD</vt:lpstr>
      <vt:lpstr>A. Revenue by Function</vt:lpstr>
      <vt:lpstr>B. Depreciation</vt:lpstr>
      <vt:lpstr>C. Capital Outlay &amp; Donations</vt:lpstr>
      <vt:lpstr>D.  Capital Asset Disposal</vt:lpstr>
      <vt:lpstr>E. Debt Service</vt:lpstr>
      <vt:lpstr>F. Debt Issues</vt:lpstr>
      <vt:lpstr>G.  Other Asset Entries</vt:lpstr>
      <vt:lpstr>H. Other Liabilities &amp; Expenses</vt:lpstr>
      <vt:lpstr>I. Eliminations-Consolidations</vt:lpstr>
      <vt:lpstr>J. GASB 68 TSERS</vt:lpstr>
      <vt:lpstr>Ja. TSERS 2018 Summary</vt:lpstr>
      <vt:lpstr>Jb. TSERS 2019 Summary</vt:lpstr>
      <vt:lpstr>TSERS Contributions FY 2018</vt:lpstr>
      <vt:lpstr>Jb. TSERS 2017 Summary</vt:lpstr>
      <vt:lpstr>K. GASB 75 RHBF</vt:lpstr>
      <vt:lpstr>Ka. 2018 RHBF Summary</vt:lpstr>
      <vt:lpstr>2018 RHBF Summary</vt:lpstr>
      <vt:lpstr>Kb. 2019 RHBF Summary</vt:lpstr>
      <vt:lpstr>2018 Allocation %</vt:lpstr>
      <vt:lpstr>Contributions FY 2018</vt:lpstr>
      <vt:lpstr>Contributions FY 2017</vt:lpstr>
      <vt:lpstr>2017 Allocation %</vt:lpstr>
      <vt:lpstr>L. GASB 75 DIPNC</vt:lpstr>
      <vt:lpstr>La. 2018 DIPNC Summary</vt:lpstr>
      <vt:lpstr>Lb. 2019 DIPNC Summary</vt:lpstr>
      <vt:lpstr>DIPNC Contributions 2018</vt:lpstr>
      <vt:lpstr>DIPNC Contributions 2017</vt:lpstr>
      <vt:lpstr>Jb. TSERS Data PY</vt:lpstr>
      <vt:lpstr>'2017 Allocation %'!ERData</vt:lpstr>
      <vt:lpstr>'2018 Allocation %'!ERData</vt:lpstr>
      <vt:lpstr>'2018 RHBF Summary'!ERData</vt:lpstr>
      <vt:lpstr>'Kb. 2019 RHBF Summary'!ERData</vt:lpstr>
      <vt:lpstr>ERData</vt:lpstr>
      <vt:lpstr>'2017 Allocation %'!Print_Area</vt:lpstr>
      <vt:lpstr>'2018 Allocation %'!Print_Area</vt:lpstr>
      <vt:lpstr>'2018 RHBF Summary'!Print_Area</vt:lpstr>
      <vt:lpstr>'A. Revenue by Function'!Print_Area</vt:lpstr>
      <vt:lpstr>'B. Depreciation'!Print_Area</vt:lpstr>
      <vt:lpstr>'C. Capital Outlay &amp; Donations'!Print_Area</vt:lpstr>
      <vt:lpstr>'Conversion Worksheet'!Print_Area</vt:lpstr>
      <vt:lpstr>'D.  Capital Asset Disposal'!Print_Area</vt:lpstr>
      <vt:lpstr>'E. Debt Service'!Print_Area</vt:lpstr>
      <vt:lpstr>'F. Debt Issues'!Print_Area</vt:lpstr>
      <vt:lpstr>'G.  Other Asset Entries'!Print_Area</vt:lpstr>
      <vt:lpstr>'H. Other Liabilities &amp; Expenses'!Print_Area</vt:lpstr>
      <vt:lpstr>'I. Eliminations-Consolidations'!Print_Area</vt:lpstr>
      <vt:lpstr>Instructions!Print_Area</vt:lpstr>
      <vt:lpstr>'Ja. TSERS 2018 Summary'!Print_Area</vt:lpstr>
      <vt:lpstr>'Jb. TSERS Data PY'!Print_Area</vt:lpstr>
      <vt:lpstr>'K. GASB 75 RHBF'!Print_Area</vt:lpstr>
      <vt:lpstr>'Ka. 2018 RHBF Summary'!Print_Area</vt:lpstr>
      <vt:lpstr>'Kb. 2019 RHBF Summary'!Print_Area</vt:lpstr>
      <vt:lpstr>'La. 2018 DIPNC Summary'!Print_Area</vt:lpstr>
      <vt:lpstr>'2017 Allocation %'!Print_Titles</vt:lpstr>
      <vt:lpstr>'2018 Allocation %'!Print_Titles</vt:lpstr>
      <vt:lpstr>'2018 RHBF Summary'!Print_Titles</vt:lpstr>
      <vt:lpstr>'A. Revenue by Function'!Print_Titles</vt:lpstr>
      <vt:lpstr>'Beginning Capital Assets &amp; LTD'!Print_Titles</vt:lpstr>
      <vt:lpstr>'C. Capital Outlay &amp; Donations'!Print_Titles</vt:lpstr>
      <vt:lpstr>'Conversion Worksheet'!Print_Titles</vt:lpstr>
      <vt:lpstr>'D.  Capital Asset Disposal'!Print_Titles</vt:lpstr>
      <vt:lpstr>'E. Debt Service'!Print_Titles</vt:lpstr>
      <vt:lpstr>'F. Debt Issues'!Print_Titles</vt:lpstr>
      <vt:lpstr>'G.  Other Asset Entries'!Print_Titles</vt:lpstr>
      <vt:lpstr>'H. Other Liabilities &amp; Expenses'!Print_Titles</vt:lpstr>
      <vt:lpstr>'Ja. TSERS 2018 Summary'!Print_Titles</vt:lpstr>
      <vt:lpstr>'Jb. TSERS 2017 Summary'!Print_Titles</vt:lpstr>
      <vt:lpstr>'Jb. TSERS Data PY'!Print_Titles</vt:lpstr>
      <vt:lpstr>'Ka. 2018 RHBF Summary'!Print_Titles</vt:lpstr>
      <vt:lpstr>'Kb. 2019 RHBF Summary'!Print_Titles</vt:lpstr>
      <vt:lpstr>'La. 2018 DIPNC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Carolina County BOE Governmental Activities Conversion Worksheet</dc:title>
  <dc:creator>LGC0206</dc:creator>
  <cp:keywords>Board of Education</cp:keywords>
  <cp:lastModifiedBy>Kelley May</cp:lastModifiedBy>
  <cp:lastPrinted>2019-10-07T16:25:11Z</cp:lastPrinted>
  <dcterms:created xsi:type="dcterms:W3CDTF">2002-04-03T20:24:03Z</dcterms:created>
  <dcterms:modified xsi:type="dcterms:W3CDTF">2019-11-12T15:57:59Z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